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01"/>
  <workbookPr codeName="ThisWorkbook" defaultThemeVersion="124226"/>
  <mc:AlternateContent xmlns:mc="http://schemas.openxmlformats.org/markup-compatibility/2006">
    <mc:Choice Requires="x15">
      <x15ac:absPath xmlns:x15ac="http://schemas.microsoft.com/office/spreadsheetml/2010/11/ac" url="\\corp\data\CE\CP\CORPORATE MANAGEMENT\Strategy Unit\Data, Intelligence &amp; Insight\SDO Umbraco website\Documents\Place-docs\GP and PCN profiles-docs\"/>
    </mc:Choice>
  </mc:AlternateContent>
  <xr:revisionPtr revIDLastSave="0" documentId="8_{91AD3FFE-20F8-409B-8D21-8310492FCB87}" xr6:coauthVersionLast="47" xr6:coauthVersionMax="47" xr10:uidLastSave="{00000000-0000-0000-0000-000000000000}"/>
  <workbookProtection workbookAlgorithmName="SHA-512" workbookHashValue="isuk83c9spl99E5fjtoXQJKlYxQ1HRVvINRKFO+b+5YjK6jHWiZ1bfZH/8gfPCkgDBImMQPcgzBb4hPeOxXavg==" workbookSaltValue="2BRaEy4cHVn92pg+Opt9gg==" workbookSpinCount="100000" lockStructure="1"/>
  <bookViews>
    <workbookView xWindow="-108" yWindow="-108" windowWidth="23256" windowHeight="12576" tabRatio="913" xr2:uid="{00000000-000D-0000-FFFF-FFFF00000000}"/>
  </bookViews>
  <sheets>
    <sheet name="Menu" sheetId="283" r:id="rId1"/>
    <sheet name="Spine Chart (GP Prac)" sheetId="81" r:id="rId2"/>
    <sheet name="Spine Chart (Locality)" sheetId="116" r:id="rId3"/>
    <sheet name="Locality and Practice Map" sheetId="285" r:id="rId4"/>
    <sheet name="Metadata" sheetId="165" r:id="rId5"/>
    <sheet name="Calculation" sheetId="39" state="hidden" r:id="rId6"/>
    <sheet name="1 GP Reg Pop 0-4" sheetId="166" state="hidden" r:id="rId7"/>
    <sheet name="2 GP Reg Pop 0-17" sheetId="210" state="hidden" r:id="rId8"/>
    <sheet name="3 GP Reg Pop 18-64" sheetId="211" state="hidden" r:id="rId9"/>
    <sheet name="4 GP Reg Pop 65+" sheetId="212" state="hidden" r:id="rId10"/>
    <sheet name="5 GP IMD 1" sheetId="213" state="hidden" r:id="rId11"/>
    <sheet name="6 EFL 3+" sheetId="214" state="hidden" r:id="rId12"/>
    <sheet name="7 16-64 Econ Active" sheetId="215" state="hidden" r:id="rId13"/>
    <sheet name="8 Male LE" sheetId="216" state="hidden" r:id="rId14"/>
    <sheet name="9 Female LE" sheetId="217" state="hidden" r:id="rId15"/>
    <sheet name="10 AAAC Mort" sheetId="218" state="hidden" r:id="rId16"/>
    <sheet name="11 AC U75 Mort" sheetId="219" state="hidden" r:id="rId17"/>
    <sheet name="12 Prevent Mort" sheetId="220" state="hidden" r:id="rId18"/>
    <sheet name="13 Multiple LTC AA" sheetId="221" state="hidden" r:id="rId19"/>
    <sheet name="14 Diabetes 17 Prev" sheetId="227" state="hidden" r:id="rId20"/>
    <sheet name="15 Asthma Prev" sheetId="228" state="hidden" r:id="rId21"/>
    <sheet name="16 emerg asthma admiss" sheetId="232" state="hidden" r:id="rId22"/>
    <sheet name="17 COPD Prev" sheetId="233" state="hidden" r:id="rId23"/>
    <sheet name="18 COPD 35+ admiss" sheetId="234" state="hidden" r:id="rId24"/>
    <sheet name="19 Prem mort resp" sheetId="263" state="hidden" r:id="rId25"/>
    <sheet name="20 CHD prevalence" sheetId="235" state="hidden" r:id="rId26"/>
    <sheet name="21 hyper prev" sheetId="236" state="hidden" r:id="rId27"/>
    <sheet name="22 Prem Mort Circ Disease" sheetId="237" state="hidden" r:id="rId28"/>
    <sheet name="23 All canc P incidence" sheetId="238" state="hidden" r:id="rId29"/>
    <sheet name="24 All canc M incidence" sheetId="241" state="hidden" r:id="rId30"/>
    <sheet name="25 All canc F incidence" sheetId="243" state="hidden" r:id="rId31"/>
    <sheet name="26 Colorect canc inc P" sheetId="244" state="hidden" r:id="rId32"/>
    <sheet name="27 Lung canc inc P" sheetId="246" state="hidden" r:id="rId33"/>
    <sheet name="28 Breast canc inc F" sheetId="245" state="hidden" r:id="rId34"/>
    <sheet name="29 Prem mort canc" sheetId="239" state="hidden" r:id="rId35"/>
    <sheet name="30 Osteo Prev 50+" sheetId="240" state="hidden" r:id="rId36"/>
    <sheet name="31 Arthritus 16+ prev" sheetId="247" state="hidden" r:id="rId37"/>
    <sheet name="32 Emergency admissions AA" sheetId="255" state="hidden" r:id="rId38"/>
    <sheet name="33 Depression 18+ prev" sheetId="248" state="hidden" r:id="rId39"/>
    <sheet name="34 Severe MI prev" sheetId="249" state="hidden" r:id="rId40"/>
    <sheet name="35 LD prev" sheetId="250" state="hidden" r:id="rId41"/>
    <sheet name="36 Dementia AA prev" sheetId="251" state="hidden" r:id="rId42"/>
    <sheet name="37 Emerg admiss self-harm" sheetId="252" state="hidden" r:id="rId43"/>
    <sheet name="38 drug related MH admiss" sheetId="253" state="hidden" r:id="rId44"/>
    <sheet name="39 Mort Suici" sheetId="254" state="hidden" r:id="rId45"/>
    <sheet name="40 est 15+ Smoking prev" sheetId="256" state="hidden" r:id="rId46"/>
    <sheet name="41 Obesity 18+ prev" sheetId="257" state="hidden" r:id="rId47"/>
    <sheet name="42 Alc spec admissions" sheetId="258" state="hidden" r:id="rId48"/>
    <sheet name="43 Drug poison admiss" sheetId="259" state="hidden" r:id="rId49"/>
    <sheet name="44 Breastfeeding at Check" sheetId="260" state="hidden" r:id="rId50"/>
    <sheet name="45 SATOD" sheetId="261" state="hidden" r:id="rId51"/>
    <sheet name="46 LBW" sheetId="264" state="hidden" r:id="rId52"/>
    <sheet name="47 Teenage mat" sheetId="262" state="hidden" r:id="rId53"/>
    <sheet name="48 0-4 emergency admiss" sheetId="265" state="hidden" r:id="rId54"/>
    <sheet name="49 unintent inj 0-14" sheetId="268" state="hidden" r:id="rId55"/>
    <sheet name="50 unintent inj 15-24" sheetId="269" state="hidden" r:id="rId56"/>
    <sheet name="51 Self-harm 10-24" sheetId="266" state="hidden" r:id="rId57"/>
    <sheet name="52 Yr R obese" sheetId="270" state="hidden" r:id="rId58"/>
    <sheet name="53 Yr 6 obese" sheetId="272" state="hidden" r:id="rId59"/>
    <sheet name="54 LAC 0-17" sheetId="274" state="hidden" r:id="rId60"/>
    <sheet name="55 U16 child pov" sheetId="267" state="hidden" r:id="rId61"/>
    <sheet name="56 Flu vax 65+" sheetId="277" state="hidden" r:id="rId62"/>
    <sheet name="57 falls 65+" sheetId="271" state="hidden" r:id="rId63"/>
    <sheet name="58 Hip fractures 65+" sheetId="276" state="hidden" r:id="rId64"/>
    <sheet name="59 65+ social care support" sheetId="284" state="hidden" r:id="rId65"/>
    <sheet name="60 EWD all age" sheetId="279" state="hidden" r:id="rId66"/>
    <sheet name="61 deaths at home AA" sheetId="282" state="hidden" r:id="rId67"/>
    <sheet name="62 claimant count" sheetId="275" state="hidden" r:id="rId68"/>
    <sheet name="63 Fuel poverty" sheetId="278" state="hidden" r:id="rId69"/>
    <sheet name="64 Lone parent HH" sheetId="280" state="hidden" r:id="rId70"/>
    <sheet name="65 Police recorded crime" sheetId="281" state="hidden" r:id="rId71"/>
  </sheets>
  <definedNames>
    <definedName name="_xlnm.Print_Area" localSheetId="0">Menu!$A$1:$O$122</definedName>
    <definedName name="_xlnm.Print_Area" localSheetId="4">Metadata!$B$1:$E$49</definedName>
    <definedName name="_xlnm.Print_Area" localSheetId="1">'Spine Chart (GP Prac)'!$A$1:$X$86</definedName>
    <definedName name="_xlnm.Print_Area" localSheetId="2">'Spine Chart (Locality)'!$A$1:$X$86</definedName>
    <definedName name="Sparkline_GPSpine_Ind1" comment="Grabs the range reference for the sparkline trend chart depending on which practice is chosen i.e. Adelaide">OFFSET(Calculation!$G$11,0,(IF(Calculation!$H$3="Y02838",-2,-3)),1,(IF(Calculation!$H$3="Y02838",3,4)))</definedName>
    <definedName name="Sparkline_GPSpine_Ind19" comment="Grabs the range reference for the sparkline trend chart depending on which practice is chosen i.e. Adelaide">OFFSET(Calculation!$G$34,0,(IF(Calculation!$H$3="Y02838",-2,-3)),1,(IF(Calculation!$H$3="Y02838",3,4)))</definedName>
    <definedName name="Sparkline_GPSpine_Ind2" comment="Grabs the range reference for the sparkline trend chart depending on which practice is chosen i.e. Adelaide">OFFSET(Calculation!$G$12,0,(IF(Calculation!$H$3="Y02838",-2,-3)),1,(IF(Calculation!$H$3="Y02838",3,4)))</definedName>
    <definedName name="Sparkline_GPSpine_Ind20" comment="Grabs the range reference for the sparkline trend chart depending on which practice is chosen i.e. Adelaide">OFFSET(Calculation!$G$35,0,(IF(Calculation!$H$3="Y02838",-2,-3)),1,(IF(Calculation!$H$3="Y02838",3,4)))</definedName>
    <definedName name="Sparkline_GPSpine_Ind21" comment="Grabs the range reference for the sparkline trend chart depending on which practice is chosen i.e. Adelaide">OFFSET(Calculation!$G$36,0,(IF(Calculation!$H$3="Y02838",-2,-3)),1,(IF(Calculation!$H$3="Y02838",3,4)))</definedName>
    <definedName name="Sparkline_GPSpine_Ind22" comment="Grabs the range reference for the sparkline trend chart depending on which practice is chosen i.e. Adelaide">OFFSET(Calculation!$G$37,0,(IF(Calculation!$H$3="Y02838",-2,-3)),1,(IF(Calculation!$H$3="Y02838",3,4)))</definedName>
    <definedName name="Sparkline_GPSpine_Ind3" comment="Grabs the range reference for the sparkline trend chart depending on which practice is chosen i.e. Adelaide">OFFSET(Calculation!$G$13,0,(IF(Calculation!$H$3="Y02838",-2,-3)),1,(IF(Calculation!$H$3="Y02838",3,4)))</definedName>
    <definedName name="Sparkline_GPSpine_Ind30" comment="Grabs the range reference for the sparkline trend chart depending on which practice is chosen i.e. Adelaide">OFFSET(Calculation!$G$66,0,(IF(Calculation!$H$3="Y02838",0,-2)),1,(IF(Calculation!$H$3="Y02838",1,3)))</definedName>
    <definedName name="Sparkline_GPSpine_Ind31" comment="Grabs the range reference for the sparkline trend chart depending on which practice is chosen i.e. Adelaide">OFFSET(Calculation!$G$67,0,(IF(Calculation!$H$3="Y02838",0,-2)),1,(IF(Calculation!$H$3="Y02838",1,3)))</definedName>
    <definedName name="Sparkline_GPSpine_Ind32" comment="Grabs the range reference for the sparkline trend chart depending on which practice is chosen i.e. Adelaide">OFFSET(Calculation!$G$68,0,(IF(Calculation!$H$3="Y02838",0,-2)),1,(IF(Calculation!$H$3="Y02838",1,3)))</definedName>
    <definedName name="Sparkline_GPSpine_Ind33" comment="Grabs the range reference for the sparkline trend chart depending on which practice is chosen i.e. Adelaide">OFFSET(Calculation!$G$69,0,(IF(Calculation!$H$3="Y02838",0,-2)),1,(IF(Calculation!$H$3="Y02838",1,3)))</definedName>
    <definedName name="Sparkline_GPSpine_Ind34" comment="Grabs the range reference for the sparkline trend chart depending on which practice is chosen i.e. Adelaide">OFFSET(Calculation!$G$70,0,(IF(Calculation!$H$3="Y02838",0,-2)),1,(IF(Calculation!$H$3="Y02838",1,3)))</definedName>
    <definedName name="Sparkline_GPSpine_Ind35" comment="Grabs the range reference for the sparkline trend chart depending on which practice is chosen i.e. Adelaide">OFFSET(Calculation!$G$71,0,(IF(Calculation!$H$3="Y02838",0,-2)),1,(IF(Calculation!$H$3="Y02838",1,3)))</definedName>
    <definedName name="Sparkline_GPSpine_Ind36" comment="Grabs the range reference for the sparkline trend chart depending on which practice is chosen i.e. Adelaide">OFFSET(Calculation!$G$72,0,(IF(Calculation!$H$3="Y02838",-1,-3)),1,(IF(Calculation!$H$3="Y02838",2,4)))</definedName>
    <definedName name="Sparkline_GPSpine_Ind37" comment="Grabs the range reference for the sparkline trend chart depending on which practice is chosen i.e. Adelaide">OFFSET(Calculation!$G$73,0,(IF(Calculation!$H$3="Y02838",-1,-3)),1,(IF(Calculation!$H$3="Y02838",2,4)))</definedName>
    <definedName name="Sparkline_GPSpine_Ind38" comment="Grabs the range reference for the sparkline trend chart depending on which practice is chosen i.e. Adelaide">OFFSET(Calculation!$G$74,0,(IF(Calculation!$H$3="Y02838",0,-2)),1,(IF(Calculation!$H$3="Y02838",1,3)))</definedName>
    <definedName name="Sparkline_GPSpine_Ind39" comment="Grabs the range reference for the sparkline trend chart depending on which practice is chosen i.e. Adelaide">OFFSET(Calculation!$G$75,0,(IF(Calculation!$H$3="Y02838",0,-2)),1,(IF(Calculation!$H$3="Y02838",1,3)))</definedName>
    <definedName name="Y02838___Adelaide_Health_Centre">'Spine Chart (Locality)'!$E$6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 i="165" l="1"/>
  <c r="C46" i="116" l="1"/>
  <c r="D68" i="165" l="1"/>
  <c r="C10" i="165" l="1"/>
  <c r="D10" i="165"/>
  <c r="C11" i="165"/>
  <c r="D11" i="165"/>
  <c r="C12" i="165"/>
  <c r="D12" i="165"/>
  <c r="C13" i="165"/>
  <c r="D13" i="165"/>
  <c r="C14" i="165"/>
  <c r="D14" i="165"/>
  <c r="C15" i="165"/>
  <c r="D15" i="165"/>
  <c r="C16" i="165"/>
  <c r="D16" i="165"/>
  <c r="C17" i="165"/>
  <c r="D17" i="165"/>
  <c r="C18" i="165"/>
  <c r="D18" i="165"/>
  <c r="C19" i="165"/>
  <c r="D19" i="165"/>
  <c r="C20" i="165"/>
  <c r="D20" i="165"/>
  <c r="C21" i="165"/>
  <c r="D21" i="165"/>
  <c r="C22" i="165"/>
  <c r="D22" i="165"/>
  <c r="C23" i="165"/>
  <c r="D23" i="165"/>
  <c r="C24" i="165"/>
  <c r="D24" i="165"/>
  <c r="C25" i="165"/>
  <c r="D25" i="165"/>
  <c r="C26" i="165"/>
  <c r="D26" i="165"/>
  <c r="C27" i="165"/>
  <c r="D27" i="165"/>
  <c r="C28" i="165"/>
  <c r="D28" i="165"/>
  <c r="C29" i="165"/>
  <c r="D29" i="165"/>
  <c r="C30" i="165"/>
  <c r="D30" i="165"/>
  <c r="C31" i="165"/>
  <c r="D31" i="165"/>
  <c r="C32" i="165"/>
  <c r="D32" i="165"/>
  <c r="C33" i="165"/>
  <c r="D33" i="165"/>
  <c r="C34" i="165"/>
  <c r="D34" i="165"/>
  <c r="C35" i="165"/>
  <c r="D35" i="165"/>
  <c r="C36" i="165"/>
  <c r="D36" i="165"/>
  <c r="C37" i="165"/>
  <c r="D37" i="165"/>
  <c r="C38" i="165"/>
  <c r="D38" i="165"/>
  <c r="C39" i="165"/>
  <c r="D39" i="165"/>
  <c r="C40" i="165"/>
  <c r="D40" i="165"/>
  <c r="C41" i="165"/>
  <c r="D41" i="165"/>
  <c r="C42" i="165"/>
  <c r="D42" i="165"/>
  <c r="C43" i="165"/>
  <c r="D43" i="165"/>
  <c r="C44" i="165"/>
  <c r="D44" i="165"/>
  <c r="C45" i="165"/>
  <c r="D45" i="165"/>
  <c r="C46" i="165"/>
  <c r="D46" i="165"/>
  <c r="C47" i="165"/>
  <c r="D47" i="165"/>
  <c r="C48" i="165"/>
  <c r="D48" i="165"/>
  <c r="C49" i="165"/>
  <c r="D49" i="165"/>
  <c r="C50" i="165"/>
  <c r="D50" i="165"/>
  <c r="C51" i="165"/>
  <c r="D51" i="165"/>
  <c r="C52" i="165"/>
  <c r="D52" i="165"/>
  <c r="C53" i="165"/>
  <c r="D53" i="165"/>
  <c r="C54" i="165"/>
  <c r="D54" i="165"/>
  <c r="C55" i="165"/>
  <c r="D55" i="165"/>
  <c r="C56" i="165"/>
  <c r="D56" i="165"/>
  <c r="C57" i="165"/>
  <c r="D57" i="165"/>
  <c r="C58" i="165"/>
  <c r="D58" i="165"/>
  <c r="C59" i="165"/>
  <c r="D59" i="165"/>
  <c r="C60" i="165"/>
  <c r="D60" i="165"/>
  <c r="C61" i="165"/>
  <c r="D61" i="165"/>
  <c r="C62" i="165"/>
  <c r="D62" i="165"/>
  <c r="C63" i="165"/>
  <c r="D63" i="165"/>
  <c r="C64" i="165"/>
  <c r="D64" i="165"/>
  <c r="C65" i="165"/>
  <c r="D65" i="165"/>
  <c r="C66" i="165"/>
  <c r="D66" i="165"/>
  <c r="C67" i="165"/>
  <c r="D67" i="165"/>
  <c r="C68" i="165"/>
  <c r="C69" i="165"/>
  <c r="D69" i="165"/>
  <c r="C70" i="165"/>
  <c r="D70" i="165"/>
  <c r="C71" i="165"/>
  <c r="D71" i="165"/>
  <c r="C72" i="165"/>
  <c r="D72" i="165"/>
  <c r="C73" i="165"/>
  <c r="D73" i="165"/>
  <c r="T46" i="284" l="1"/>
  <c r="R46" i="284"/>
  <c r="Q46" i="284"/>
  <c r="P46" i="284"/>
  <c r="N46" i="284"/>
  <c r="T45" i="284"/>
  <c r="R45" i="284"/>
  <c r="Q45" i="284"/>
  <c r="P45" i="284"/>
  <c r="N45" i="284"/>
  <c r="T44" i="284"/>
  <c r="R44" i="284"/>
  <c r="Q44" i="284"/>
  <c r="P44" i="284"/>
  <c r="N44" i="284"/>
  <c r="AJ31" i="284"/>
  <c r="AI31" i="284"/>
  <c r="AH31" i="284"/>
  <c r="AG31" i="284"/>
  <c r="U31" i="284"/>
  <c r="T31" i="284"/>
  <c r="R31" i="284"/>
  <c r="Q31" i="284"/>
  <c r="M31" i="284" s="1"/>
  <c r="AK22" i="284" s="1"/>
  <c r="P31" i="284"/>
  <c r="N31" i="284"/>
  <c r="E31" i="284"/>
  <c r="AJ30" i="284"/>
  <c r="AI30" i="284"/>
  <c r="AH30" i="284"/>
  <c r="AG30" i="284"/>
  <c r="U30" i="284"/>
  <c r="T30" i="284"/>
  <c r="R30" i="284"/>
  <c r="Q30" i="284"/>
  <c r="P30" i="284"/>
  <c r="N30" i="284"/>
  <c r="E30" i="284"/>
  <c r="AF13" i="284" s="1"/>
  <c r="AJ29" i="284"/>
  <c r="AI29" i="284"/>
  <c r="AH29" i="284"/>
  <c r="AG29" i="284"/>
  <c r="U29" i="284"/>
  <c r="T29" i="284"/>
  <c r="R29" i="284"/>
  <c r="Q29" i="284"/>
  <c r="P29" i="284"/>
  <c r="N29" i="284"/>
  <c r="E29" i="284"/>
  <c r="AF21" i="284" s="1"/>
  <c r="AJ28" i="284"/>
  <c r="AI28" i="284"/>
  <c r="AH28" i="284"/>
  <c r="AG28" i="284"/>
  <c r="U28" i="284"/>
  <c r="T28" i="284"/>
  <c r="R28" i="284"/>
  <c r="Q28" i="284"/>
  <c r="P28" i="284"/>
  <c r="N28" i="284"/>
  <c r="E28" i="284"/>
  <c r="AF31" i="284" s="1"/>
  <c r="AJ27" i="284"/>
  <c r="AI27" i="284"/>
  <c r="AH27" i="284"/>
  <c r="AG27" i="284"/>
  <c r="U27" i="284"/>
  <c r="T27" i="284"/>
  <c r="R27" i="284"/>
  <c r="Q27" i="284"/>
  <c r="M27" i="284" s="1"/>
  <c r="AK12" i="284" s="1"/>
  <c r="P27" i="284"/>
  <c r="N27" i="284"/>
  <c r="E27" i="284"/>
  <c r="AF12" i="284" s="1"/>
  <c r="AJ26" i="284"/>
  <c r="AI26" i="284"/>
  <c r="AH26" i="284"/>
  <c r="AG26" i="284"/>
  <c r="U26" i="284"/>
  <c r="T26" i="284"/>
  <c r="R26" i="284"/>
  <c r="Q26" i="284"/>
  <c r="P26" i="284"/>
  <c r="N26" i="284"/>
  <c r="E26" i="284"/>
  <c r="AF30" i="284" s="1"/>
  <c r="AJ25" i="284"/>
  <c r="AI25" i="284"/>
  <c r="AH25" i="284"/>
  <c r="AG25" i="284"/>
  <c r="U25" i="284"/>
  <c r="T25" i="284"/>
  <c r="R25" i="284"/>
  <c r="Q25" i="284"/>
  <c r="P25" i="284"/>
  <c r="N25" i="284"/>
  <c r="E25" i="284"/>
  <c r="AF20" i="284" s="1"/>
  <c r="AJ24" i="284"/>
  <c r="AI24" i="284"/>
  <c r="AH24" i="284"/>
  <c r="AG24" i="284"/>
  <c r="U24" i="284"/>
  <c r="T24" i="284"/>
  <c r="R24" i="284"/>
  <c r="Q24" i="284"/>
  <c r="P24" i="284"/>
  <c r="N24" i="284"/>
  <c r="E24" i="284"/>
  <c r="AF11" i="284" s="1"/>
  <c r="AJ23" i="284"/>
  <c r="AI23" i="284"/>
  <c r="AH23" i="284"/>
  <c r="AG23" i="284"/>
  <c r="U23" i="284"/>
  <c r="T23" i="284"/>
  <c r="R23" i="284"/>
  <c r="Q23" i="284"/>
  <c r="P23" i="284"/>
  <c r="N23" i="284"/>
  <c r="E23" i="284"/>
  <c r="AF10" i="284" s="1"/>
  <c r="AJ22" i="284"/>
  <c r="AI22" i="284"/>
  <c r="AH22" i="284"/>
  <c r="AG22" i="284"/>
  <c r="AF22" i="284"/>
  <c r="U22" i="284"/>
  <c r="T22" i="284"/>
  <c r="R22" i="284"/>
  <c r="Q22" i="284"/>
  <c r="M22" i="284" s="1"/>
  <c r="AK9" i="284" s="1"/>
  <c r="P22" i="284"/>
  <c r="N22" i="284"/>
  <c r="E22" i="284"/>
  <c r="AF9" i="284" s="1"/>
  <c r="AJ21" i="284"/>
  <c r="AI21" i="284"/>
  <c r="AH21" i="284"/>
  <c r="AG21" i="284"/>
  <c r="U21" i="284"/>
  <c r="T21" i="284"/>
  <c r="R21" i="284"/>
  <c r="Q21" i="284"/>
  <c r="P21" i="284"/>
  <c r="N21" i="284"/>
  <c r="E21" i="284"/>
  <c r="AF29" i="284" s="1"/>
  <c r="AJ20" i="284"/>
  <c r="AI20" i="284"/>
  <c r="AH20" i="284"/>
  <c r="AG20" i="284"/>
  <c r="U20" i="284"/>
  <c r="T20" i="284"/>
  <c r="R20" i="284"/>
  <c r="Q20" i="284"/>
  <c r="M20" i="284" s="1"/>
  <c r="AK19" i="284" s="1"/>
  <c r="P20" i="284"/>
  <c r="N20" i="284"/>
  <c r="E20" i="284"/>
  <c r="AF19" i="284" s="1"/>
  <c r="AJ19" i="284"/>
  <c r="AI19" i="284"/>
  <c r="AH19" i="284"/>
  <c r="AG19" i="284"/>
  <c r="U19" i="284"/>
  <c r="T19" i="284"/>
  <c r="R19" i="284"/>
  <c r="Q19" i="284"/>
  <c r="P19" i="284"/>
  <c r="N19" i="284"/>
  <c r="E19" i="284"/>
  <c r="AF28" i="284" s="1"/>
  <c r="AJ18" i="284"/>
  <c r="AI18" i="284"/>
  <c r="AH18" i="284"/>
  <c r="AG18" i="284"/>
  <c r="U18" i="284"/>
  <c r="T18" i="284"/>
  <c r="R18" i="284"/>
  <c r="M18" i="284" s="1"/>
  <c r="AK8" i="284" s="1"/>
  <c r="Q18" i="284"/>
  <c r="P18" i="284"/>
  <c r="N18" i="284"/>
  <c r="E18" i="284"/>
  <c r="AF8" i="284" s="1"/>
  <c r="AJ17" i="284"/>
  <c r="AI17" i="284"/>
  <c r="AH17" i="284"/>
  <c r="AG17" i="284"/>
  <c r="U17" i="284"/>
  <c r="T17" i="284"/>
  <c r="R17" i="284"/>
  <c r="Q17" i="284"/>
  <c r="P17" i="284"/>
  <c r="N17" i="284"/>
  <c r="E17" i="284"/>
  <c r="AF27" i="284" s="1"/>
  <c r="AJ16" i="284"/>
  <c r="AI16" i="284"/>
  <c r="AH16" i="284"/>
  <c r="AG16" i="284"/>
  <c r="U16" i="284"/>
  <c r="T16" i="284"/>
  <c r="R16" i="284"/>
  <c r="Q16" i="284"/>
  <c r="P16" i="284"/>
  <c r="N16" i="284"/>
  <c r="E16" i="284"/>
  <c r="AF26" i="284" s="1"/>
  <c r="AJ15" i="284"/>
  <c r="AI15" i="284"/>
  <c r="AH15" i="284"/>
  <c r="AG15" i="284"/>
  <c r="U15" i="284"/>
  <c r="T15" i="284"/>
  <c r="R15" i="284"/>
  <c r="Q15" i="284"/>
  <c r="P15" i="284"/>
  <c r="N15" i="284"/>
  <c r="E15" i="284"/>
  <c r="AF18" i="284" s="1"/>
  <c r="AJ14" i="284"/>
  <c r="AI14" i="284"/>
  <c r="AH14" i="284"/>
  <c r="AG14" i="284"/>
  <c r="U14" i="284"/>
  <c r="T14" i="284"/>
  <c r="R14" i="284"/>
  <c r="Q14" i="284"/>
  <c r="P14" i="284"/>
  <c r="N14" i="284"/>
  <c r="E14" i="284"/>
  <c r="AF17" i="284" s="1"/>
  <c r="AJ13" i="284"/>
  <c r="AI13" i="284"/>
  <c r="AH13" i="284"/>
  <c r="AG13" i="284"/>
  <c r="U13" i="284"/>
  <c r="T13" i="284"/>
  <c r="R13" i="284"/>
  <c r="Q13" i="284"/>
  <c r="P13" i="284"/>
  <c r="N13" i="284"/>
  <c r="E13" i="284"/>
  <c r="AF16" i="284" s="1"/>
  <c r="AJ12" i="284"/>
  <c r="AI12" i="284"/>
  <c r="AH12" i="284"/>
  <c r="AG12" i="284"/>
  <c r="U12" i="284"/>
  <c r="T12" i="284"/>
  <c r="R12" i="284"/>
  <c r="Q12" i="284"/>
  <c r="P12" i="284"/>
  <c r="N12" i="284"/>
  <c r="E12" i="284"/>
  <c r="AF7" i="284" s="1"/>
  <c r="AJ11" i="284"/>
  <c r="AI11" i="284"/>
  <c r="AH11" i="284"/>
  <c r="AG11" i="284"/>
  <c r="U11" i="284"/>
  <c r="T11" i="284"/>
  <c r="R11" i="284"/>
  <c r="Q11" i="284"/>
  <c r="M11" i="284" s="1"/>
  <c r="AK25" i="284" s="1"/>
  <c r="P11" i="284"/>
  <c r="N11" i="284"/>
  <c r="E11" i="284"/>
  <c r="AF25" i="284" s="1"/>
  <c r="AJ10" i="284"/>
  <c r="AI10" i="284"/>
  <c r="AH10" i="284"/>
  <c r="AG10" i="284"/>
  <c r="U10" i="284"/>
  <c r="T10" i="284"/>
  <c r="R10" i="284"/>
  <c r="Q10" i="284"/>
  <c r="P10" i="284"/>
  <c r="N10" i="284"/>
  <c r="E10" i="284"/>
  <c r="AJ9" i="284"/>
  <c r="AI9" i="284"/>
  <c r="AH9" i="284"/>
  <c r="AG9" i="284"/>
  <c r="U9" i="284"/>
  <c r="T9" i="284"/>
  <c r="R9" i="284"/>
  <c r="Q9" i="284"/>
  <c r="P9" i="284"/>
  <c r="N9" i="284"/>
  <c r="E9" i="284"/>
  <c r="AF15" i="284" s="1"/>
  <c r="AJ8" i="284"/>
  <c r="AI8" i="284"/>
  <c r="AH8" i="284"/>
  <c r="AG8" i="284"/>
  <c r="U8" i="284"/>
  <c r="T8" i="284"/>
  <c r="R8" i="284"/>
  <c r="Q8" i="284"/>
  <c r="P8" i="284"/>
  <c r="N8" i="284"/>
  <c r="E8" i="284"/>
  <c r="AF24" i="284" s="1"/>
  <c r="AJ7" i="284"/>
  <c r="AI7" i="284"/>
  <c r="AH7" i="284"/>
  <c r="AG7" i="284"/>
  <c r="U7" i="284"/>
  <c r="T7" i="284"/>
  <c r="R7" i="284"/>
  <c r="Q7" i="284"/>
  <c r="P7" i="284"/>
  <c r="N7" i="284"/>
  <c r="E7" i="284"/>
  <c r="AF23" i="284" s="1"/>
  <c r="AJ6" i="284"/>
  <c r="AI6" i="284"/>
  <c r="AH6" i="284"/>
  <c r="AG6" i="284"/>
  <c r="U6" i="284"/>
  <c r="T6" i="284"/>
  <c r="R6" i="284"/>
  <c r="Q6" i="284"/>
  <c r="P6" i="284"/>
  <c r="N6" i="284"/>
  <c r="E6" i="284"/>
  <c r="M23" i="284" l="1"/>
  <c r="AK10" i="284" s="1"/>
  <c r="M26" i="284"/>
  <c r="AK30" i="284" s="1"/>
  <c r="M7" i="284"/>
  <c r="AK23" i="284" s="1"/>
  <c r="M29" i="284"/>
  <c r="AK21" i="284" s="1"/>
  <c r="M19" i="284"/>
  <c r="AK28" i="284" s="1"/>
  <c r="M44" i="284"/>
  <c r="M10" i="284"/>
  <c r="AK6" i="284" s="1"/>
  <c r="M15" i="284"/>
  <c r="AK18" i="284" s="1"/>
  <c r="M46" i="284"/>
  <c r="M6" i="284"/>
  <c r="AK14" i="284" s="1"/>
  <c r="M13" i="284"/>
  <c r="AK16" i="284" s="1"/>
  <c r="M28" i="284"/>
  <c r="AK31" i="284" s="1"/>
  <c r="M17" i="284"/>
  <c r="AK27" i="284" s="1"/>
  <c r="M24" i="284"/>
  <c r="AK11" i="284" s="1"/>
  <c r="M45" i="284"/>
  <c r="M9" i="284"/>
  <c r="AK15" i="284" s="1"/>
  <c r="M14" i="284"/>
  <c r="AK17" i="284" s="1"/>
  <c r="M16" i="284"/>
  <c r="AK26" i="284" s="1"/>
  <c r="M25" i="284"/>
  <c r="AK20" i="284" s="1"/>
  <c r="M8" i="284"/>
  <c r="AK24" i="284" s="1"/>
  <c r="M12" i="284"/>
  <c r="AK7" i="284" s="1"/>
  <c r="M21" i="284"/>
  <c r="AK29" i="284" s="1"/>
  <c r="M30" i="284"/>
  <c r="AK13" i="284" s="1"/>
  <c r="AD6" i="284"/>
  <c r="K44" i="284" s="1"/>
  <c r="AD14" i="284"/>
  <c r="K45" i="284" s="1"/>
  <c r="O9" i="284"/>
  <c r="O26" i="284"/>
  <c r="AD29" i="284"/>
  <c r="AB20" i="284"/>
  <c r="O30" i="284"/>
  <c r="AC17" i="284"/>
  <c r="AB28" i="284"/>
  <c r="AB30" i="284"/>
  <c r="AB17" i="284"/>
  <c r="AD23" i="284"/>
  <c r="K46" i="284" s="1"/>
  <c r="AC25" i="284"/>
  <c r="AD11" i="284"/>
  <c r="AB21" i="284"/>
  <c r="AB12" i="284"/>
  <c r="AB25" i="284"/>
  <c r="AB29" i="284"/>
  <c r="AC30" i="284"/>
  <c r="AB9" i="284"/>
  <c r="AB13" i="284"/>
  <c r="AB26" i="284"/>
  <c r="AC22" i="284"/>
  <c r="AB24" i="284"/>
  <c r="AC9" i="284"/>
  <c r="AB18" i="284"/>
  <c r="AB22" i="284"/>
  <c r="AC26" i="284"/>
  <c r="O17" i="284"/>
  <c r="S21" i="284"/>
  <c r="AD22" i="284"/>
  <c r="O25" i="284"/>
  <c r="S29" i="284"/>
  <c r="AD30" i="284"/>
  <c r="O45" i="284"/>
  <c r="AF6" i="284"/>
  <c r="AB7" i="284"/>
  <c r="S8" i="284"/>
  <c r="AD9" i="284"/>
  <c r="O12" i="284"/>
  <c r="AC12" i="284"/>
  <c r="AF14" i="284"/>
  <c r="AB15" i="284"/>
  <c r="S16" i="284"/>
  <c r="AD17" i="284"/>
  <c r="O20" i="284"/>
  <c r="AC20" i="284"/>
  <c r="AB23" i="284"/>
  <c r="S24" i="284"/>
  <c r="AD25" i="284"/>
  <c r="O28" i="284"/>
  <c r="AC28" i="284"/>
  <c r="AB31" i="284"/>
  <c r="O7" i="284"/>
  <c r="AC7" i="284"/>
  <c r="AB10" i="284"/>
  <c r="S11" i="284"/>
  <c r="AD12" i="284"/>
  <c r="O15" i="284"/>
  <c r="AC15" i="284"/>
  <c r="S19" i="284"/>
  <c r="AD20" i="284"/>
  <c r="O23" i="284"/>
  <c r="AC23" i="284"/>
  <c r="J46" i="284" s="1"/>
  <c r="S27" i="284"/>
  <c r="AD28" i="284"/>
  <c r="O31" i="284"/>
  <c r="AC31" i="284"/>
  <c r="S44" i="284"/>
  <c r="O46" i="284"/>
  <c r="S13" i="284"/>
  <c r="S6" i="284"/>
  <c r="AC10" i="284"/>
  <c r="S14" i="284"/>
  <c r="O18" i="284"/>
  <c r="AC18" i="284"/>
  <c r="S22" i="284"/>
  <c r="S30" i="284"/>
  <c r="AD31" i="284"/>
  <c r="AB8" i="284"/>
  <c r="AD10" i="284"/>
  <c r="S17" i="284"/>
  <c r="AD18" i="284"/>
  <c r="O21" i="284"/>
  <c r="AC21" i="284"/>
  <c r="S25" i="284"/>
  <c r="AB11" i="284"/>
  <c r="AD13" i="284"/>
  <c r="S20" i="284"/>
  <c r="O24" i="284"/>
  <c r="AC24" i="284"/>
  <c r="AB27" i="284"/>
  <c r="AB6" i="284"/>
  <c r="S7" i="284"/>
  <c r="AD8" i="284"/>
  <c r="O11" i="284"/>
  <c r="AC11" i="284"/>
  <c r="AB14" i="284"/>
  <c r="S15" i="284"/>
  <c r="AD16" i="284"/>
  <c r="O19" i="284"/>
  <c r="AC19" i="284"/>
  <c r="S23" i="284"/>
  <c r="AD24" i="284"/>
  <c r="O27" i="284"/>
  <c r="AC27" i="284"/>
  <c r="S31" i="284"/>
  <c r="O44" i="284"/>
  <c r="S46" i="284"/>
  <c r="AD7" i="284"/>
  <c r="O10" i="284"/>
  <c r="AD15" i="284"/>
  <c r="S9" i="284"/>
  <c r="O13" i="284"/>
  <c r="AC13" i="284"/>
  <c r="AB16" i="284"/>
  <c r="AD26" i="284"/>
  <c r="O29" i="284"/>
  <c r="AC29" i="284"/>
  <c r="S45" i="284"/>
  <c r="O8" i="284"/>
  <c r="AC8" i="284"/>
  <c r="S12" i="284"/>
  <c r="O16" i="284"/>
  <c r="AC16" i="284"/>
  <c r="AB19" i="284"/>
  <c r="AD21" i="284"/>
  <c r="S28" i="284"/>
  <c r="O6" i="284"/>
  <c r="AC6" i="284"/>
  <c r="J44" i="284" s="1"/>
  <c r="S10" i="284"/>
  <c r="O14" i="284"/>
  <c r="AC14" i="284"/>
  <c r="J45" i="284" s="1"/>
  <c r="S18" i="284"/>
  <c r="AD19" i="284"/>
  <c r="O22" i="284"/>
  <c r="S26" i="284"/>
  <c r="AD27" i="284"/>
  <c r="T46" i="282"/>
  <c r="R46" i="282"/>
  <c r="Q46" i="282"/>
  <c r="M46" i="282" s="1"/>
  <c r="P46" i="282"/>
  <c r="N46" i="282"/>
  <c r="T45" i="282"/>
  <c r="R45" i="282"/>
  <c r="Q45" i="282"/>
  <c r="P45" i="282"/>
  <c r="N45" i="282"/>
  <c r="T44" i="282"/>
  <c r="R44" i="282"/>
  <c r="Q44" i="282"/>
  <c r="M44" i="282" s="1"/>
  <c r="P44" i="282"/>
  <c r="N44" i="282"/>
  <c r="AJ31" i="282"/>
  <c r="AI31" i="282"/>
  <c r="AH31" i="282"/>
  <c r="AG31" i="282"/>
  <c r="U31" i="282"/>
  <c r="T31" i="282"/>
  <c r="R31" i="282"/>
  <c r="Q31" i="282"/>
  <c r="M31" i="282" s="1"/>
  <c r="AK22" i="282" s="1"/>
  <c r="P31" i="282"/>
  <c r="N31" i="282"/>
  <c r="E31" i="282"/>
  <c r="AJ30" i="282"/>
  <c r="AI30" i="282"/>
  <c r="AH30" i="282"/>
  <c r="AG30" i="282"/>
  <c r="U30" i="282"/>
  <c r="T30" i="282"/>
  <c r="R30" i="282"/>
  <c r="Q30" i="282"/>
  <c r="M30" i="282" s="1"/>
  <c r="AK13" i="282" s="1"/>
  <c r="P30" i="282"/>
  <c r="N30" i="282"/>
  <c r="E30" i="282"/>
  <c r="AF13" i="282" s="1"/>
  <c r="AJ29" i="282"/>
  <c r="AI29" i="282"/>
  <c r="AH29" i="282"/>
  <c r="AG29" i="282"/>
  <c r="U29" i="282"/>
  <c r="T29" i="282"/>
  <c r="R29" i="282"/>
  <c r="Q29" i="282"/>
  <c r="M29" i="282" s="1"/>
  <c r="AK21" i="282" s="1"/>
  <c r="P29" i="282"/>
  <c r="N29" i="282"/>
  <c r="E29" i="282"/>
  <c r="AF21" i="282" s="1"/>
  <c r="AJ28" i="282"/>
  <c r="AI28" i="282"/>
  <c r="AH28" i="282"/>
  <c r="AG28" i="282"/>
  <c r="U28" i="282"/>
  <c r="T28" i="282"/>
  <c r="R28" i="282"/>
  <c r="Q28" i="282"/>
  <c r="P28" i="282"/>
  <c r="N28" i="282"/>
  <c r="E28" i="282"/>
  <c r="AF31" i="282" s="1"/>
  <c r="AJ27" i="282"/>
  <c r="AI27" i="282"/>
  <c r="AH27" i="282"/>
  <c r="AG27" i="282"/>
  <c r="U27" i="282"/>
  <c r="T27" i="282"/>
  <c r="R27" i="282"/>
  <c r="Q27" i="282"/>
  <c r="P27" i="282"/>
  <c r="N27" i="282"/>
  <c r="E27" i="282"/>
  <c r="AJ26" i="282"/>
  <c r="AI26" i="282"/>
  <c r="AH26" i="282"/>
  <c r="AG26" i="282"/>
  <c r="U26" i="282"/>
  <c r="T26" i="282"/>
  <c r="R26" i="282"/>
  <c r="Q26" i="282"/>
  <c r="P26" i="282"/>
  <c r="N26" i="282"/>
  <c r="E26" i="282"/>
  <c r="AF30" i="282" s="1"/>
  <c r="AJ25" i="282"/>
  <c r="AI25" i="282"/>
  <c r="AH25" i="282"/>
  <c r="AG25" i="282"/>
  <c r="U25" i="282"/>
  <c r="T25" i="282"/>
  <c r="R25" i="282"/>
  <c r="Q25" i="282"/>
  <c r="P25" i="282"/>
  <c r="N25" i="282"/>
  <c r="E25" i="282"/>
  <c r="AJ24" i="282"/>
  <c r="AI24" i="282"/>
  <c r="AH24" i="282"/>
  <c r="AG24" i="282"/>
  <c r="U24" i="282"/>
  <c r="T24" i="282"/>
  <c r="R24" i="282"/>
  <c r="Q24" i="282"/>
  <c r="P24" i="282"/>
  <c r="N24" i="282"/>
  <c r="E24" i="282"/>
  <c r="AF11" i="282" s="1"/>
  <c r="AJ23" i="282"/>
  <c r="AI23" i="282"/>
  <c r="AH23" i="282"/>
  <c r="AG23" i="282"/>
  <c r="U23" i="282"/>
  <c r="T23" i="282"/>
  <c r="R23" i="282"/>
  <c r="Q23" i="282"/>
  <c r="M23" i="282" s="1"/>
  <c r="AK10" i="282" s="1"/>
  <c r="P23" i="282"/>
  <c r="N23" i="282"/>
  <c r="E23" i="282"/>
  <c r="AJ22" i="282"/>
  <c r="AI22" i="282"/>
  <c r="AH22" i="282"/>
  <c r="AG22" i="282"/>
  <c r="AF22" i="282"/>
  <c r="U22" i="282"/>
  <c r="T22" i="282"/>
  <c r="R22" i="282"/>
  <c r="Q22" i="282"/>
  <c r="P22" i="282"/>
  <c r="N22" i="282"/>
  <c r="E22" i="282"/>
  <c r="AF9" i="282" s="1"/>
  <c r="AJ21" i="282"/>
  <c r="AI21" i="282"/>
  <c r="AH21" i="282"/>
  <c r="AG21" i="282"/>
  <c r="U21" i="282"/>
  <c r="T21" i="282"/>
  <c r="R21" i="282"/>
  <c r="Q21" i="282"/>
  <c r="P21" i="282"/>
  <c r="N21" i="282"/>
  <c r="E21" i="282"/>
  <c r="AF29" i="282" s="1"/>
  <c r="AJ20" i="282"/>
  <c r="AI20" i="282"/>
  <c r="AH20" i="282"/>
  <c r="AG20" i="282"/>
  <c r="AF20" i="282"/>
  <c r="U20" i="282"/>
  <c r="T20" i="282"/>
  <c r="R20" i="282"/>
  <c r="Q20" i="282"/>
  <c r="P20" i="282"/>
  <c r="N20" i="282"/>
  <c r="E20" i="282"/>
  <c r="AF19" i="282" s="1"/>
  <c r="AJ19" i="282"/>
  <c r="AI19" i="282"/>
  <c r="AH19" i="282"/>
  <c r="AG19" i="282"/>
  <c r="U19" i="282"/>
  <c r="T19" i="282"/>
  <c r="R19" i="282"/>
  <c r="Q19" i="282"/>
  <c r="P19" i="282"/>
  <c r="N19" i="282"/>
  <c r="E19" i="282"/>
  <c r="AF28" i="282" s="1"/>
  <c r="AJ18" i="282"/>
  <c r="AI18" i="282"/>
  <c r="AH18" i="282"/>
  <c r="AG18" i="282"/>
  <c r="U18" i="282"/>
  <c r="T18" i="282"/>
  <c r="R18" i="282"/>
  <c r="Q18" i="282"/>
  <c r="P18" i="282"/>
  <c r="N18" i="282"/>
  <c r="E18" i="282"/>
  <c r="AF8" i="282" s="1"/>
  <c r="AJ17" i="282"/>
  <c r="AI17" i="282"/>
  <c r="AH17" i="282"/>
  <c r="AG17" i="282"/>
  <c r="U17" i="282"/>
  <c r="T17" i="282"/>
  <c r="R17" i="282"/>
  <c r="Q17" i="282"/>
  <c r="P17" i="282"/>
  <c r="N17" i="282"/>
  <c r="E17" i="282"/>
  <c r="AF27" i="282" s="1"/>
  <c r="AJ16" i="282"/>
  <c r="AI16" i="282"/>
  <c r="AH16" i="282"/>
  <c r="AG16" i="282"/>
  <c r="U16" i="282"/>
  <c r="T16" i="282"/>
  <c r="R16" i="282"/>
  <c r="Q16" i="282"/>
  <c r="P16" i="282"/>
  <c r="N16" i="282"/>
  <c r="E16" i="282"/>
  <c r="AF26" i="282" s="1"/>
  <c r="AJ15" i="282"/>
  <c r="AI15" i="282"/>
  <c r="AH15" i="282"/>
  <c r="AG15" i="282"/>
  <c r="U15" i="282"/>
  <c r="T15" i="282"/>
  <c r="R15" i="282"/>
  <c r="Q15" i="282"/>
  <c r="P15" i="282"/>
  <c r="N15" i="282"/>
  <c r="E15" i="282"/>
  <c r="AF18" i="282" s="1"/>
  <c r="AJ14" i="282"/>
  <c r="AI14" i="282"/>
  <c r="AH14" i="282"/>
  <c r="AG14" i="282"/>
  <c r="U14" i="282"/>
  <c r="T14" i="282"/>
  <c r="R14" i="282"/>
  <c r="Q14" i="282"/>
  <c r="P14" i="282"/>
  <c r="N14" i="282"/>
  <c r="E14" i="282"/>
  <c r="AF17" i="282" s="1"/>
  <c r="AJ13" i="282"/>
  <c r="AI13" i="282"/>
  <c r="AH13" i="282"/>
  <c r="AG13" i="282"/>
  <c r="U13" i="282"/>
  <c r="T13" i="282"/>
  <c r="R13" i="282"/>
  <c r="Q13" i="282"/>
  <c r="M13" i="282" s="1"/>
  <c r="AK16" i="282" s="1"/>
  <c r="P13" i="282"/>
  <c r="N13" i="282"/>
  <c r="E13" i="282"/>
  <c r="AF16" i="282" s="1"/>
  <c r="AJ12" i="282"/>
  <c r="AI12" i="282"/>
  <c r="AH12" i="282"/>
  <c r="AG12" i="282"/>
  <c r="AF12" i="282"/>
  <c r="U12" i="282"/>
  <c r="T12" i="282"/>
  <c r="R12" i="282"/>
  <c r="Q12" i="282"/>
  <c r="P12" i="282"/>
  <c r="N12" i="282"/>
  <c r="E12" i="282"/>
  <c r="AJ11" i="282"/>
  <c r="AI11" i="282"/>
  <c r="AH11" i="282"/>
  <c r="AG11" i="282"/>
  <c r="U11" i="282"/>
  <c r="T11" i="282"/>
  <c r="R11" i="282"/>
  <c r="Q11" i="282"/>
  <c r="P11" i="282"/>
  <c r="N11" i="282"/>
  <c r="E11" i="282"/>
  <c r="AF25" i="282" s="1"/>
  <c r="AJ10" i="282"/>
  <c r="AI10" i="282"/>
  <c r="AH10" i="282"/>
  <c r="AG10" i="282"/>
  <c r="AF10" i="282"/>
  <c r="U10" i="282"/>
  <c r="T10" i="282"/>
  <c r="R10" i="282"/>
  <c r="Q10" i="282"/>
  <c r="P10" i="282"/>
  <c r="N10" i="282"/>
  <c r="E10" i="282"/>
  <c r="AJ9" i="282"/>
  <c r="AI9" i="282"/>
  <c r="AH9" i="282"/>
  <c r="AG9" i="282"/>
  <c r="U9" i="282"/>
  <c r="T9" i="282"/>
  <c r="R9" i="282"/>
  <c r="Q9" i="282"/>
  <c r="P9" i="282"/>
  <c r="N9" i="282"/>
  <c r="E9" i="282"/>
  <c r="AF15" i="282" s="1"/>
  <c r="AJ8" i="282"/>
  <c r="AI8" i="282"/>
  <c r="AH8" i="282"/>
  <c r="AG8" i="282"/>
  <c r="U8" i="282"/>
  <c r="T8" i="282"/>
  <c r="R8" i="282"/>
  <c r="Q8" i="282"/>
  <c r="P8" i="282"/>
  <c r="N8" i="282"/>
  <c r="E8" i="282"/>
  <c r="AF24" i="282" s="1"/>
  <c r="AJ7" i="282"/>
  <c r="AI7" i="282"/>
  <c r="AH7" i="282"/>
  <c r="AG7" i="282"/>
  <c r="AF7" i="282"/>
  <c r="U7" i="282"/>
  <c r="T7" i="282"/>
  <c r="R7" i="282"/>
  <c r="Q7" i="282"/>
  <c r="P7" i="282"/>
  <c r="N7" i="282"/>
  <c r="M7" i="282"/>
  <c r="AK23" i="282" s="1"/>
  <c r="E7" i="282"/>
  <c r="AF23" i="282" s="1"/>
  <c r="AJ6" i="282"/>
  <c r="AI6" i="282"/>
  <c r="AH6" i="282"/>
  <c r="AG6" i="282"/>
  <c r="U6" i="282"/>
  <c r="T6" i="282"/>
  <c r="R6" i="282"/>
  <c r="Q6" i="282"/>
  <c r="P6" i="282"/>
  <c r="N6" i="282"/>
  <c r="E6" i="282"/>
  <c r="AF14" i="282" s="1"/>
  <c r="T46" i="281"/>
  <c r="R46" i="281"/>
  <c r="Q46" i="281"/>
  <c r="P46" i="281"/>
  <c r="N46" i="281"/>
  <c r="T45" i="281"/>
  <c r="R45" i="281"/>
  <c r="Q45" i="281"/>
  <c r="P45" i="281"/>
  <c r="N45" i="281"/>
  <c r="T44" i="281"/>
  <c r="R44" i="281"/>
  <c r="Q44" i="281"/>
  <c r="P44" i="281"/>
  <c r="N44" i="281"/>
  <c r="AJ31" i="281"/>
  <c r="AI31" i="281"/>
  <c r="AH31" i="281"/>
  <c r="AG31" i="281"/>
  <c r="U31" i="281"/>
  <c r="T31" i="281"/>
  <c r="R31" i="281"/>
  <c r="Q31" i="281"/>
  <c r="M31" i="281" s="1"/>
  <c r="AK22" i="281" s="1"/>
  <c r="P31" i="281"/>
  <c r="N31" i="281"/>
  <c r="E31" i="281"/>
  <c r="AF22" i="281" s="1"/>
  <c r="AJ30" i="281"/>
  <c r="AI30" i="281"/>
  <c r="AH30" i="281"/>
  <c r="AG30" i="281"/>
  <c r="U30" i="281"/>
  <c r="T30" i="281"/>
  <c r="R30" i="281"/>
  <c r="Q30" i="281"/>
  <c r="P30" i="281"/>
  <c r="N30" i="281"/>
  <c r="E30" i="281"/>
  <c r="AF13" i="281" s="1"/>
  <c r="AJ29" i="281"/>
  <c r="AI29" i="281"/>
  <c r="AH29" i="281"/>
  <c r="AG29" i="281"/>
  <c r="U29" i="281"/>
  <c r="T29" i="281"/>
  <c r="R29" i="281"/>
  <c r="Q29" i="281"/>
  <c r="P29" i="281"/>
  <c r="N29" i="281"/>
  <c r="E29" i="281"/>
  <c r="AF21" i="281" s="1"/>
  <c r="AJ28" i="281"/>
  <c r="AI28" i="281"/>
  <c r="AH28" i="281"/>
  <c r="AG28" i="281"/>
  <c r="U28" i="281"/>
  <c r="T28" i="281"/>
  <c r="R28" i="281"/>
  <c r="Q28" i="281"/>
  <c r="P28" i="281"/>
  <c r="N28" i="281"/>
  <c r="E28" i="281"/>
  <c r="AF31" i="281" s="1"/>
  <c r="AJ27" i="281"/>
  <c r="AI27" i="281"/>
  <c r="AH27" i="281"/>
  <c r="AG27" i="281"/>
  <c r="U27" i="281"/>
  <c r="T27" i="281"/>
  <c r="R27" i="281"/>
  <c r="Q27" i="281"/>
  <c r="M27" i="281" s="1"/>
  <c r="AK12" i="281" s="1"/>
  <c r="P27" i="281"/>
  <c r="N27" i="281"/>
  <c r="E27" i="281"/>
  <c r="AF12" i="281" s="1"/>
  <c r="AJ26" i="281"/>
  <c r="AI26" i="281"/>
  <c r="AH26" i="281"/>
  <c r="AG26" i="281"/>
  <c r="U26" i="281"/>
  <c r="T26" i="281"/>
  <c r="R26" i="281"/>
  <c r="Q26" i="281"/>
  <c r="M26" i="281" s="1"/>
  <c r="AK30" i="281" s="1"/>
  <c r="P26" i="281"/>
  <c r="N26" i="281"/>
  <c r="E26" i="281"/>
  <c r="AF30" i="281" s="1"/>
  <c r="AJ25" i="281"/>
  <c r="AI25" i="281"/>
  <c r="AH25" i="281"/>
  <c r="AG25" i="281"/>
  <c r="U25" i="281"/>
  <c r="T25" i="281"/>
  <c r="R25" i="281"/>
  <c r="Q25" i="281"/>
  <c r="P25" i="281"/>
  <c r="N25" i="281"/>
  <c r="E25" i="281"/>
  <c r="AF20" i="281" s="1"/>
  <c r="AJ24" i="281"/>
  <c r="AI24" i="281"/>
  <c r="AH24" i="281"/>
  <c r="AG24" i="281"/>
  <c r="AF24" i="281"/>
  <c r="U24" i="281"/>
  <c r="T24" i="281"/>
  <c r="R24" i="281"/>
  <c r="Q24" i="281"/>
  <c r="P24" i="281"/>
  <c r="N24" i="281"/>
  <c r="E24" i="281"/>
  <c r="AJ23" i="281"/>
  <c r="AI23" i="281"/>
  <c r="AH23" i="281"/>
  <c r="AG23" i="281"/>
  <c r="U23" i="281"/>
  <c r="T23" i="281"/>
  <c r="R23" i="281"/>
  <c r="Q23" i="281"/>
  <c r="P23" i="281"/>
  <c r="N23" i="281"/>
  <c r="E23" i="281"/>
  <c r="AF10" i="281" s="1"/>
  <c r="AJ22" i="281"/>
  <c r="AI22" i="281"/>
  <c r="AH22" i="281"/>
  <c r="AG22" i="281"/>
  <c r="U22" i="281"/>
  <c r="T22" i="281"/>
  <c r="R22" i="281"/>
  <c r="Q22" i="281"/>
  <c r="M22" i="281" s="1"/>
  <c r="AK9" i="281" s="1"/>
  <c r="P22" i="281"/>
  <c r="N22" i="281"/>
  <c r="E22" i="281"/>
  <c r="AF9" i="281" s="1"/>
  <c r="AJ21" i="281"/>
  <c r="AI21" i="281"/>
  <c r="AH21" i="281"/>
  <c r="AG21" i="281"/>
  <c r="U21" i="281"/>
  <c r="T21" i="281"/>
  <c r="R21" i="281"/>
  <c r="Q21" i="281"/>
  <c r="P21" i="281"/>
  <c r="N21" i="281"/>
  <c r="E21" i="281"/>
  <c r="AF29" i="281" s="1"/>
  <c r="AJ20" i="281"/>
  <c r="AI20" i="281"/>
  <c r="AH20" i="281"/>
  <c r="AG20" i="281"/>
  <c r="U20" i="281"/>
  <c r="T20" i="281"/>
  <c r="R20" i="281"/>
  <c r="Q20" i="281"/>
  <c r="P20" i="281"/>
  <c r="N20" i="281"/>
  <c r="E20" i="281"/>
  <c r="AJ19" i="281"/>
  <c r="AI19" i="281"/>
  <c r="AH19" i="281"/>
  <c r="AG19" i="281"/>
  <c r="AF19" i="281"/>
  <c r="U19" i="281"/>
  <c r="T19" i="281"/>
  <c r="R19" i="281"/>
  <c r="Q19" i="281"/>
  <c r="P19" i="281"/>
  <c r="N19" i="281"/>
  <c r="E19" i="281"/>
  <c r="AF28" i="281" s="1"/>
  <c r="AJ18" i="281"/>
  <c r="AI18" i="281"/>
  <c r="AH18" i="281"/>
  <c r="AG18" i="281"/>
  <c r="U18" i="281"/>
  <c r="T18" i="281"/>
  <c r="R18" i="281"/>
  <c r="Q18" i="281"/>
  <c r="P18" i="281"/>
  <c r="N18" i="281"/>
  <c r="E18" i="281"/>
  <c r="AF8" i="281" s="1"/>
  <c r="AJ17" i="281"/>
  <c r="AI17" i="281"/>
  <c r="AH17" i="281"/>
  <c r="AG17" i="281"/>
  <c r="U17" i="281"/>
  <c r="T17" i="281"/>
  <c r="R17" i="281"/>
  <c r="Q17" i="281"/>
  <c r="P17" i="281"/>
  <c r="N17" i="281"/>
  <c r="E17" i="281"/>
  <c r="AF27" i="281" s="1"/>
  <c r="AJ16" i="281"/>
  <c r="AI16" i="281"/>
  <c r="AH16" i="281"/>
  <c r="AG16" i="281"/>
  <c r="U16" i="281"/>
  <c r="T16" i="281"/>
  <c r="R16" i="281"/>
  <c r="Q16" i="281"/>
  <c r="P16" i="281"/>
  <c r="N16" i="281"/>
  <c r="E16" i="281"/>
  <c r="AF26" i="281" s="1"/>
  <c r="AJ15" i="281"/>
  <c r="AI15" i="281"/>
  <c r="AH15" i="281"/>
  <c r="AG15" i="281"/>
  <c r="U15" i="281"/>
  <c r="T15" i="281"/>
  <c r="R15" i="281"/>
  <c r="Q15" i="281"/>
  <c r="P15" i="281"/>
  <c r="N15" i="281"/>
  <c r="E15" i="281"/>
  <c r="AF18" i="281" s="1"/>
  <c r="AJ14" i="281"/>
  <c r="AI14" i="281"/>
  <c r="AH14" i="281"/>
  <c r="AG14" i="281"/>
  <c r="U14" i="281"/>
  <c r="T14" i="281"/>
  <c r="R14" i="281"/>
  <c r="Q14" i="281"/>
  <c r="P14" i="281"/>
  <c r="N14" i="281"/>
  <c r="E14" i="281"/>
  <c r="AF17" i="281" s="1"/>
  <c r="AJ13" i="281"/>
  <c r="AI13" i="281"/>
  <c r="AH13" i="281"/>
  <c r="AG13" i="281"/>
  <c r="U13" i="281"/>
  <c r="T13" i="281"/>
  <c r="R13" i="281"/>
  <c r="Q13" i="281"/>
  <c r="P13" i="281"/>
  <c r="N13" i="281"/>
  <c r="E13" i="281"/>
  <c r="AF16" i="281" s="1"/>
  <c r="AJ12" i="281"/>
  <c r="AI12" i="281"/>
  <c r="AH12" i="281"/>
  <c r="AG12" i="281"/>
  <c r="U12" i="281"/>
  <c r="T12" i="281"/>
  <c r="R12" i="281"/>
  <c r="Q12" i="281"/>
  <c r="P12" i="281"/>
  <c r="N12" i="281"/>
  <c r="E12" i="281"/>
  <c r="AJ11" i="281"/>
  <c r="AI11" i="281"/>
  <c r="AH11" i="281"/>
  <c r="AG11" i="281"/>
  <c r="AF11" i="281"/>
  <c r="U11" i="281"/>
  <c r="T11" i="281"/>
  <c r="R11" i="281"/>
  <c r="Q11" i="281"/>
  <c r="P11" i="281"/>
  <c r="N11" i="281"/>
  <c r="M11" i="281"/>
  <c r="AK25" i="281" s="1"/>
  <c r="E11" i="281"/>
  <c r="AF25" i="281" s="1"/>
  <c r="AJ10" i="281"/>
  <c r="AI10" i="281"/>
  <c r="AH10" i="281"/>
  <c r="AG10" i="281"/>
  <c r="U10" i="281"/>
  <c r="T10" i="281"/>
  <c r="R10" i="281"/>
  <c r="Q10" i="281"/>
  <c r="P10" i="281"/>
  <c r="N10" i="281"/>
  <c r="E10" i="281"/>
  <c r="AF6" i="281" s="1"/>
  <c r="AJ9" i="281"/>
  <c r="AI9" i="281"/>
  <c r="AH9" i="281"/>
  <c r="AG9" i="281"/>
  <c r="U9" i="281"/>
  <c r="T9" i="281"/>
  <c r="R9" i="281"/>
  <c r="Q9" i="281"/>
  <c r="P9" i="281"/>
  <c r="N9" i="281"/>
  <c r="E9" i="281"/>
  <c r="AJ8" i="281"/>
  <c r="AI8" i="281"/>
  <c r="AH8" i="281"/>
  <c r="AG8" i="281"/>
  <c r="U8" i="281"/>
  <c r="T8" i="281"/>
  <c r="R8" i="281"/>
  <c r="Q8" i="281"/>
  <c r="M8" i="281" s="1"/>
  <c r="AK24" i="281" s="1"/>
  <c r="P8" i="281"/>
  <c r="N8" i="281"/>
  <c r="E8" i="281"/>
  <c r="AJ7" i="281"/>
  <c r="AI7" i="281"/>
  <c r="AH7" i="281"/>
  <c r="AG7" i="281"/>
  <c r="AF7" i="281"/>
  <c r="U7" i="281"/>
  <c r="T7" i="281"/>
  <c r="R7" i="281"/>
  <c r="Q7" i="281"/>
  <c r="P7" i="281"/>
  <c r="N7" i="281"/>
  <c r="E7" i="281"/>
  <c r="AF23" i="281" s="1"/>
  <c r="AJ6" i="281"/>
  <c r="AI6" i="281"/>
  <c r="AH6" i="281"/>
  <c r="AG6" i="281"/>
  <c r="U6" i="281"/>
  <c r="T6" i="281"/>
  <c r="R6" i="281"/>
  <c r="Q6" i="281"/>
  <c r="M6" i="281" s="1"/>
  <c r="AK14" i="281" s="1"/>
  <c r="P6" i="281"/>
  <c r="N6" i="281"/>
  <c r="E6" i="281"/>
  <c r="O8" i="281" s="1"/>
  <c r="T46" i="280"/>
  <c r="R46" i="280"/>
  <c r="Q46" i="280"/>
  <c r="P46" i="280"/>
  <c r="N46" i="280"/>
  <c r="T45" i="280"/>
  <c r="R45" i="280"/>
  <c r="Q45" i="280"/>
  <c r="M45" i="280" s="1"/>
  <c r="P45" i="280"/>
  <c r="N45" i="280"/>
  <c r="T44" i="280"/>
  <c r="R44" i="280"/>
  <c r="Q44" i="280"/>
  <c r="P44" i="280"/>
  <c r="N44" i="280"/>
  <c r="AJ31" i="280"/>
  <c r="AI31" i="280"/>
  <c r="AH31" i="280"/>
  <c r="AG31" i="280"/>
  <c r="U31" i="280"/>
  <c r="T31" i="280"/>
  <c r="R31" i="280"/>
  <c r="Q31" i="280"/>
  <c r="P31" i="280"/>
  <c r="N31" i="280"/>
  <c r="E31" i="280"/>
  <c r="AF22" i="280" s="1"/>
  <c r="AJ30" i="280"/>
  <c r="AI30" i="280"/>
  <c r="AH30" i="280"/>
  <c r="AG30" i="280"/>
  <c r="U30" i="280"/>
  <c r="T30" i="280"/>
  <c r="R30" i="280"/>
  <c r="Q30" i="280"/>
  <c r="P30" i="280"/>
  <c r="N30" i="280"/>
  <c r="E30" i="280"/>
  <c r="AF13" i="280" s="1"/>
  <c r="AJ29" i="280"/>
  <c r="AI29" i="280"/>
  <c r="AH29" i="280"/>
  <c r="AG29" i="280"/>
  <c r="U29" i="280"/>
  <c r="T29" i="280"/>
  <c r="R29" i="280"/>
  <c r="Q29" i="280"/>
  <c r="P29" i="280"/>
  <c r="N29" i="280"/>
  <c r="E29" i="280"/>
  <c r="AF21" i="280" s="1"/>
  <c r="AJ28" i="280"/>
  <c r="AI28" i="280"/>
  <c r="AH28" i="280"/>
  <c r="AG28" i="280"/>
  <c r="U28" i="280"/>
  <c r="T28" i="280"/>
  <c r="R28" i="280"/>
  <c r="Q28" i="280"/>
  <c r="P28" i="280"/>
  <c r="N28" i="280"/>
  <c r="E28" i="280"/>
  <c r="AF31" i="280" s="1"/>
  <c r="AJ27" i="280"/>
  <c r="AI27" i="280"/>
  <c r="AH27" i="280"/>
  <c r="AG27" i="280"/>
  <c r="U27" i="280"/>
  <c r="T27" i="280"/>
  <c r="R27" i="280"/>
  <c r="Q27" i="280"/>
  <c r="P27" i="280"/>
  <c r="N27" i="280"/>
  <c r="E27" i="280"/>
  <c r="AF12" i="280" s="1"/>
  <c r="AJ26" i="280"/>
  <c r="AI26" i="280"/>
  <c r="AH26" i="280"/>
  <c r="AG26" i="280"/>
  <c r="U26" i="280"/>
  <c r="T26" i="280"/>
  <c r="R26" i="280"/>
  <c r="Q26" i="280"/>
  <c r="M26" i="280" s="1"/>
  <c r="AK30" i="280" s="1"/>
  <c r="P26" i="280"/>
  <c r="N26" i="280"/>
  <c r="E26" i="280"/>
  <c r="AF30" i="280" s="1"/>
  <c r="AJ25" i="280"/>
  <c r="AI25" i="280"/>
  <c r="AH25" i="280"/>
  <c r="AG25" i="280"/>
  <c r="U25" i="280"/>
  <c r="T25" i="280"/>
  <c r="R25" i="280"/>
  <c r="Q25" i="280"/>
  <c r="P25" i="280"/>
  <c r="N25" i="280"/>
  <c r="E25" i="280"/>
  <c r="AF20" i="280" s="1"/>
  <c r="AJ24" i="280"/>
  <c r="AI24" i="280"/>
  <c r="AH24" i="280"/>
  <c r="AG24" i="280"/>
  <c r="U24" i="280"/>
  <c r="T24" i="280"/>
  <c r="R24" i="280"/>
  <c r="Q24" i="280"/>
  <c r="P24" i="280"/>
  <c r="N24" i="280"/>
  <c r="E24" i="280"/>
  <c r="AF11" i="280" s="1"/>
  <c r="AJ23" i="280"/>
  <c r="AI23" i="280"/>
  <c r="AH23" i="280"/>
  <c r="AG23" i="280"/>
  <c r="U23" i="280"/>
  <c r="T23" i="280"/>
  <c r="R23" i="280"/>
  <c r="Q23" i="280"/>
  <c r="P23" i="280"/>
  <c r="N23" i="280"/>
  <c r="E23" i="280"/>
  <c r="AF10" i="280" s="1"/>
  <c r="AJ22" i="280"/>
  <c r="AI22" i="280"/>
  <c r="AH22" i="280"/>
  <c r="AG22" i="280"/>
  <c r="U22" i="280"/>
  <c r="T22" i="280"/>
  <c r="R22" i="280"/>
  <c r="Q22" i="280"/>
  <c r="P22" i="280"/>
  <c r="N22" i="280"/>
  <c r="E22" i="280"/>
  <c r="AF9" i="280" s="1"/>
  <c r="AJ21" i="280"/>
  <c r="AI21" i="280"/>
  <c r="AH21" i="280"/>
  <c r="AG21" i="280"/>
  <c r="U21" i="280"/>
  <c r="T21" i="280"/>
  <c r="R21" i="280"/>
  <c r="Q21" i="280"/>
  <c r="P21" i="280"/>
  <c r="N21" i="280"/>
  <c r="E21" i="280"/>
  <c r="AF29" i="280" s="1"/>
  <c r="AJ20" i="280"/>
  <c r="AI20" i="280"/>
  <c r="AH20" i="280"/>
  <c r="AG20" i="280"/>
  <c r="U20" i="280"/>
  <c r="T20" i="280"/>
  <c r="R20" i="280"/>
  <c r="Q20" i="280"/>
  <c r="M20" i="280" s="1"/>
  <c r="AK19" i="280" s="1"/>
  <c r="P20" i="280"/>
  <c r="N20" i="280"/>
  <c r="E20" i="280"/>
  <c r="AJ19" i="280"/>
  <c r="AI19" i="280"/>
  <c r="AH19" i="280"/>
  <c r="AG19" i="280"/>
  <c r="AF19" i="280"/>
  <c r="U19" i="280"/>
  <c r="T19" i="280"/>
  <c r="R19" i="280"/>
  <c r="M19" i="280" s="1"/>
  <c r="AK28" i="280" s="1"/>
  <c r="Q19" i="280"/>
  <c r="P19" i="280"/>
  <c r="N19" i="280"/>
  <c r="E19" i="280"/>
  <c r="AF28" i="280" s="1"/>
  <c r="AJ18" i="280"/>
  <c r="AI18" i="280"/>
  <c r="AH18" i="280"/>
  <c r="AG18" i="280"/>
  <c r="U18" i="280"/>
  <c r="T18" i="280"/>
  <c r="R18" i="280"/>
  <c r="Q18" i="280"/>
  <c r="P18" i="280"/>
  <c r="N18" i="280"/>
  <c r="E18" i="280"/>
  <c r="AF8" i="280" s="1"/>
  <c r="AJ17" i="280"/>
  <c r="AI17" i="280"/>
  <c r="AH17" i="280"/>
  <c r="AG17" i="280"/>
  <c r="U17" i="280"/>
  <c r="T17" i="280"/>
  <c r="R17" i="280"/>
  <c r="Q17" i="280"/>
  <c r="M17" i="280" s="1"/>
  <c r="AK27" i="280" s="1"/>
  <c r="P17" i="280"/>
  <c r="N17" i="280"/>
  <c r="E17" i="280"/>
  <c r="AF27" i="280" s="1"/>
  <c r="AJ16" i="280"/>
  <c r="AI16" i="280"/>
  <c r="AH16" i="280"/>
  <c r="AG16" i="280"/>
  <c r="U16" i="280"/>
  <c r="T16" i="280"/>
  <c r="R16" i="280"/>
  <c r="Q16" i="280"/>
  <c r="P16" i="280"/>
  <c r="N16" i="280"/>
  <c r="M16" i="280"/>
  <c r="AK26" i="280" s="1"/>
  <c r="E16" i="280"/>
  <c r="AF26" i="280" s="1"/>
  <c r="AJ15" i="280"/>
  <c r="AI15" i="280"/>
  <c r="AH15" i="280"/>
  <c r="AG15" i="280"/>
  <c r="U15" i="280"/>
  <c r="T15" i="280"/>
  <c r="R15" i="280"/>
  <c r="Q15" i="280"/>
  <c r="P15" i="280"/>
  <c r="N15" i="280"/>
  <c r="E15" i="280"/>
  <c r="AF18" i="280" s="1"/>
  <c r="AJ14" i="280"/>
  <c r="AI14" i="280"/>
  <c r="AH14" i="280"/>
  <c r="AG14" i="280"/>
  <c r="U14" i="280"/>
  <c r="T14" i="280"/>
  <c r="R14" i="280"/>
  <c r="Q14" i="280"/>
  <c r="P14" i="280"/>
  <c r="N14" i="280"/>
  <c r="E14" i="280"/>
  <c r="AF17" i="280" s="1"/>
  <c r="AJ13" i="280"/>
  <c r="AI13" i="280"/>
  <c r="AH13" i="280"/>
  <c r="AG13" i="280"/>
  <c r="U13" i="280"/>
  <c r="T13" i="280"/>
  <c r="R13" i="280"/>
  <c r="Q13" i="280"/>
  <c r="P13" i="280"/>
  <c r="N13" i="280"/>
  <c r="E13" i="280"/>
  <c r="AF16" i="280" s="1"/>
  <c r="AJ12" i="280"/>
  <c r="AI12" i="280"/>
  <c r="AH12" i="280"/>
  <c r="AG12" i="280"/>
  <c r="U12" i="280"/>
  <c r="T12" i="280"/>
  <c r="R12" i="280"/>
  <c r="Q12" i="280"/>
  <c r="P12" i="280"/>
  <c r="N12" i="280"/>
  <c r="E12" i="280"/>
  <c r="AF7" i="280" s="1"/>
  <c r="AJ11" i="280"/>
  <c r="AI11" i="280"/>
  <c r="AH11" i="280"/>
  <c r="AG11" i="280"/>
  <c r="U11" i="280"/>
  <c r="T11" i="280"/>
  <c r="R11" i="280"/>
  <c r="Q11" i="280"/>
  <c r="P11" i="280"/>
  <c r="N11" i="280"/>
  <c r="E11" i="280"/>
  <c r="AF25" i="280" s="1"/>
  <c r="AJ10" i="280"/>
  <c r="AI10" i="280"/>
  <c r="AH10" i="280"/>
  <c r="AG10" i="280"/>
  <c r="U10" i="280"/>
  <c r="T10" i="280"/>
  <c r="R10" i="280"/>
  <c r="Q10" i="280"/>
  <c r="P10" i="280"/>
  <c r="N10" i="280"/>
  <c r="E10" i="280"/>
  <c r="AF6" i="280" s="1"/>
  <c r="AJ9" i="280"/>
  <c r="AI9" i="280"/>
  <c r="AH9" i="280"/>
  <c r="AG9" i="280"/>
  <c r="U9" i="280"/>
  <c r="T9" i="280"/>
  <c r="R9" i="280"/>
  <c r="Q9" i="280"/>
  <c r="P9" i="280"/>
  <c r="N9" i="280"/>
  <c r="E9" i="280"/>
  <c r="AF15" i="280" s="1"/>
  <c r="AJ8" i="280"/>
  <c r="AI8" i="280"/>
  <c r="AH8" i="280"/>
  <c r="AG8" i="280"/>
  <c r="U8" i="280"/>
  <c r="T8" i="280"/>
  <c r="R8" i="280"/>
  <c r="Q8" i="280"/>
  <c r="P8" i="280"/>
  <c r="N8" i="280"/>
  <c r="E8" i="280"/>
  <c r="AF24" i="280" s="1"/>
  <c r="AJ7" i="280"/>
  <c r="AI7" i="280"/>
  <c r="AH7" i="280"/>
  <c r="AG7" i="280"/>
  <c r="U7" i="280"/>
  <c r="T7" i="280"/>
  <c r="R7" i="280"/>
  <c r="Q7" i="280"/>
  <c r="P7" i="280"/>
  <c r="N7" i="280"/>
  <c r="E7" i="280"/>
  <c r="AF23" i="280" s="1"/>
  <c r="AJ6" i="280"/>
  <c r="AI6" i="280"/>
  <c r="AH6" i="280"/>
  <c r="AG6" i="280"/>
  <c r="U6" i="280"/>
  <c r="T6" i="280"/>
  <c r="R6" i="280"/>
  <c r="Q6" i="280"/>
  <c r="P6" i="280"/>
  <c r="N6" i="280"/>
  <c r="E6" i="280"/>
  <c r="M13" i="280" l="1"/>
  <c r="AK16" i="280" s="1"/>
  <c r="M18" i="280"/>
  <c r="AK8" i="280" s="1"/>
  <c r="M31" i="280"/>
  <c r="AK22" i="280" s="1"/>
  <c r="M10" i="281"/>
  <c r="AK6" i="281" s="1"/>
  <c r="M30" i="281"/>
  <c r="AK13" i="281" s="1"/>
  <c r="M46" i="281"/>
  <c r="M21" i="282"/>
  <c r="AK29" i="282" s="1"/>
  <c r="M26" i="282"/>
  <c r="AK30" i="282" s="1"/>
  <c r="M18" i="281"/>
  <c r="AK8" i="281" s="1"/>
  <c r="M14" i="280"/>
  <c r="AK17" i="280" s="1"/>
  <c r="M24" i="280"/>
  <c r="AK11" i="280" s="1"/>
  <c r="M29" i="280"/>
  <c r="AK21" i="280" s="1"/>
  <c r="M45" i="281"/>
  <c r="M12" i="282"/>
  <c r="AK7" i="282" s="1"/>
  <c r="M24" i="281"/>
  <c r="AK11" i="281" s="1"/>
  <c r="M14" i="281"/>
  <c r="AK17" i="281" s="1"/>
  <c r="M18" i="282"/>
  <c r="AK8" i="282" s="1"/>
  <c r="M28" i="282"/>
  <c r="AK31" i="282" s="1"/>
  <c r="M44" i="281"/>
  <c r="M19" i="281"/>
  <c r="AK28" i="281" s="1"/>
  <c r="M17" i="281"/>
  <c r="AK27" i="281" s="1"/>
  <c r="M7" i="280"/>
  <c r="AK23" i="280" s="1"/>
  <c r="M9" i="280"/>
  <c r="AK15" i="280" s="1"/>
  <c r="M28" i="280"/>
  <c r="AK31" i="280" s="1"/>
  <c r="M46" i="280"/>
  <c r="M27" i="280"/>
  <c r="AK12" i="280" s="1"/>
  <c r="M21" i="280"/>
  <c r="AK29" i="280" s="1"/>
  <c r="M8" i="280"/>
  <c r="AK24" i="280" s="1"/>
  <c r="M10" i="280"/>
  <c r="AK6" i="280" s="1"/>
  <c r="M15" i="280"/>
  <c r="AK18" i="280" s="1"/>
  <c r="M22" i="280"/>
  <c r="AK9" i="280" s="1"/>
  <c r="M16" i="282"/>
  <c r="AK26" i="282" s="1"/>
  <c r="M45" i="282"/>
  <c r="M10" i="282"/>
  <c r="AK6" i="282" s="1"/>
  <c r="M22" i="282"/>
  <c r="AK9" i="282" s="1"/>
  <c r="M6" i="282"/>
  <c r="AK14" i="282" s="1"/>
  <c r="M15" i="282"/>
  <c r="AK18" i="282" s="1"/>
  <c r="M20" i="282"/>
  <c r="AK19" i="282" s="1"/>
  <c r="M27" i="282"/>
  <c r="AK12" i="282" s="1"/>
  <c r="M11" i="282"/>
  <c r="AK25" i="282" s="1"/>
  <c r="M11" i="280"/>
  <c r="AK25" i="280" s="1"/>
  <c r="M23" i="280"/>
  <c r="AK10" i="280" s="1"/>
  <c r="M25" i="280"/>
  <c r="AK20" i="280" s="1"/>
  <c r="M6" i="280"/>
  <c r="AK14" i="280" s="1"/>
  <c r="M12" i="280"/>
  <c r="AK7" i="280" s="1"/>
  <c r="M30" i="280"/>
  <c r="AK13" i="280" s="1"/>
  <c r="M44" i="280"/>
  <c r="AB9" i="280"/>
  <c r="AB15" i="280"/>
  <c r="O30" i="280"/>
  <c r="AF14" i="280"/>
  <c r="O12" i="280"/>
  <c r="AD29" i="280"/>
  <c r="S8" i="280"/>
  <c r="AB11" i="280"/>
  <c r="AB19" i="280"/>
  <c r="AC30" i="280"/>
  <c r="AB27" i="280"/>
  <c r="AB12" i="280"/>
  <c r="AC22" i="280"/>
  <c r="AD11" i="280"/>
  <c r="AB23" i="280"/>
  <c r="AB17" i="280"/>
  <c r="AB7" i="280"/>
  <c r="AB8" i="280"/>
  <c r="AB25" i="280"/>
  <c r="AB18" i="280"/>
  <c r="AB20" i="280"/>
  <c r="AB22" i="280"/>
  <c r="AB28" i="280"/>
  <c r="AB30" i="280"/>
  <c r="M8" i="282"/>
  <c r="AK24" i="282" s="1"/>
  <c r="M14" i="282"/>
  <c r="AK17" i="282" s="1"/>
  <c r="M25" i="282"/>
  <c r="AK20" i="282" s="1"/>
  <c r="M17" i="282"/>
  <c r="AK27" i="282" s="1"/>
  <c r="M24" i="282"/>
  <c r="AK11" i="282" s="1"/>
  <c r="M9" i="282"/>
  <c r="AK15" i="282" s="1"/>
  <c r="M19" i="282"/>
  <c r="AK28" i="282" s="1"/>
  <c r="AC30" i="282"/>
  <c r="O30" i="282"/>
  <c r="S13" i="282"/>
  <c r="O25" i="282"/>
  <c r="AD6" i="282"/>
  <c r="K44" i="282" s="1"/>
  <c r="AD22" i="282"/>
  <c r="O17" i="282"/>
  <c r="AB20" i="282"/>
  <c r="AD11" i="282"/>
  <c r="AD30" i="282"/>
  <c r="AB8" i="282"/>
  <c r="AB21" i="282"/>
  <c r="AB13" i="282"/>
  <c r="AB25" i="282"/>
  <c r="M21" i="281"/>
  <c r="AK29" i="281" s="1"/>
  <c r="M28" i="281"/>
  <c r="AK31" i="281" s="1"/>
  <c r="M29" i="281"/>
  <c r="AK21" i="281" s="1"/>
  <c r="M12" i="281"/>
  <c r="AK7" i="281" s="1"/>
  <c r="M13" i="281"/>
  <c r="AK16" i="281" s="1"/>
  <c r="M20" i="281"/>
  <c r="AK19" i="281" s="1"/>
  <c r="M9" i="281"/>
  <c r="AK15" i="281" s="1"/>
  <c r="M16" i="281"/>
  <c r="AK26" i="281" s="1"/>
  <c r="M23" i="281"/>
  <c r="AK10" i="281" s="1"/>
  <c r="M25" i="281"/>
  <c r="AK20" i="281" s="1"/>
  <c r="AD27" i="281"/>
  <c r="AB27" i="281"/>
  <c r="AB17" i="281"/>
  <c r="S10" i="281"/>
  <c r="AD10" i="281"/>
  <c r="S12" i="281"/>
  <c r="AD25" i="281"/>
  <c r="O22" i="281"/>
  <c r="AB16" i="281"/>
  <c r="AB26" i="281"/>
  <c r="AB25" i="281"/>
  <c r="AD18" i="281"/>
  <c r="AB24" i="281"/>
  <c r="AC24" i="281"/>
  <c r="AC29" i="281"/>
  <c r="AC14" i="281"/>
  <c r="J45" i="281" s="1"/>
  <c r="AD31" i="281"/>
  <c r="AC30" i="281"/>
  <c r="AB20" i="281"/>
  <c r="AD26" i="281"/>
  <c r="AB29" i="281"/>
  <c r="AB8" i="281"/>
  <c r="AB9" i="281"/>
  <c r="AC25" i="282"/>
  <c r="O6" i="281"/>
  <c r="AC10" i="281"/>
  <c r="AC8" i="281"/>
  <c r="AB10" i="281"/>
  <c r="M15" i="281"/>
  <c r="AK18" i="281" s="1"/>
  <c r="S25" i="281"/>
  <c r="O9" i="282"/>
  <c r="AB9" i="282"/>
  <c r="AC22" i="282"/>
  <c r="AB16" i="282"/>
  <c r="O30" i="281"/>
  <c r="O14" i="281"/>
  <c r="AC16" i="281"/>
  <c r="AB18" i="281"/>
  <c r="AC21" i="281"/>
  <c r="AC22" i="281"/>
  <c r="AD14" i="281"/>
  <c r="K45" i="281" s="1"/>
  <c r="AC15" i="281"/>
  <c r="AD22" i="281"/>
  <c r="AB15" i="281"/>
  <c r="AC17" i="281"/>
  <c r="S20" i="281"/>
  <c r="O29" i="281"/>
  <c r="AC17" i="282"/>
  <c r="S9" i="281"/>
  <c r="AD11" i="281"/>
  <c r="AB13" i="281"/>
  <c r="AF15" i="281"/>
  <c r="S18" i="281"/>
  <c r="O21" i="281"/>
  <c r="AB22" i="282"/>
  <c r="AB24" i="282"/>
  <c r="O45" i="282"/>
  <c r="AD13" i="281"/>
  <c r="AB12" i="282"/>
  <c r="S30" i="281"/>
  <c r="O26" i="281"/>
  <c r="S22" i="281"/>
  <c r="O18" i="281"/>
  <c r="S14" i="281"/>
  <c r="O10" i="281"/>
  <c r="S6" i="281"/>
  <c r="O25" i="281"/>
  <c r="O17" i="281"/>
  <c r="O46" i="281"/>
  <c r="S44" i="281"/>
  <c r="O31" i="281"/>
  <c r="S27" i="281"/>
  <c r="O23" i="281"/>
  <c r="S19" i="281"/>
  <c r="O15" i="281"/>
  <c r="S11" i="281"/>
  <c r="O7" i="281"/>
  <c r="S21" i="281"/>
  <c r="O28" i="281"/>
  <c r="S24" i="281"/>
  <c r="O20" i="281"/>
  <c r="S16" i="281"/>
  <c r="AF14" i="281"/>
  <c r="O12" i="281"/>
  <c r="S8" i="281"/>
  <c r="O45" i="281"/>
  <c r="S29" i="281"/>
  <c r="S13" i="281"/>
  <c r="O9" i="281"/>
  <c r="S46" i="281"/>
  <c r="O44" i="281"/>
  <c r="S31" i="281"/>
  <c r="O27" i="281"/>
  <c r="S23" i="281"/>
  <c r="O19" i="281"/>
  <c r="S15" i="281"/>
  <c r="O11" i="281"/>
  <c r="S7" i="281"/>
  <c r="S28" i="281"/>
  <c r="AB14" i="281"/>
  <c r="AB19" i="281"/>
  <c r="O24" i="281"/>
  <c r="AC23" i="281"/>
  <c r="J46" i="281" s="1"/>
  <c r="AD30" i="281"/>
  <c r="AC25" i="281"/>
  <c r="AB23" i="281"/>
  <c r="AD29" i="281"/>
  <c r="AB10" i="282"/>
  <c r="AD14" i="282"/>
  <c r="K45" i="282" s="1"/>
  <c r="AB17" i="282"/>
  <c r="AB26" i="282"/>
  <c r="AD6" i="281"/>
  <c r="K44" i="281" s="1"/>
  <c r="AC7" i="281"/>
  <c r="AC9" i="281"/>
  <c r="AB7" i="281"/>
  <c r="AB6" i="281"/>
  <c r="AC13" i="281"/>
  <c r="AC18" i="281"/>
  <c r="AD31" i="282"/>
  <c r="AC26" i="282"/>
  <c r="AB29" i="282"/>
  <c r="AD23" i="282"/>
  <c r="K46" i="282" s="1"/>
  <c r="AB23" i="282"/>
  <c r="AB11" i="281"/>
  <c r="O13" i="281"/>
  <c r="O16" i="281"/>
  <c r="AD21" i="281"/>
  <c r="S45" i="281"/>
  <c r="S6" i="282"/>
  <c r="S30" i="282"/>
  <c r="O26" i="282"/>
  <c r="S22" i="282"/>
  <c r="O18" i="282"/>
  <c r="S14" i="282"/>
  <c r="O10" i="282"/>
  <c r="S24" i="282"/>
  <c r="O20" i="282"/>
  <c r="S16" i="282"/>
  <c r="O12" i="282"/>
  <c r="S8" i="282"/>
  <c r="AF6" i="282"/>
  <c r="S21" i="282"/>
  <c r="AB28" i="282"/>
  <c r="AC6" i="281"/>
  <c r="J44" i="281" s="1"/>
  <c r="M7" i="281"/>
  <c r="AK23" i="281" s="1"/>
  <c r="AB12" i="281"/>
  <c r="S17" i="281"/>
  <c r="AD19" i="281"/>
  <c r="AB21" i="281"/>
  <c r="S26" i="281"/>
  <c r="AB28" i="281"/>
  <c r="AC9" i="282"/>
  <c r="S29" i="282"/>
  <c r="AB30" i="282"/>
  <c r="AB7" i="282"/>
  <c r="AD9" i="282"/>
  <c r="AC12" i="282"/>
  <c r="AB15" i="282"/>
  <c r="AD17" i="282"/>
  <c r="AC20" i="282"/>
  <c r="AD25" i="282"/>
  <c r="O28" i="282"/>
  <c r="AC28" i="282"/>
  <c r="AB31" i="282"/>
  <c r="AD8" i="281"/>
  <c r="AC11" i="281"/>
  <c r="AD16" i="281"/>
  <c r="AC19" i="281"/>
  <c r="AB22" i="281"/>
  <c r="AD24" i="281"/>
  <c r="AC27" i="281"/>
  <c r="AB30" i="281"/>
  <c r="O7" i="282"/>
  <c r="AC7" i="282"/>
  <c r="S11" i="282"/>
  <c r="AD12" i="282"/>
  <c r="O15" i="282"/>
  <c r="AC15" i="282"/>
  <c r="AB18" i="282"/>
  <c r="S19" i="282"/>
  <c r="AD20" i="282"/>
  <c r="O23" i="282"/>
  <c r="AC23" i="282"/>
  <c r="J46" i="282" s="1"/>
  <c r="S27" i="282"/>
  <c r="AD28" i="282"/>
  <c r="O31" i="282"/>
  <c r="AC31" i="282"/>
  <c r="S44" i="282"/>
  <c r="O46" i="282"/>
  <c r="O21" i="282"/>
  <c r="AC21" i="282"/>
  <c r="AC29" i="282"/>
  <c r="AD9" i="281"/>
  <c r="AC12" i="281"/>
  <c r="AD17" i="281"/>
  <c r="AC20" i="281"/>
  <c r="AC28" i="281"/>
  <c r="AB31" i="281"/>
  <c r="O8" i="282"/>
  <c r="AC8" i="282"/>
  <c r="AB11" i="282"/>
  <c r="S12" i="282"/>
  <c r="AD13" i="282"/>
  <c r="O16" i="282"/>
  <c r="AC16" i="282"/>
  <c r="AB19" i="282"/>
  <c r="S20" i="282"/>
  <c r="AD21" i="282"/>
  <c r="O24" i="282"/>
  <c r="AC24" i="282"/>
  <c r="AB27" i="282"/>
  <c r="S28" i="282"/>
  <c r="AD29" i="282"/>
  <c r="AD15" i="282"/>
  <c r="O13" i="282"/>
  <c r="AD26" i="282"/>
  <c r="AD12" i="281"/>
  <c r="AD20" i="281"/>
  <c r="AD28" i="281"/>
  <c r="AC31" i="281"/>
  <c r="AB6" i="282"/>
  <c r="S7" i="282"/>
  <c r="AD8" i="282"/>
  <c r="O11" i="282"/>
  <c r="AC11" i="282"/>
  <c r="AB14" i="282"/>
  <c r="S15" i="282"/>
  <c r="AD16" i="282"/>
  <c r="O19" i="282"/>
  <c r="AC19" i="282"/>
  <c r="S23" i="282"/>
  <c r="AD24" i="282"/>
  <c r="O27" i="282"/>
  <c r="AC27" i="282"/>
  <c r="S31" i="282"/>
  <c r="O44" i="282"/>
  <c r="S46" i="282"/>
  <c r="AD7" i="282"/>
  <c r="AC10" i="282"/>
  <c r="AC18" i="282"/>
  <c r="S9" i="282"/>
  <c r="AD10" i="282"/>
  <c r="AC13" i="282"/>
  <c r="S17" i="282"/>
  <c r="AD18" i="282"/>
  <c r="S25" i="282"/>
  <c r="O29" i="282"/>
  <c r="S45" i="282"/>
  <c r="AD7" i="281"/>
  <c r="AD15" i="281"/>
  <c r="AD23" i="281"/>
  <c r="K46" i="281" s="1"/>
  <c r="AC26" i="281"/>
  <c r="O6" i="282"/>
  <c r="AC6" i="282"/>
  <c r="J44" i="282" s="1"/>
  <c r="S10" i="282"/>
  <c r="O14" i="282"/>
  <c r="AC14" i="282"/>
  <c r="J45" i="282" s="1"/>
  <c r="S18" i="282"/>
  <c r="AD19" i="282"/>
  <c r="O22" i="282"/>
  <c r="S26" i="282"/>
  <c r="AD27" i="282"/>
  <c r="O20" i="280"/>
  <c r="AC28" i="280"/>
  <c r="AB31" i="280"/>
  <c r="S11" i="280"/>
  <c r="O23" i="280"/>
  <c r="AB26" i="280"/>
  <c r="S27" i="280"/>
  <c r="AD28" i="280"/>
  <c r="S44" i="280"/>
  <c r="O10" i="280"/>
  <c r="O18" i="280"/>
  <c r="S22" i="280"/>
  <c r="AD23" i="280"/>
  <c r="K46" i="280" s="1"/>
  <c r="AD10" i="280"/>
  <c r="AC13" i="280"/>
  <c r="AD18" i="280"/>
  <c r="O21" i="280"/>
  <c r="AC21" i="280"/>
  <c r="S25" i="280"/>
  <c r="AD26" i="280"/>
  <c r="O29" i="280"/>
  <c r="AC29" i="280"/>
  <c r="O8" i="280"/>
  <c r="AC8" i="280"/>
  <c r="S12" i="280"/>
  <c r="S20" i="280"/>
  <c r="AC24" i="280"/>
  <c r="AD6" i="280"/>
  <c r="K44" i="280" s="1"/>
  <c r="O9" i="280"/>
  <c r="AC9" i="280"/>
  <c r="S13" i="280"/>
  <c r="AD14" i="280"/>
  <c r="K45" i="280" s="1"/>
  <c r="O17" i="280"/>
  <c r="AC17" i="280"/>
  <c r="S21" i="280"/>
  <c r="AD22" i="280"/>
  <c r="O25" i="280"/>
  <c r="AC25" i="280"/>
  <c r="S29" i="280"/>
  <c r="AD30" i="280"/>
  <c r="O45" i="280"/>
  <c r="AC12" i="280"/>
  <c r="AD25" i="280"/>
  <c r="O28" i="280"/>
  <c r="O7" i="280"/>
  <c r="AC15" i="280"/>
  <c r="S19" i="280"/>
  <c r="AD20" i="280"/>
  <c r="AC23" i="280"/>
  <c r="J46" i="280" s="1"/>
  <c r="AD7" i="280"/>
  <c r="AB13" i="280"/>
  <c r="S14" i="280"/>
  <c r="AC18" i="280"/>
  <c r="AB21" i="280"/>
  <c r="AC26" i="280"/>
  <c r="O13" i="280"/>
  <c r="AB16" i="280"/>
  <c r="S17" i="280"/>
  <c r="AB24" i="280"/>
  <c r="AD13" i="280"/>
  <c r="O24" i="280"/>
  <c r="AB6" i="280"/>
  <c r="S7" i="280"/>
  <c r="AD8" i="280"/>
  <c r="O11" i="280"/>
  <c r="AC11" i="280"/>
  <c r="AB14" i="280"/>
  <c r="S15" i="280"/>
  <c r="AD16" i="280"/>
  <c r="O19" i="280"/>
  <c r="AC19" i="280"/>
  <c r="S23" i="280"/>
  <c r="AD24" i="280"/>
  <c r="O27" i="280"/>
  <c r="AC27" i="280"/>
  <c r="S31" i="280"/>
  <c r="O44" i="280"/>
  <c r="S46" i="280"/>
  <c r="AD9" i="280"/>
  <c r="S16" i="280"/>
  <c r="AD17" i="280"/>
  <c r="AC20" i="280"/>
  <c r="S24" i="280"/>
  <c r="AC7" i="280"/>
  <c r="AB10" i="280"/>
  <c r="AD12" i="280"/>
  <c r="O15" i="280"/>
  <c r="O31" i="280"/>
  <c r="AC31" i="280"/>
  <c r="O46" i="280"/>
  <c r="S6" i="280"/>
  <c r="AC10" i="280"/>
  <c r="AD15" i="280"/>
  <c r="O26" i="280"/>
  <c r="AB29" i="280"/>
  <c r="S30" i="280"/>
  <c r="AD31" i="280"/>
  <c r="S9" i="280"/>
  <c r="S45" i="280"/>
  <c r="O16" i="280"/>
  <c r="AC16" i="280"/>
  <c r="AD21" i="280"/>
  <c r="S28" i="280"/>
  <c r="O6" i="280"/>
  <c r="AC6" i="280"/>
  <c r="J44" i="280" s="1"/>
  <c r="S10" i="280"/>
  <c r="O14" i="280"/>
  <c r="AC14" i="280"/>
  <c r="J45" i="280" s="1"/>
  <c r="S18" i="280"/>
  <c r="AD19" i="280"/>
  <c r="O22" i="280"/>
  <c r="S26" i="280"/>
  <c r="AD27" i="280"/>
  <c r="T46" i="279" l="1"/>
  <c r="R46" i="279"/>
  <c r="Q46" i="279"/>
  <c r="P46" i="279"/>
  <c r="N46" i="279"/>
  <c r="M46" i="279"/>
  <c r="T45" i="279"/>
  <c r="R45" i="279"/>
  <c r="Q45" i="279"/>
  <c r="P45" i="279"/>
  <c r="N45" i="279"/>
  <c r="T44" i="279"/>
  <c r="R44" i="279"/>
  <c r="Q44" i="279"/>
  <c r="M44" i="279" s="1"/>
  <c r="P44" i="279"/>
  <c r="N44" i="279"/>
  <c r="AJ31" i="279"/>
  <c r="AI31" i="279"/>
  <c r="AH31" i="279"/>
  <c r="AG31" i="279"/>
  <c r="U31" i="279"/>
  <c r="T31" i="279"/>
  <c r="R31" i="279"/>
  <c r="Q31" i="279"/>
  <c r="P31" i="279"/>
  <c r="N31" i="279"/>
  <c r="E31" i="279"/>
  <c r="AF22" i="279" s="1"/>
  <c r="AJ30" i="279"/>
  <c r="AI30" i="279"/>
  <c r="AH30" i="279"/>
  <c r="AG30" i="279"/>
  <c r="U30" i="279"/>
  <c r="T30" i="279"/>
  <c r="R30" i="279"/>
  <c r="Q30" i="279"/>
  <c r="P30" i="279"/>
  <c r="N30" i="279"/>
  <c r="E30" i="279"/>
  <c r="AF13" i="279" s="1"/>
  <c r="AJ29" i="279"/>
  <c r="AI29" i="279"/>
  <c r="AH29" i="279"/>
  <c r="AG29" i="279"/>
  <c r="U29" i="279"/>
  <c r="T29" i="279"/>
  <c r="R29" i="279"/>
  <c r="Q29" i="279"/>
  <c r="M29" i="279" s="1"/>
  <c r="AK21" i="279" s="1"/>
  <c r="P29" i="279"/>
  <c r="N29" i="279"/>
  <c r="E29" i="279"/>
  <c r="AF21" i="279" s="1"/>
  <c r="AJ28" i="279"/>
  <c r="AI28" i="279"/>
  <c r="AH28" i="279"/>
  <c r="AG28" i="279"/>
  <c r="U28" i="279"/>
  <c r="T28" i="279"/>
  <c r="R28" i="279"/>
  <c r="Q28" i="279"/>
  <c r="P28" i="279"/>
  <c r="N28" i="279"/>
  <c r="E28" i="279"/>
  <c r="AF31" i="279" s="1"/>
  <c r="AJ27" i="279"/>
  <c r="AI27" i="279"/>
  <c r="AH27" i="279"/>
  <c r="AG27" i="279"/>
  <c r="U27" i="279"/>
  <c r="T27" i="279"/>
  <c r="R27" i="279"/>
  <c r="Q27" i="279"/>
  <c r="P27" i="279"/>
  <c r="N27" i="279"/>
  <c r="E27" i="279"/>
  <c r="AJ26" i="279"/>
  <c r="AI26" i="279"/>
  <c r="AH26" i="279"/>
  <c r="AG26" i="279"/>
  <c r="U26" i="279"/>
  <c r="T26" i="279"/>
  <c r="R26" i="279"/>
  <c r="Q26" i="279"/>
  <c r="P26" i="279"/>
  <c r="N26" i="279"/>
  <c r="E26" i="279"/>
  <c r="AF30" i="279" s="1"/>
  <c r="AJ25" i="279"/>
  <c r="AI25" i="279"/>
  <c r="AH25" i="279"/>
  <c r="AG25" i="279"/>
  <c r="U25" i="279"/>
  <c r="T25" i="279"/>
  <c r="R25" i="279"/>
  <c r="Q25" i="279"/>
  <c r="P25" i="279"/>
  <c r="N25" i="279"/>
  <c r="E25" i="279"/>
  <c r="AJ24" i="279"/>
  <c r="AI24" i="279"/>
  <c r="AH24" i="279"/>
  <c r="AG24" i="279"/>
  <c r="U24" i="279"/>
  <c r="T24" i="279"/>
  <c r="R24" i="279"/>
  <c r="Q24" i="279"/>
  <c r="P24" i="279"/>
  <c r="N24" i="279"/>
  <c r="E24" i="279"/>
  <c r="AF11" i="279" s="1"/>
  <c r="AJ23" i="279"/>
  <c r="AI23" i="279"/>
  <c r="AH23" i="279"/>
  <c r="AG23" i="279"/>
  <c r="U23" i="279"/>
  <c r="T23" i="279"/>
  <c r="R23" i="279"/>
  <c r="Q23" i="279"/>
  <c r="M23" i="279" s="1"/>
  <c r="AK10" i="279" s="1"/>
  <c r="P23" i="279"/>
  <c r="N23" i="279"/>
  <c r="E23" i="279"/>
  <c r="AF10" i="279" s="1"/>
  <c r="AJ22" i="279"/>
  <c r="AI22" i="279"/>
  <c r="AH22" i="279"/>
  <c r="AG22" i="279"/>
  <c r="U22" i="279"/>
  <c r="T22" i="279"/>
  <c r="R22" i="279"/>
  <c r="Q22" i="279"/>
  <c r="P22" i="279"/>
  <c r="N22" i="279"/>
  <c r="E22" i="279"/>
  <c r="AF9" i="279" s="1"/>
  <c r="AJ21" i="279"/>
  <c r="AI21" i="279"/>
  <c r="AH21" i="279"/>
  <c r="AG21" i="279"/>
  <c r="U21" i="279"/>
  <c r="T21" i="279"/>
  <c r="R21" i="279"/>
  <c r="Q21" i="279"/>
  <c r="M21" i="279" s="1"/>
  <c r="AK29" i="279" s="1"/>
  <c r="P21" i="279"/>
  <c r="N21" i="279"/>
  <c r="E21" i="279"/>
  <c r="AF29" i="279" s="1"/>
  <c r="AJ20" i="279"/>
  <c r="AI20" i="279"/>
  <c r="AH20" i="279"/>
  <c r="AG20" i="279"/>
  <c r="AF20" i="279"/>
  <c r="U20" i="279"/>
  <c r="T20" i="279"/>
  <c r="R20" i="279"/>
  <c r="Q20" i="279"/>
  <c r="P20" i="279"/>
  <c r="N20" i="279"/>
  <c r="E20" i="279"/>
  <c r="AF19" i="279" s="1"/>
  <c r="AJ19" i="279"/>
  <c r="AI19" i="279"/>
  <c r="AH19" i="279"/>
  <c r="AG19" i="279"/>
  <c r="U19" i="279"/>
  <c r="T19" i="279"/>
  <c r="R19" i="279"/>
  <c r="Q19" i="279"/>
  <c r="P19" i="279"/>
  <c r="N19" i="279"/>
  <c r="E19" i="279"/>
  <c r="AF28" i="279" s="1"/>
  <c r="AJ18" i="279"/>
  <c r="AI18" i="279"/>
  <c r="AH18" i="279"/>
  <c r="AG18" i="279"/>
  <c r="U18" i="279"/>
  <c r="T18" i="279"/>
  <c r="R18" i="279"/>
  <c r="M18" i="279" s="1"/>
  <c r="AK8" i="279" s="1"/>
  <c r="Q18" i="279"/>
  <c r="P18" i="279"/>
  <c r="N18" i="279"/>
  <c r="E18" i="279"/>
  <c r="AF8" i="279" s="1"/>
  <c r="AJ17" i="279"/>
  <c r="AI17" i="279"/>
  <c r="AH17" i="279"/>
  <c r="AG17" i="279"/>
  <c r="U17" i="279"/>
  <c r="T17" i="279"/>
  <c r="R17" i="279"/>
  <c r="Q17" i="279"/>
  <c r="P17" i="279"/>
  <c r="N17" i="279"/>
  <c r="E17" i="279"/>
  <c r="AF27" i="279" s="1"/>
  <c r="AJ16" i="279"/>
  <c r="AI16" i="279"/>
  <c r="AH16" i="279"/>
  <c r="AG16" i="279"/>
  <c r="U16" i="279"/>
  <c r="T16" i="279"/>
  <c r="R16" i="279"/>
  <c r="Q16" i="279"/>
  <c r="P16" i="279"/>
  <c r="N16" i="279"/>
  <c r="E16" i="279"/>
  <c r="AF26" i="279" s="1"/>
  <c r="AJ15" i="279"/>
  <c r="AI15" i="279"/>
  <c r="AH15" i="279"/>
  <c r="AG15" i="279"/>
  <c r="U15" i="279"/>
  <c r="T15" i="279"/>
  <c r="R15" i="279"/>
  <c r="Q15" i="279"/>
  <c r="M15" i="279" s="1"/>
  <c r="AK18" i="279" s="1"/>
  <c r="P15" i="279"/>
  <c r="N15" i="279"/>
  <c r="E15" i="279"/>
  <c r="AF18" i="279" s="1"/>
  <c r="AJ14" i="279"/>
  <c r="AI14" i="279"/>
  <c r="AH14" i="279"/>
  <c r="AG14" i="279"/>
  <c r="U14" i="279"/>
  <c r="T14" i="279"/>
  <c r="R14" i="279"/>
  <c r="Q14" i="279"/>
  <c r="P14" i="279"/>
  <c r="N14" i="279"/>
  <c r="E14" i="279"/>
  <c r="AF17" i="279" s="1"/>
  <c r="AJ13" i="279"/>
  <c r="AI13" i="279"/>
  <c r="AH13" i="279"/>
  <c r="AG13" i="279"/>
  <c r="U13" i="279"/>
  <c r="T13" i="279"/>
  <c r="R13" i="279"/>
  <c r="Q13" i="279"/>
  <c r="M13" i="279" s="1"/>
  <c r="AK16" i="279" s="1"/>
  <c r="P13" i="279"/>
  <c r="N13" i="279"/>
  <c r="E13" i="279"/>
  <c r="AF16" i="279" s="1"/>
  <c r="AJ12" i="279"/>
  <c r="AI12" i="279"/>
  <c r="AH12" i="279"/>
  <c r="AG12" i="279"/>
  <c r="AF12" i="279"/>
  <c r="U12" i="279"/>
  <c r="T12" i="279"/>
  <c r="R12" i="279"/>
  <c r="Q12" i="279"/>
  <c r="P12" i="279"/>
  <c r="N12" i="279"/>
  <c r="E12" i="279"/>
  <c r="AF7" i="279" s="1"/>
  <c r="AJ11" i="279"/>
  <c r="AI11" i="279"/>
  <c r="AH11" i="279"/>
  <c r="AG11" i="279"/>
  <c r="U11" i="279"/>
  <c r="T11" i="279"/>
  <c r="R11" i="279"/>
  <c r="Q11" i="279"/>
  <c r="P11" i="279"/>
  <c r="N11" i="279"/>
  <c r="E11" i="279"/>
  <c r="AF25" i="279" s="1"/>
  <c r="AJ10" i="279"/>
  <c r="AI10" i="279"/>
  <c r="AH10" i="279"/>
  <c r="AG10" i="279"/>
  <c r="U10" i="279"/>
  <c r="T10" i="279"/>
  <c r="R10" i="279"/>
  <c r="Q10" i="279"/>
  <c r="P10" i="279"/>
  <c r="N10" i="279"/>
  <c r="M10" i="279"/>
  <c r="AK6" i="279" s="1"/>
  <c r="E10" i="279"/>
  <c r="AJ9" i="279"/>
  <c r="AI9" i="279"/>
  <c r="AH9" i="279"/>
  <c r="AG9" i="279"/>
  <c r="U9" i="279"/>
  <c r="T9" i="279"/>
  <c r="R9" i="279"/>
  <c r="Q9" i="279"/>
  <c r="M9" i="279" s="1"/>
  <c r="AK15" i="279" s="1"/>
  <c r="P9" i="279"/>
  <c r="N9" i="279"/>
  <c r="E9" i="279"/>
  <c r="AF15" i="279" s="1"/>
  <c r="AJ8" i="279"/>
  <c r="AI8" i="279"/>
  <c r="AH8" i="279"/>
  <c r="AG8" i="279"/>
  <c r="U8" i="279"/>
  <c r="T8" i="279"/>
  <c r="R8" i="279"/>
  <c r="Q8" i="279"/>
  <c r="P8" i="279"/>
  <c r="N8" i="279"/>
  <c r="E8" i="279"/>
  <c r="AF24" i="279" s="1"/>
  <c r="AJ7" i="279"/>
  <c r="AI7" i="279"/>
  <c r="AH7" i="279"/>
  <c r="AG7" i="279"/>
  <c r="U7" i="279"/>
  <c r="T7" i="279"/>
  <c r="R7" i="279"/>
  <c r="Q7" i="279"/>
  <c r="M7" i="279" s="1"/>
  <c r="AK23" i="279" s="1"/>
  <c r="P7" i="279"/>
  <c r="N7" i="279"/>
  <c r="E7" i="279"/>
  <c r="AF23" i="279" s="1"/>
  <c r="AJ6" i="279"/>
  <c r="AI6" i="279"/>
  <c r="AH6" i="279"/>
  <c r="AG6" i="279"/>
  <c r="AF6" i="279"/>
  <c r="U6" i="279"/>
  <c r="T6" i="279"/>
  <c r="R6" i="279"/>
  <c r="Q6" i="279"/>
  <c r="P6" i="279"/>
  <c r="N6" i="279"/>
  <c r="E6" i="279"/>
  <c r="AF14" i="279" s="1"/>
  <c r="M26" i="279" l="1"/>
  <c r="AK30" i="279" s="1"/>
  <c r="M31" i="279"/>
  <c r="AK22" i="279" s="1"/>
  <c r="M14" i="279"/>
  <c r="AK17" i="279" s="1"/>
  <c r="M12" i="279"/>
  <c r="AK7" i="279" s="1"/>
  <c r="AC30" i="279"/>
  <c r="M28" i="279"/>
  <c r="AK31" i="279" s="1"/>
  <c r="M16" i="279"/>
  <c r="AK26" i="279" s="1"/>
  <c r="M6" i="279"/>
  <c r="AK14" i="279" s="1"/>
  <c r="M17" i="279"/>
  <c r="AK27" i="279" s="1"/>
  <c r="M19" i="279"/>
  <c r="AK28" i="279" s="1"/>
  <c r="M30" i="279"/>
  <c r="AK13" i="279" s="1"/>
  <c r="O9" i="279"/>
  <c r="O28" i="279"/>
  <c r="S24" i="279"/>
  <c r="O30" i="279"/>
  <c r="M20" i="279"/>
  <c r="AK19" i="279" s="1"/>
  <c r="S21" i="279"/>
  <c r="M25" i="279"/>
  <c r="AK20" i="279" s="1"/>
  <c r="M27" i="279"/>
  <c r="AK12" i="279" s="1"/>
  <c r="M8" i="279"/>
  <c r="AK24" i="279" s="1"/>
  <c r="O12" i="279"/>
  <c r="AB15" i="279"/>
  <c r="M24" i="279"/>
  <c r="AK11" i="279" s="1"/>
  <c r="O45" i="279"/>
  <c r="M22" i="279"/>
  <c r="AK9" i="279" s="1"/>
  <c r="M45" i="279"/>
  <c r="AB13" i="279"/>
  <c r="AC28" i="279"/>
  <c r="AD11" i="279"/>
  <c r="AB29" i="279"/>
  <c r="AC25" i="279"/>
  <c r="AB16" i="279"/>
  <c r="AD20" i="279"/>
  <c r="AB18" i="279"/>
  <c r="AC15" i="279"/>
  <c r="AB19" i="279"/>
  <c r="AB9" i="279"/>
  <c r="AD14" i="279"/>
  <c r="K45" i="279" s="1"/>
  <c r="AB22" i="279"/>
  <c r="O25" i="279"/>
  <c r="AD30" i="279"/>
  <c r="AB7" i="279"/>
  <c r="AB8" i="279"/>
  <c r="AD12" i="279"/>
  <c r="AB10" i="279"/>
  <c r="AC7" i="279"/>
  <c r="AB11" i="279"/>
  <c r="AC17" i="279"/>
  <c r="AB20" i="279"/>
  <c r="S13" i="279"/>
  <c r="S16" i="279"/>
  <c r="AD17" i="279"/>
  <c r="AC20" i="279"/>
  <c r="AB25" i="279"/>
  <c r="AB27" i="279"/>
  <c r="S29" i="279"/>
  <c r="AD6" i="279"/>
  <c r="K44" i="279" s="1"/>
  <c r="M11" i="279"/>
  <c r="AK25" i="279" s="1"/>
  <c r="AC22" i="279"/>
  <c r="O17" i="279"/>
  <c r="O20" i="279"/>
  <c r="AB21" i="279"/>
  <c r="AB23" i="279"/>
  <c r="AD27" i="279"/>
  <c r="AC24" i="279"/>
  <c r="AC29" i="279"/>
  <c r="AD23" i="279"/>
  <c r="K46" i="279" s="1"/>
  <c r="AC31" i="279"/>
  <c r="AB26" i="279"/>
  <c r="AC23" i="279"/>
  <c r="J46" i="279" s="1"/>
  <c r="AD29" i="279"/>
  <c r="AD26" i="279"/>
  <c r="AB24" i="279"/>
  <c r="AD31" i="279"/>
  <c r="AC26" i="279"/>
  <c r="AD28" i="279"/>
  <c r="AB30" i="279"/>
  <c r="AB31" i="279"/>
  <c r="AD25" i="279"/>
  <c r="AC9" i="279"/>
  <c r="AB12" i="279"/>
  <c r="S8" i="279"/>
  <c r="AD9" i="279"/>
  <c r="AC12" i="279"/>
  <c r="AB17" i="279"/>
  <c r="AD22" i="279"/>
  <c r="AB28" i="279"/>
  <c r="O7" i="279"/>
  <c r="O15" i="279"/>
  <c r="S19" i="279"/>
  <c r="O23" i="279"/>
  <c r="S27" i="279"/>
  <c r="S44" i="279"/>
  <c r="O46" i="279"/>
  <c r="AD7" i="279"/>
  <c r="O10" i="279"/>
  <c r="AC10" i="279"/>
  <c r="AC18" i="279"/>
  <c r="O26" i="279"/>
  <c r="S9" i="279"/>
  <c r="O13" i="279"/>
  <c r="AC13" i="279"/>
  <c r="S17" i="279"/>
  <c r="O21" i="279"/>
  <c r="AC21" i="279"/>
  <c r="S45" i="279"/>
  <c r="O8" i="279"/>
  <c r="AC8" i="279"/>
  <c r="S12" i="279"/>
  <c r="O24" i="279"/>
  <c r="AB6" i="279"/>
  <c r="S7" i="279"/>
  <c r="AD8" i="279"/>
  <c r="O11" i="279"/>
  <c r="AC11" i="279"/>
  <c r="AB14" i="279"/>
  <c r="S15" i="279"/>
  <c r="AD16" i="279"/>
  <c r="O19" i="279"/>
  <c r="AC19" i="279"/>
  <c r="S23" i="279"/>
  <c r="AD24" i="279"/>
  <c r="O27" i="279"/>
  <c r="AC27" i="279"/>
  <c r="S31" i="279"/>
  <c r="O44" i="279"/>
  <c r="S46" i="279"/>
  <c r="S11" i="279"/>
  <c r="O31" i="279"/>
  <c r="S6" i="279"/>
  <c r="S14" i="279"/>
  <c r="AD15" i="279"/>
  <c r="O18" i="279"/>
  <c r="S22" i="279"/>
  <c r="S30" i="279"/>
  <c r="AD10" i="279"/>
  <c r="AD18" i="279"/>
  <c r="S25" i="279"/>
  <c r="O29" i="279"/>
  <c r="AD13" i="279"/>
  <c r="O16" i="279"/>
  <c r="AC16" i="279"/>
  <c r="S20" i="279"/>
  <c r="AD21" i="279"/>
  <c r="S28" i="279"/>
  <c r="O6" i="279"/>
  <c r="AC6" i="279"/>
  <c r="J44" i="279" s="1"/>
  <c r="S10" i="279"/>
  <c r="O14" i="279"/>
  <c r="AC14" i="279"/>
  <c r="J45" i="279" s="1"/>
  <c r="S18" i="279"/>
  <c r="AD19" i="279"/>
  <c r="O22" i="279"/>
  <c r="S26" i="279"/>
  <c r="T46" i="278" l="1"/>
  <c r="R46" i="278"/>
  <c r="Q46" i="278"/>
  <c r="M46" i="278" s="1"/>
  <c r="P46" i="278"/>
  <c r="N46" i="278"/>
  <c r="T45" i="278"/>
  <c r="R45" i="278"/>
  <c r="Q45" i="278"/>
  <c r="M45" i="278" s="1"/>
  <c r="P45" i="278"/>
  <c r="N45" i="278"/>
  <c r="T44" i="278"/>
  <c r="R44" i="278"/>
  <c r="Q44" i="278"/>
  <c r="P44" i="278"/>
  <c r="N44" i="278"/>
  <c r="M44" i="278"/>
  <c r="AJ31" i="278"/>
  <c r="AI31" i="278"/>
  <c r="AH31" i="278"/>
  <c r="AG31" i="278"/>
  <c r="U31" i="278"/>
  <c r="T31" i="278"/>
  <c r="R31" i="278"/>
  <c r="Q31" i="278"/>
  <c r="M31" i="278" s="1"/>
  <c r="AK22" i="278" s="1"/>
  <c r="P31" i="278"/>
  <c r="N31" i="278"/>
  <c r="E31" i="278"/>
  <c r="AJ30" i="278"/>
  <c r="AI30" i="278"/>
  <c r="AH30" i="278"/>
  <c r="AG30" i="278"/>
  <c r="U30" i="278"/>
  <c r="T30" i="278"/>
  <c r="R30" i="278"/>
  <c r="Q30" i="278"/>
  <c r="P30" i="278"/>
  <c r="N30" i="278"/>
  <c r="E30" i="278"/>
  <c r="AF13" i="278" s="1"/>
  <c r="AJ29" i="278"/>
  <c r="AI29" i="278"/>
  <c r="AH29" i="278"/>
  <c r="AG29" i="278"/>
  <c r="U29" i="278"/>
  <c r="T29" i="278"/>
  <c r="R29" i="278"/>
  <c r="Q29" i="278"/>
  <c r="P29" i="278"/>
  <c r="N29" i="278"/>
  <c r="E29" i="278"/>
  <c r="AJ28" i="278"/>
  <c r="AI28" i="278"/>
  <c r="AH28" i="278"/>
  <c r="AG28" i="278"/>
  <c r="U28" i="278"/>
  <c r="T28" i="278"/>
  <c r="R28" i="278"/>
  <c r="Q28" i="278"/>
  <c r="P28" i="278"/>
  <c r="N28" i="278"/>
  <c r="E28" i="278"/>
  <c r="AF31" i="278" s="1"/>
  <c r="AJ27" i="278"/>
  <c r="AI27" i="278"/>
  <c r="AH27" i="278"/>
  <c r="AG27" i="278"/>
  <c r="U27" i="278"/>
  <c r="T27" i="278"/>
  <c r="R27" i="278"/>
  <c r="Q27" i="278"/>
  <c r="M27" i="278" s="1"/>
  <c r="AK12" i="278" s="1"/>
  <c r="P27" i="278"/>
  <c r="N27" i="278"/>
  <c r="E27" i="278"/>
  <c r="AF12" i="278" s="1"/>
  <c r="AJ26" i="278"/>
  <c r="AI26" i="278"/>
  <c r="AH26" i="278"/>
  <c r="AG26" i="278"/>
  <c r="U26" i="278"/>
  <c r="T26" i="278"/>
  <c r="R26" i="278"/>
  <c r="Q26" i="278"/>
  <c r="P26" i="278"/>
  <c r="N26" i="278"/>
  <c r="E26" i="278"/>
  <c r="AF30" i="278" s="1"/>
  <c r="AJ25" i="278"/>
  <c r="AI25" i="278"/>
  <c r="AH25" i="278"/>
  <c r="AG25" i="278"/>
  <c r="U25" i="278"/>
  <c r="T25" i="278"/>
  <c r="R25" i="278"/>
  <c r="Q25" i="278"/>
  <c r="M25" i="278" s="1"/>
  <c r="AK20" i="278" s="1"/>
  <c r="P25" i="278"/>
  <c r="N25" i="278"/>
  <c r="E25" i="278"/>
  <c r="AF20" i="278" s="1"/>
  <c r="AJ24" i="278"/>
  <c r="AI24" i="278"/>
  <c r="AH24" i="278"/>
  <c r="AG24" i="278"/>
  <c r="U24" i="278"/>
  <c r="T24" i="278"/>
  <c r="R24" i="278"/>
  <c r="Q24" i="278"/>
  <c r="P24" i="278"/>
  <c r="N24" i="278"/>
  <c r="E24" i="278"/>
  <c r="AF11" i="278" s="1"/>
  <c r="AJ23" i="278"/>
  <c r="AI23" i="278"/>
  <c r="AH23" i="278"/>
  <c r="AG23" i="278"/>
  <c r="U23" i="278"/>
  <c r="T23" i="278"/>
  <c r="R23" i="278"/>
  <c r="Q23" i="278"/>
  <c r="P23" i="278"/>
  <c r="N23" i="278"/>
  <c r="E23" i="278"/>
  <c r="AJ22" i="278"/>
  <c r="AI22" i="278"/>
  <c r="AH22" i="278"/>
  <c r="AG22" i="278"/>
  <c r="AF22" i="278"/>
  <c r="U22" i="278"/>
  <c r="T22" i="278"/>
  <c r="R22" i="278"/>
  <c r="Q22" i="278"/>
  <c r="P22" i="278"/>
  <c r="N22" i="278"/>
  <c r="E22" i="278"/>
  <c r="AF9" i="278" s="1"/>
  <c r="AJ21" i="278"/>
  <c r="AI21" i="278"/>
  <c r="AH21" i="278"/>
  <c r="AG21" i="278"/>
  <c r="AF21" i="278"/>
  <c r="U21" i="278"/>
  <c r="T21" i="278"/>
  <c r="R21" i="278"/>
  <c r="M21" i="278" s="1"/>
  <c r="AK29" i="278" s="1"/>
  <c r="Q21" i="278"/>
  <c r="P21" i="278"/>
  <c r="N21" i="278"/>
  <c r="E21" i="278"/>
  <c r="AF29" i="278" s="1"/>
  <c r="AJ20" i="278"/>
  <c r="AI20" i="278"/>
  <c r="AH20" i="278"/>
  <c r="AG20" i="278"/>
  <c r="U20" i="278"/>
  <c r="T20" i="278"/>
  <c r="R20" i="278"/>
  <c r="Q20" i="278"/>
  <c r="P20" i="278"/>
  <c r="N20" i="278"/>
  <c r="E20" i="278"/>
  <c r="AF19" i="278" s="1"/>
  <c r="AJ19" i="278"/>
  <c r="AI19" i="278"/>
  <c r="AH19" i="278"/>
  <c r="AG19" i="278"/>
  <c r="U19" i="278"/>
  <c r="T19" i="278"/>
  <c r="R19" i="278"/>
  <c r="Q19" i="278"/>
  <c r="P19" i="278"/>
  <c r="N19" i="278"/>
  <c r="E19" i="278"/>
  <c r="AF28" i="278" s="1"/>
  <c r="AJ18" i="278"/>
  <c r="AI18" i="278"/>
  <c r="AH18" i="278"/>
  <c r="AG18" i="278"/>
  <c r="U18" i="278"/>
  <c r="T18" i="278"/>
  <c r="R18" i="278"/>
  <c r="Q18" i="278"/>
  <c r="M18" i="278" s="1"/>
  <c r="AK8" i="278" s="1"/>
  <c r="P18" i="278"/>
  <c r="N18" i="278"/>
  <c r="E18" i="278"/>
  <c r="AF8" i="278" s="1"/>
  <c r="AJ17" i="278"/>
  <c r="AI17" i="278"/>
  <c r="AH17" i="278"/>
  <c r="AG17" i="278"/>
  <c r="U17" i="278"/>
  <c r="T17" i="278"/>
  <c r="R17" i="278"/>
  <c r="Q17" i="278"/>
  <c r="M17" i="278" s="1"/>
  <c r="AK27" i="278" s="1"/>
  <c r="P17" i="278"/>
  <c r="N17" i="278"/>
  <c r="E17" i="278"/>
  <c r="AF27" i="278" s="1"/>
  <c r="AJ16" i="278"/>
  <c r="AI16" i="278"/>
  <c r="AH16" i="278"/>
  <c r="AG16" i="278"/>
  <c r="U16" i="278"/>
  <c r="T16" i="278"/>
  <c r="R16" i="278"/>
  <c r="Q16" i="278"/>
  <c r="P16" i="278"/>
  <c r="N16" i="278"/>
  <c r="E16" i="278"/>
  <c r="AF26" i="278" s="1"/>
  <c r="AJ15" i="278"/>
  <c r="AI15" i="278"/>
  <c r="AH15" i="278"/>
  <c r="AG15" i="278"/>
  <c r="U15" i="278"/>
  <c r="T15" i="278"/>
  <c r="R15" i="278"/>
  <c r="Q15" i="278"/>
  <c r="M15" i="278" s="1"/>
  <c r="AK18" i="278" s="1"/>
  <c r="P15" i="278"/>
  <c r="N15" i="278"/>
  <c r="E15" i="278"/>
  <c r="AF18" i="278" s="1"/>
  <c r="AJ14" i="278"/>
  <c r="AI14" i="278"/>
  <c r="AH14" i="278"/>
  <c r="AG14" i="278"/>
  <c r="U14" i="278"/>
  <c r="T14" i="278"/>
  <c r="R14" i="278"/>
  <c r="Q14" i="278"/>
  <c r="P14" i="278"/>
  <c r="N14" i="278"/>
  <c r="E14" i="278"/>
  <c r="AF17" i="278" s="1"/>
  <c r="AJ13" i="278"/>
  <c r="AI13" i="278"/>
  <c r="AH13" i="278"/>
  <c r="AG13" i="278"/>
  <c r="U13" i="278"/>
  <c r="T13" i="278"/>
  <c r="R13" i="278"/>
  <c r="Q13" i="278"/>
  <c r="P13" i="278"/>
  <c r="N13" i="278"/>
  <c r="E13" i="278"/>
  <c r="AF16" i="278" s="1"/>
  <c r="AJ12" i="278"/>
  <c r="AI12" i="278"/>
  <c r="AH12" i="278"/>
  <c r="AG12" i="278"/>
  <c r="U12" i="278"/>
  <c r="T12" i="278"/>
  <c r="R12" i="278"/>
  <c r="Q12" i="278"/>
  <c r="P12" i="278"/>
  <c r="N12" i="278"/>
  <c r="E12" i="278"/>
  <c r="AF7" i="278" s="1"/>
  <c r="AJ11" i="278"/>
  <c r="AI11" i="278"/>
  <c r="AH11" i="278"/>
  <c r="AG11" i="278"/>
  <c r="U11" i="278"/>
  <c r="T11" i="278"/>
  <c r="R11" i="278"/>
  <c r="Q11" i="278"/>
  <c r="M11" i="278" s="1"/>
  <c r="AK25" i="278" s="1"/>
  <c r="P11" i="278"/>
  <c r="N11" i="278"/>
  <c r="E11" i="278"/>
  <c r="AF25" i="278" s="1"/>
  <c r="AJ10" i="278"/>
  <c r="AI10" i="278"/>
  <c r="AH10" i="278"/>
  <c r="AG10" i="278"/>
  <c r="AF10" i="278"/>
  <c r="U10" i="278"/>
  <c r="T10" i="278"/>
  <c r="R10" i="278"/>
  <c r="Q10" i="278"/>
  <c r="P10" i="278"/>
  <c r="N10" i="278"/>
  <c r="E10" i="278"/>
  <c r="AF6" i="278" s="1"/>
  <c r="AJ9" i="278"/>
  <c r="AI9" i="278"/>
  <c r="AH9" i="278"/>
  <c r="AG9" i="278"/>
  <c r="U9" i="278"/>
  <c r="T9" i="278"/>
  <c r="R9" i="278"/>
  <c r="Q9" i="278"/>
  <c r="M9" i="278" s="1"/>
  <c r="AK15" i="278" s="1"/>
  <c r="P9" i="278"/>
  <c r="N9" i="278"/>
  <c r="E9" i="278"/>
  <c r="AF15" i="278" s="1"/>
  <c r="AJ8" i="278"/>
  <c r="AI8" i="278"/>
  <c r="AH8" i="278"/>
  <c r="AG8" i="278"/>
  <c r="U8" i="278"/>
  <c r="T8" i="278"/>
  <c r="R8" i="278"/>
  <c r="Q8" i="278"/>
  <c r="P8" i="278"/>
  <c r="N8" i="278"/>
  <c r="E8" i="278"/>
  <c r="AF24" i="278" s="1"/>
  <c r="AJ7" i="278"/>
  <c r="AI7" i="278"/>
  <c r="AH7" i="278"/>
  <c r="AG7" i="278"/>
  <c r="U7" i="278"/>
  <c r="T7" i="278"/>
  <c r="R7" i="278"/>
  <c r="Q7" i="278"/>
  <c r="P7" i="278"/>
  <c r="N7" i="278"/>
  <c r="E7" i="278"/>
  <c r="AF23" i="278" s="1"/>
  <c r="AJ6" i="278"/>
  <c r="AI6" i="278"/>
  <c r="AH6" i="278"/>
  <c r="AG6" i="278"/>
  <c r="U6" i="278"/>
  <c r="T6" i="278"/>
  <c r="R6" i="278"/>
  <c r="Q6" i="278"/>
  <c r="P6" i="278"/>
  <c r="N6" i="278"/>
  <c r="E6" i="278"/>
  <c r="M19" i="278" l="1"/>
  <c r="AK28" i="278" s="1"/>
  <c r="M7" i="278"/>
  <c r="AK23" i="278" s="1"/>
  <c r="M8" i="278"/>
  <c r="AK24" i="278" s="1"/>
  <c r="M16" i="278"/>
  <c r="AK26" i="278" s="1"/>
  <c r="M13" i="278"/>
  <c r="AK16" i="278" s="1"/>
  <c r="M20" i="278"/>
  <c r="AK19" i="278" s="1"/>
  <c r="M24" i="278"/>
  <c r="AK11" i="278" s="1"/>
  <c r="M29" i="278"/>
  <c r="AK21" i="278" s="1"/>
  <c r="M12" i="278"/>
  <c r="AK7" i="278" s="1"/>
  <c r="M10" i="278"/>
  <c r="AK6" i="278" s="1"/>
  <c r="M23" i="278"/>
  <c r="AK10" i="278" s="1"/>
  <c r="M28" i="278"/>
  <c r="AK31" i="278" s="1"/>
  <c r="M22" i="278"/>
  <c r="AK9" i="278" s="1"/>
  <c r="M30" i="278"/>
  <c r="AK13" i="278" s="1"/>
  <c r="M14" i="278"/>
  <c r="AK17" i="278" s="1"/>
  <c r="M6" i="278"/>
  <c r="AK14" i="278" s="1"/>
  <c r="M26" i="278"/>
  <c r="AK30" i="278" s="1"/>
  <c r="AB26" i="278"/>
  <c r="AB30" i="278"/>
  <c r="AB18" i="278"/>
  <c r="O30" i="278"/>
  <c r="AC15" i="278"/>
  <c r="AC7" i="278"/>
  <c r="AB10" i="278"/>
  <c r="AC23" i="278"/>
  <c r="J46" i="278" s="1"/>
  <c r="AB9" i="278"/>
  <c r="AB22" i="278"/>
  <c r="AB11" i="278"/>
  <c r="AB17" i="278"/>
  <c r="AD11" i="278"/>
  <c r="AB19" i="278"/>
  <c r="AD27" i="278"/>
  <c r="AC22" i="278"/>
  <c r="AC30" i="278"/>
  <c r="AB25" i="278"/>
  <c r="AB27" i="278"/>
  <c r="O7" i="278"/>
  <c r="O31" i="278"/>
  <c r="AD7" i="278"/>
  <c r="O10" i="278"/>
  <c r="AD23" i="278"/>
  <c r="K46" i="278" s="1"/>
  <c r="S30" i="278"/>
  <c r="AB8" i="278"/>
  <c r="AB16" i="278"/>
  <c r="AD18" i="278"/>
  <c r="O21" i="278"/>
  <c r="AD6" i="278"/>
  <c r="K44" i="278" s="1"/>
  <c r="O9" i="278"/>
  <c r="AC9" i="278"/>
  <c r="AB12" i="278"/>
  <c r="S13" i="278"/>
  <c r="AD14" i="278"/>
  <c r="K45" i="278" s="1"/>
  <c r="O17" i="278"/>
  <c r="AC17" i="278"/>
  <c r="AB20" i="278"/>
  <c r="S21" i="278"/>
  <c r="AD22" i="278"/>
  <c r="O25" i="278"/>
  <c r="AC25" i="278"/>
  <c r="AB28" i="278"/>
  <c r="S29" i="278"/>
  <c r="AD30" i="278"/>
  <c r="O45" i="278"/>
  <c r="AB7" i="278"/>
  <c r="S8" i="278"/>
  <c r="AD9" i="278"/>
  <c r="O12" i="278"/>
  <c r="AC12" i="278"/>
  <c r="AF14" i="278"/>
  <c r="AB15" i="278"/>
  <c r="S16" i="278"/>
  <c r="AD17" i="278"/>
  <c r="O20" i="278"/>
  <c r="AC20" i="278"/>
  <c r="AB23" i="278"/>
  <c r="S24" i="278"/>
  <c r="AD25" i="278"/>
  <c r="O28" i="278"/>
  <c r="AC28" i="278"/>
  <c r="AB31" i="278"/>
  <c r="O15" i="278"/>
  <c r="S19" i="278"/>
  <c r="AD20" i="278"/>
  <c r="AD28" i="278"/>
  <c r="AC31" i="278"/>
  <c r="O46" i="278"/>
  <c r="S14" i="278"/>
  <c r="AD15" i="278"/>
  <c r="O18" i="278"/>
  <c r="AC18" i="278"/>
  <c r="AB21" i="278"/>
  <c r="O26" i="278"/>
  <c r="AC26" i="278"/>
  <c r="AB29" i="278"/>
  <c r="AD31" i="278"/>
  <c r="S9" i="278"/>
  <c r="AD10" i="278"/>
  <c r="O13" i="278"/>
  <c r="AC13" i="278"/>
  <c r="S17" i="278"/>
  <c r="AB24" i="278"/>
  <c r="S25" i="278"/>
  <c r="AD26" i="278"/>
  <c r="O29" i="278"/>
  <c r="AC29" i="278"/>
  <c r="O8" i="278"/>
  <c r="AC8" i="278"/>
  <c r="S12" i="278"/>
  <c r="O16" i="278"/>
  <c r="AC16" i="278"/>
  <c r="S20" i="278"/>
  <c r="O24" i="278"/>
  <c r="S28" i="278"/>
  <c r="AD29" i="278"/>
  <c r="AB6" i="278"/>
  <c r="S7" i="278"/>
  <c r="AD8" i="278"/>
  <c r="O11" i="278"/>
  <c r="AC11" i="278"/>
  <c r="AB14" i="278"/>
  <c r="S15" i="278"/>
  <c r="AD16" i="278"/>
  <c r="O19" i="278"/>
  <c r="AC19" i="278"/>
  <c r="S23" i="278"/>
  <c r="AD24" i="278"/>
  <c r="O27" i="278"/>
  <c r="AC27" i="278"/>
  <c r="S31" i="278"/>
  <c r="O44" i="278"/>
  <c r="S46" i="278"/>
  <c r="S11" i="278"/>
  <c r="AD12" i="278"/>
  <c r="O23" i="278"/>
  <c r="S27" i="278"/>
  <c r="S44" i="278"/>
  <c r="S6" i="278"/>
  <c r="AC10" i="278"/>
  <c r="AB13" i="278"/>
  <c r="S22" i="278"/>
  <c r="AC21" i="278"/>
  <c r="S45" i="278"/>
  <c r="AD13" i="278"/>
  <c r="AD21" i="278"/>
  <c r="AC24" i="278"/>
  <c r="O6" i="278"/>
  <c r="AC6" i="278"/>
  <c r="J44" i="278" s="1"/>
  <c r="S10" i="278"/>
  <c r="O14" i="278"/>
  <c r="AC14" i="278"/>
  <c r="J45" i="278" s="1"/>
  <c r="S18" i="278"/>
  <c r="AD19" i="278"/>
  <c r="O22" i="278"/>
  <c r="S26" i="278"/>
  <c r="T46" i="277"/>
  <c r="R46" i="277"/>
  <c r="M46" i="277" s="1"/>
  <c r="Q46" i="277"/>
  <c r="P46" i="277"/>
  <c r="N46" i="277"/>
  <c r="T45" i="277"/>
  <c r="R45" i="277"/>
  <c r="Q45" i="277"/>
  <c r="M45" i="277" s="1"/>
  <c r="P45" i="277"/>
  <c r="N45" i="277"/>
  <c r="T44" i="277"/>
  <c r="R44" i="277"/>
  <c r="Q44" i="277"/>
  <c r="P44" i="277"/>
  <c r="N44" i="277"/>
  <c r="AJ31" i="277"/>
  <c r="AI31" i="277"/>
  <c r="AH31" i="277"/>
  <c r="AG31" i="277"/>
  <c r="U31" i="277"/>
  <c r="T31" i="277"/>
  <c r="R31" i="277"/>
  <c r="Q31" i="277"/>
  <c r="P31" i="277"/>
  <c r="N31" i="277"/>
  <c r="E31" i="277"/>
  <c r="AF22" i="277" s="1"/>
  <c r="AJ30" i="277"/>
  <c r="AI30" i="277"/>
  <c r="AH30" i="277"/>
  <c r="AG30" i="277"/>
  <c r="U30" i="277"/>
  <c r="T30" i="277"/>
  <c r="R30" i="277"/>
  <c r="Q30" i="277"/>
  <c r="P30" i="277"/>
  <c r="N30" i="277"/>
  <c r="E30" i="277"/>
  <c r="AF13" i="277" s="1"/>
  <c r="AJ29" i="277"/>
  <c r="AI29" i="277"/>
  <c r="AH29" i="277"/>
  <c r="AG29" i="277"/>
  <c r="U29" i="277"/>
  <c r="T29" i="277"/>
  <c r="R29" i="277"/>
  <c r="Q29" i="277"/>
  <c r="P29" i="277"/>
  <c r="N29" i="277"/>
  <c r="E29" i="277"/>
  <c r="AF21" i="277" s="1"/>
  <c r="AJ28" i="277"/>
  <c r="AI28" i="277"/>
  <c r="AH28" i="277"/>
  <c r="AG28" i="277"/>
  <c r="U28" i="277"/>
  <c r="T28" i="277"/>
  <c r="R28" i="277"/>
  <c r="Q28" i="277"/>
  <c r="P28" i="277"/>
  <c r="N28" i="277"/>
  <c r="E28" i="277"/>
  <c r="AF31" i="277" s="1"/>
  <c r="AJ27" i="277"/>
  <c r="AI27" i="277"/>
  <c r="AH27" i="277"/>
  <c r="AG27" i="277"/>
  <c r="U27" i="277"/>
  <c r="T27" i="277"/>
  <c r="R27" i="277"/>
  <c r="Q27" i="277"/>
  <c r="M27" i="277" s="1"/>
  <c r="AK12" i="277" s="1"/>
  <c r="P27" i="277"/>
  <c r="N27" i="277"/>
  <c r="E27" i="277"/>
  <c r="AF12" i="277" s="1"/>
  <c r="AJ26" i="277"/>
  <c r="AI26" i="277"/>
  <c r="AH26" i="277"/>
  <c r="AG26" i="277"/>
  <c r="U26" i="277"/>
  <c r="T26" i="277"/>
  <c r="R26" i="277"/>
  <c r="Q26" i="277"/>
  <c r="P26" i="277"/>
  <c r="N26" i="277"/>
  <c r="E26" i="277"/>
  <c r="AF30" i="277" s="1"/>
  <c r="AJ25" i="277"/>
  <c r="AI25" i="277"/>
  <c r="AH25" i="277"/>
  <c r="AG25" i="277"/>
  <c r="U25" i="277"/>
  <c r="T25" i="277"/>
  <c r="R25" i="277"/>
  <c r="Q25" i="277"/>
  <c r="P25" i="277"/>
  <c r="N25" i="277"/>
  <c r="E25" i="277"/>
  <c r="AF20" i="277" s="1"/>
  <c r="AJ24" i="277"/>
  <c r="AI24" i="277"/>
  <c r="AH24" i="277"/>
  <c r="AG24" i="277"/>
  <c r="U24" i="277"/>
  <c r="T24" i="277"/>
  <c r="R24" i="277"/>
  <c r="Q24" i="277"/>
  <c r="P24" i="277"/>
  <c r="N24" i="277"/>
  <c r="AF11" i="277"/>
  <c r="AJ23" i="277"/>
  <c r="AI23" i="277"/>
  <c r="AH23" i="277"/>
  <c r="AG23" i="277"/>
  <c r="U23" i="277"/>
  <c r="T23" i="277"/>
  <c r="R23" i="277"/>
  <c r="Q23" i="277"/>
  <c r="P23" i="277"/>
  <c r="N23" i="277"/>
  <c r="E23" i="277"/>
  <c r="AF10" i="277" s="1"/>
  <c r="AJ22" i="277"/>
  <c r="AI22" i="277"/>
  <c r="AH22" i="277"/>
  <c r="AG22" i="277"/>
  <c r="U22" i="277"/>
  <c r="T22" i="277"/>
  <c r="R22" i="277"/>
  <c r="Q22" i="277"/>
  <c r="P22" i="277"/>
  <c r="N22" i="277"/>
  <c r="E22" i="277"/>
  <c r="AF9" i="277" s="1"/>
  <c r="AJ21" i="277"/>
  <c r="AI21" i="277"/>
  <c r="AH21" i="277"/>
  <c r="AG21" i="277"/>
  <c r="U21" i="277"/>
  <c r="T21" i="277"/>
  <c r="R21" i="277"/>
  <c r="Q21" i="277"/>
  <c r="M21" i="277" s="1"/>
  <c r="AK29" i="277" s="1"/>
  <c r="P21" i="277"/>
  <c r="N21" i="277"/>
  <c r="E21" i="277"/>
  <c r="AF29" i="277" s="1"/>
  <c r="AJ20" i="277"/>
  <c r="AI20" i="277"/>
  <c r="AH20" i="277"/>
  <c r="AG20" i="277"/>
  <c r="U20" i="277"/>
  <c r="T20" i="277"/>
  <c r="R20" i="277"/>
  <c r="Q20" i="277"/>
  <c r="P20" i="277"/>
  <c r="N20" i="277"/>
  <c r="E20" i="277"/>
  <c r="AF19" i="277" s="1"/>
  <c r="AJ19" i="277"/>
  <c r="AI19" i="277"/>
  <c r="AH19" i="277"/>
  <c r="AG19" i="277"/>
  <c r="U19" i="277"/>
  <c r="T19" i="277"/>
  <c r="R19" i="277"/>
  <c r="Q19" i="277"/>
  <c r="P19" i="277"/>
  <c r="N19" i="277"/>
  <c r="E19" i="277"/>
  <c r="AF28" i="277" s="1"/>
  <c r="AJ18" i="277"/>
  <c r="AI18" i="277"/>
  <c r="AH18" i="277"/>
  <c r="AG18" i="277"/>
  <c r="U18" i="277"/>
  <c r="T18" i="277"/>
  <c r="R18" i="277"/>
  <c r="Q18" i="277"/>
  <c r="P18" i="277"/>
  <c r="N18" i="277"/>
  <c r="E18" i="277"/>
  <c r="AF8" i="277" s="1"/>
  <c r="AJ17" i="277"/>
  <c r="AI17" i="277"/>
  <c r="AH17" i="277"/>
  <c r="AG17" i="277"/>
  <c r="U17" i="277"/>
  <c r="T17" i="277"/>
  <c r="R17" i="277"/>
  <c r="Q17" i="277"/>
  <c r="P17" i="277"/>
  <c r="N17" i="277"/>
  <c r="E17" i="277"/>
  <c r="AF27" i="277" s="1"/>
  <c r="AJ16" i="277"/>
  <c r="AI16" i="277"/>
  <c r="AH16" i="277"/>
  <c r="AG16" i="277"/>
  <c r="U16" i="277"/>
  <c r="T16" i="277"/>
  <c r="R16" i="277"/>
  <c r="Q16" i="277"/>
  <c r="P16" i="277"/>
  <c r="N16" i="277"/>
  <c r="E16" i="277"/>
  <c r="AF26" i="277" s="1"/>
  <c r="AJ15" i="277"/>
  <c r="AI15" i="277"/>
  <c r="AH15" i="277"/>
  <c r="AG15" i="277"/>
  <c r="U15" i="277"/>
  <c r="T15" i="277"/>
  <c r="R15" i="277"/>
  <c r="Q15" i="277"/>
  <c r="P15" i="277"/>
  <c r="N15" i="277"/>
  <c r="E15" i="277"/>
  <c r="AF18" i="277" s="1"/>
  <c r="AJ14" i="277"/>
  <c r="AI14" i="277"/>
  <c r="AH14" i="277"/>
  <c r="AG14" i="277"/>
  <c r="U14" i="277"/>
  <c r="T14" i="277"/>
  <c r="R14" i="277"/>
  <c r="Q14" i="277"/>
  <c r="M14" i="277" s="1"/>
  <c r="AK17" i="277" s="1"/>
  <c r="P14" i="277"/>
  <c r="N14" i="277"/>
  <c r="E14" i="277"/>
  <c r="AF17" i="277" s="1"/>
  <c r="AJ13" i="277"/>
  <c r="AI13" i="277"/>
  <c r="AH13" i="277"/>
  <c r="AG13" i="277"/>
  <c r="U13" i="277"/>
  <c r="T13" i="277"/>
  <c r="R13" i="277"/>
  <c r="Q13" i="277"/>
  <c r="P13" i="277"/>
  <c r="N13" i="277"/>
  <c r="E13" i="277"/>
  <c r="AF16" i="277" s="1"/>
  <c r="AJ12" i="277"/>
  <c r="AI12" i="277"/>
  <c r="AH12" i="277"/>
  <c r="AG12" i="277"/>
  <c r="U12" i="277"/>
  <c r="T12" i="277"/>
  <c r="R12" i="277"/>
  <c r="Q12" i="277"/>
  <c r="P12" i="277"/>
  <c r="N12" i="277"/>
  <c r="E12" i="277"/>
  <c r="AF7" i="277" s="1"/>
  <c r="AJ11" i="277"/>
  <c r="AI11" i="277"/>
  <c r="AH11" i="277"/>
  <c r="AG11" i="277"/>
  <c r="U11" i="277"/>
  <c r="T11" i="277"/>
  <c r="R11" i="277"/>
  <c r="M11" i="277" s="1"/>
  <c r="AK25" i="277" s="1"/>
  <c r="Q11" i="277"/>
  <c r="P11" i="277"/>
  <c r="N11" i="277"/>
  <c r="E11" i="277"/>
  <c r="AF25" i="277" s="1"/>
  <c r="AJ10" i="277"/>
  <c r="AI10" i="277"/>
  <c r="AH10" i="277"/>
  <c r="AG10" i="277"/>
  <c r="U10" i="277"/>
  <c r="T10" i="277"/>
  <c r="R10" i="277"/>
  <c r="Q10" i="277"/>
  <c r="M10" i="277" s="1"/>
  <c r="AK6" i="277" s="1"/>
  <c r="P10" i="277"/>
  <c r="N10" i="277"/>
  <c r="E10" i="277"/>
  <c r="AJ9" i="277"/>
  <c r="AI9" i="277"/>
  <c r="AH9" i="277"/>
  <c r="AG9" i="277"/>
  <c r="U9" i="277"/>
  <c r="T9" i="277"/>
  <c r="R9" i="277"/>
  <c r="Q9" i="277"/>
  <c r="M9" i="277" s="1"/>
  <c r="AK15" i="277" s="1"/>
  <c r="P9" i="277"/>
  <c r="N9" i="277"/>
  <c r="E9" i="277"/>
  <c r="AF15" i="277" s="1"/>
  <c r="AJ8" i="277"/>
  <c r="AI8" i="277"/>
  <c r="AH8" i="277"/>
  <c r="AG8" i="277"/>
  <c r="U8" i="277"/>
  <c r="T8" i="277"/>
  <c r="R8" i="277"/>
  <c r="Q8" i="277"/>
  <c r="M8" i="277" s="1"/>
  <c r="AK24" i="277" s="1"/>
  <c r="P8" i="277"/>
  <c r="N8" i="277"/>
  <c r="E8" i="277"/>
  <c r="AF24" i="277" s="1"/>
  <c r="AJ7" i="277"/>
  <c r="AI7" i="277"/>
  <c r="AH7" i="277"/>
  <c r="AG7" i="277"/>
  <c r="U7" i="277"/>
  <c r="T7" i="277"/>
  <c r="R7" i="277"/>
  <c r="Q7" i="277"/>
  <c r="P7" i="277"/>
  <c r="N7" i="277"/>
  <c r="E7" i="277"/>
  <c r="AF23" i="277" s="1"/>
  <c r="AJ6" i="277"/>
  <c r="AI6" i="277"/>
  <c r="AH6" i="277"/>
  <c r="AG6" i="277"/>
  <c r="U6" i="277"/>
  <c r="T6" i="277"/>
  <c r="R6" i="277"/>
  <c r="Q6" i="277"/>
  <c r="P6" i="277"/>
  <c r="N6" i="277"/>
  <c r="E6" i="277"/>
  <c r="T46" i="276"/>
  <c r="R46" i="276"/>
  <c r="Q46" i="276"/>
  <c r="P46" i="276"/>
  <c r="N46" i="276"/>
  <c r="T45" i="276"/>
  <c r="R45" i="276"/>
  <c r="Q45" i="276"/>
  <c r="P45" i="276"/>
  <c r="N45" i="276"/>
  <c r="T44" i="276"/>
  <c r="R44" i="276"/>
  <c r="Q44" i="276"/>
  <c r="M44" i="276" s="1"/>
  <c r="P44" i="276"/>
  <c r="N44" i="276"/>
  <c r="AJ31" i="276"/>
  <c r="AI31" i="276"/>
  <c r="AH31" i="276"/>
  <c r="AG31" i="276"/>
  <c r="U31" i="276"/>
  <c r="T31" i="276"/>
  <c r="R31" i="276"/>
  <c r="Q31" i="276"/>
  <c r="M31" i="276" s="1"/>
  <c r="AK22" i="276" s="1"/>
  <c r="P31" i="276"/>
  <c r="N31" i="276"/>
  <c r="E31" i="276"/>
  <c r="AJ30" i="276"/>
  <c r="AI30" i="276"/>
  <c r="AH30" i="276"/>
  <c r="AG30" i="276"/>
  <c r="U30" i="276"/>
  <c r="T30" i="276"/>
  <c r="R30" i="276"/>
  <c r="Q30" i="276"/>
  <c r="P30" i="276"/>
  <c r="N30" i="276"/>
  <c r="E30" i="276"/>
  <c r="AF13" i="276" s="1"/>
  <c r="AJ29" i="276"/>
  <c r="AI29" i="276"/>
  <c r="AH29" i="276"/>
  <c r="AG29" i="276"/>
  <c r="U29" i="276"/>
  <c r="T29" i="276"/>
  <c r="R29" i="276"/>
  <c r="Q29" i="276"/>
  <c r="M29" i="276" s="1"/>
  <c r="AK21" i="276" s="1"/>
  <c r="P29" i="276"/>
  <c r="N29" i="276"/>
  <c r="E29" i="276"/>
  <c r="AF21" i="276" s="1"/>
  <c r="AJ28" i="276"/>
  <c r="AI28" i="276"/>
  <c r="AH28" i="276"/>
  <c r="AG28" i="276"/>
  <c r="U28" i="276"/>
  <c r="T28" i="276"/>
  <c r="R28" i="276"/>
  <c r="Q28" i="276"/>
  <c r="P28" i="276"/>
  <c r="N28" i="276"/>
  <c r="E28" i="276"/>
  <c r="AF31" i="276" s="1"/>
  <c r="AJ27" i="276"/>
  <c r="AI27" i="276"/>
  <c r="AH27" i="276"/>
  <c r="AG27" i="276"/>
  <c r="U27" i="276"/>
  <c r="T27" i="276"/>
  <c r="R27" i="276"/>
  <c r="Q27" i="276"/>
  <c r="P27" i="276"/>
  <c r="N27" i="276"/>
  <c r="E27" i="276"/>
  <c r="AJ26" i="276"/>
  <c r="AI26" i="276"/>
  <c r="AH26" i="276"/>
  <c r="AG26" i="276"/>
  <c r="U26" i="276"/>
  <c r="T26" i="276"/>
  <c r="R26" i="276"/>
  <c r="Q26" i="276"/>
  <c r="P26" i="276"/>
  <c r="N26" i="276"/>
  <c r="E26" i="276"/>
  <c r="AF30" i="276" s="1"/>
  <c r="AJ25" i="276"/>
  <c r="AI25" i="276"/>
  <c r="AH25" i="276"/>
  <c r="AG25" i="276"/>
  <c r="U25" i="276"/>
  <c r="T25" i="276"/>
  <c r="R25" i="276"/>
  <c r="Q25" i="276"/>
  <c r="M25" i="276" s="1"/>
  <c r="AK20" i="276" s="1"/>
  <c r="P25" i="276"/>
  <c r="N25" i="276"/>
  <c r="E25" i="276"/>
  <c r="AF20" i="276" s="1"/>
  <c r="AJ24" i="276"/>
  <c r="AI24" i="276"/>
  <c r="AH24" i="276"/>
  <c r="AG24" i="276"/>
  <c r="U24" i="276"/>
  <c r="T24" i="276"/>
  <c r="R24" i="276"/>
  <c r="Q24" i="276"/>
  <c r="P24" i="276"/>
  <c r="N24" i="276"/>
  <c r="E24" i="276"/>
  <c r="AF11" i="276" s="1"/>
  <c r="AJ23" i="276"/>
  <c r="AI23" i="276"/>
  <c r="AH23" i="276"/>
  <c r="AG23" i="276"/>
  <c r="U23" i="276"/>
  <c r="T23" i="276"/>
  <c r="R23" i="276"/>
  <c r="Q23" i="276"/>
  <c r="M23" i="276" s="1"/>
  <c r="AK10" i="276" s="1"/>
  <c r="P23" i="276"/>
  <c r="N23" i="276"/>
  <c r="E23" i="276"/>
  <c r="AF10" i="276" s="1"/>
  <c r="AJ22" i="276"/>
  <c r="AI22" i="276"/>
  <c r="AH22" i="276"/>
  <c r="AG22" i="276"/>
  <c r="AF22" i="276"/>
  <c r="U22" i="276"/>
  <c r="T22" i="276"/>
  <c r="R22" i="276"/>
  <c r="M22" i="276" s="1"/>
  <c r="AK9" i="276" s="1"/>
  <c r="Q22" i="276"/>
  <c r="P22" i="276"/>
  <c r="N22" i="276"/>
  <c r="E22" i="276"/>
  <c r="AF9" i="276" s="1"/>
  <c r="AJ21" i="276"/>
  <c r="AI21" i="276"/>
  <c r="AH21" i="276"/>
  <c r="AG21" i="276"/>
  <c r="U21" i="276"/>
  <c r="T21" i="276"/>
  <c r="R21" i="276"/>
  <c r="Q21" i="276"/>
  <c r="P21" i="276"/>
  <c r="N21" i="276"/>
  <c r="E21" i="276"/>
  <c r="AF29" i="276" s="1"/>
  <c r="AJ20" i="276"/>
  <c r="AI20" i="276"/>
  <c r="AH20" i="276"/>
  <c r="AG20" i="276"/>
  <c r="U20" i="276"/>
  <c r="T20" i="276"/>
  <c r="R20" i="276"/>
  <c r="Q20" i="276"/>
  <c r="P20" i="276"/>
  <c r="N20" i="276"/>
  <c r="E20" i="276"/>
  <c r="AF19" i="276" s="1"/>
  <c r="AJ19" i="276"/>
  <c r="AI19" i="276"/>
  <c r="AH19" i="276"/>
  <c r="AG19" i="276"/>
  <c r="U19" i="276"/>
  <c r="T19" i="276"/>
  <c r="R19" i="276"/>
  <c r="Q19" i="276"/>
  <c r="P19" i="276"/>
  <c r="N19" i="276"/>
  <c r="E19" i="276"/>
  <c r="AF28" i="276" s="1"/>
  <c r="AJ18" i="276"/>
  <c r="AI18" i="276"/>
  <c r="AH18" i="276"/>
  <c r="AG18" i="276"/>
  <c r="U18" i="276"/>
  <c r="T18" i="276"/>
  <c r="R18" i="276"/>
  <c r="Q18" i="276"/>
  <c r="P18" i="276"/>
  <c r="N18" i="276"/>
  <c r="E18" i="276"/>
  <c r="AF8" i="276" s="1"/>
  <c r="AJ17" i="276"/>
  <c r="AI17" i="276"/>
  <c r="AH17" i="276"/>
  <c r="AG17" i="276"/>
  <c r="U17" i="276"/>
  <c r="T17" i="276"/>
  <c r="R17" i="276"/>
  <c r="Q17" i="276"/>
  <c r="P17" i="276"/>
  <c r="N17" i="276"/>
  <c r="E17" i="276"/>
  <c r="AF27" i="276" s="1"/>
  <c r="AJ16" i="276"/>
  <c r="AI16" i="276"/>
  <c r="AH16" i="276"/>
  <c r="AG16" i="276"/>
  <c r="U16" i="276"/>
  <c r="T16" i="276"/>
  <c r="R16" i="276"/>
  <c r="Q16" i="276"/>
  <c r="P16" i="276"/>
  <c r="N16" i="276"/>
  <c r="E16" i="276"/>
  <c r="AF26" i="276" s="1"/>
  <c r="AJ15" i="276"/>
  <c r="AI15" i="276"/>
  <c r="AH15" i="276"/>
  <c r="AG15" i="276"/>
  <c r="U15" i="276"/>
  <c r="T15" i="276"/>
  <c r="R15" i="276"/>
  <c r="Q15" i="276"/>
  <c r="M15" i="276" s="1"/>
  <c r="AK18" i="276" s="1"/>
  <c r="P15" i="276"/>
  <c r="N15" i="276"/>
  <c r="E15" i="276"/>
  <c r="AF18" i="276" s="1"/>
  <c r="AJ14" i="276"/>
  <c r="AI14" i="276"/>
  <c r="AH14" i="276"/>
  <c r="AG14" i="276"/>
  <c r="U14" i="276"/>
  <c r="T14" i="276"/>
  <c r="R14" i="276"/>
  <c r="Q14" i="276"/>
  <c r="P14" i="276"/>
  <c r="N14" i="276"/>
  <c r="E14" i="276"/>
  <c r="AF17" i="276" s="1"/>
  <c r="AJ13" i="276"/>
  <c r="AI13" i="276"/>
  <c r="AH13" i="276"/>
  <c r="AG13" i="276"/>
  <c r="U13" i="276"/>
  <c r="T13" i="276"/>
  <c r="R13" i="276"/>
  <c r="Q13" i="276"/>
  <c r="P13" i="276"/>
  <c r="N13" i="276"/>
  <c r="E13" i="276"/>
  <c r="AF16" i="276" s="1"/>
  <c r="AJ12" i="276"/>
  <c r="AI12" i="276"/>
  <c r="AH12" i="276"/>
  <c r="AG12" i="276"/>
  <c r="AF12" i="276"/>
  <c r="U12" i="276"/>
  <c r="T12" i="276"/>
  <c r="R12" i="276"/>
  <c r="Q12" i="276"/>
  <c r="P12" i="276"/>
  <c r="N12" i="276"/>
  <c r="E12" i="276"/>
  <c r="AF7" i="276" s="1"/>
  <c r="AJ11" i="276"/>
  <c r="AI11" i="276"/>
  <c r="AH11" i="276"/>
  <c r="AG11" i="276"/>
  <c r="U11" i="276"/>
  <c r="T11" i="276"/>
  <c r="R11" i="276"/>
  <c r="Q11" i="276"/>
  <c r="M11" i="276" s="1"/>
  <c r="AK25" i="276" s="1"/>
  <c r="P11" i="276"/>
  <c r="N11" i="276"/>
  <c r="E11" i="276"/>
  <c r="AF25" i="276" s="1"/>
  <c r="AJ10" i="276"/>
  <c r="AI10" i="276"/>
  <c r="AH10" i="276"/>
  <c r="AG10" i="276"/>
  <c r="U10" i="276"/>
  <c r="T10" i="276"/>
  <c r="R10" i="276"/>
  <c r="Q10" i="276"/>
  <c r="P10" i="276"/>
  <c r="N10" i="276"/>
  <c r="E10" i="276"/>
  <c r="AF6" i="276" s="1"/>
  <c r="AJ9" i="276"/>
  <c r="AI9" i="276"/>
  <c r="AH9" i="276"/>
  <c r="AG9" i="276"/>
  <c r="U9" i="276"/>
  <c r="T9" i="276"/>
  <c r="R9" i="276"/>
  <c r="M9" i="276" s="1"/>
  <c r="AK15" i="276" s="1"/>
  <c r="Q9" i="276"/>
  <c r="P9" i="276"/>
  <c r="N9" i="276"/>
  <c r="E9" i="276"/>
  <c r="AF15" i="276" s="1"/>
  <c r="AJ8" i="276"/>
  <c r="AI8" i="276"/>
  <c r="AH8" i="276"/>
  <c r="AG8" i="276"/>
  <c r="U8" i="276"/>
  <c r="T8" i="276"/>
  <c r="R8" i="276"/>
  <c r="Q8" i="276"/>
  <c r="M8" i="276" s="1"/>
  <c r="AK24" i="276" s="1"/>
  <c r="P8" i="276"/>
  <c r="N8" i="276"/>
  <c r="E8" i="276"/>
  <c r="AF24" i="276" s="1"/>
  <c r="AJ7" i="276"/>
  <c r="AI7" i="276"/>
  <c r="AH7" i="276"/>
  <c r="AG7" i="276"/>
  <c r="U7" i="276"/>
  <c r="T7" i="276"/>
  <c r="R7" i="276"/>
  <c r="Q7" i="276"/>
  <c r="P7" i="276"/>
  <c r="N7" i="276"/>
  <c r="E7" i="276"/>
  <c r="AF23" i="276" s="1"/>
  <c r="AJ6" i="276"/>
  <c r="AI6" i="276"/>
  <c r="AH6" i="276"/>
  <c r="AG6" i="276"/>
  <c r="U6" i="276"/>
  <c r="T6" i="276"/>
  <c r="R6" i="276"/>
  <c r="Q6" i="276"/>
  <c r="P6" i="276"/>
  <c r="N6" i="276"/>
  <c r="E6" i="276"/>
  <c r="M45" i="276" l="1"/>
  <c r="M29" i="277"/>
  <c r="AK21" i="277" s="1"/>
  <c r="M13" i="276"/>
  <c r="AK16" i="276" s="1"/>
  <c r="M26" i="276"/>
  <c r="AK30" i="276" s="1"/>
  <c r="M24" i="276"/>
  <c r="AK11" i="276" s="1"/>
  <c r="M14" i="276"/>
  <c r="AK17" i="276" s="1"/>
  <c r="M27" i="276"/>
  <c r="AK12" i="276" s="1"/>
  <c r="M46" i="276"/>
  <c r="M20" i="276"/>
  <c r="AK19" i="276" s="1"/>
  <c r="M7" i="276"/>
  <c r="AK23" i="276" s="1"/>
  <c r="M17" i="276"/>
  <c r="AK27" i="276" s="1"/>
  <c r="M30" i="276"/>
  <c r="AK13" i="276" s="1"/>
  <c r="M19" i="276"/>
  <c r="AK28" i="276" s="1"/>
  <c r="M28" i="276"/>
  <c r="AK31" i="276" s="1"/>
  <c r="O13" i="276"/>
  <c r="M15" i="277"/>
  <c r="AK18" i="277" s="1"/>
  <c r="M23" i="277"/>
  <c r="AK10" i="277" s="1"/>
  <c r="M18" i="277"/>
  <c r="AK8" i="277" s="1"/>
  <c r="M13" i="277"/>
  <c r="AK16" i="277" s="1"/>
  <c r="M16" i="277"/>
  <c r="AK26" i="277" s="1"/>
  <c r="AK11" i="277"/>
  <c r="M26" i="277"/>
  <c r="AK30" i="277" s="1"/>
  <c r="M31" i="277"/>
  <c r="AK22" i="277" s="1"/>
  <c r="M6" i="277"/>
  <c r="AK14" i="277" s="1"/>
  <c r="S7" i="277"/>
  <c r="S15" i="277"/>
  <c r="S23" i="277"/>
  <c r="S31" i="277"/>
  <c r="S26" i="277"/>
  <c r="S21" i="277"/>
  <c r="S8" i="277"/>
  <c r="S16" i="277"/>
  <c r="S24" i="277"/>
  <c r="S6" i="277"/>
  <c r="S10" i="277"/>
  <c r="S29" i="277"/>
  <c r="S22" i="277"/>
  <c r="S9" i="277"/>
  <c r="S17" i="277"/>
  <c r="S25" i="277"/>
  <c r="S18" i="277"/>
  <c r="S13" i="277"/>
  <c r="S14" i="277"/>
  <c r="S11" i="277"/>
  <c r="S19" i="277"/>
  <c r="S27" i="277"/>
  <c r="S12" i="277"/>
  <c r="S20" i="277"/>
  <c r="S28" i="277"/>
  <c r="S30" i="277"/>
  <c r="M7" i="277"/>
  <c r="AK23" i="277" s="1"/>
  <c r="M22" i="277"/>
  <c r="AK9" i="277" s="1"/>
  <c r="M17" i="277"/>
  <c r="AK27" i="277" s="1"/>
  <c r="M25" i="277"/>
  <c r="AK20" i="277" s="1"/>
  <c r="M28" i="277"/>
  <c r="AK31" i="277" s="1"/>
  <c r="M12" i="277"/>
  <c r="AK7" i="277" s="1"/>
  <c r="M19" i="277"/>
  <c r="AK28" i="277" s="1"/>
  <c r="M20" i="277"/>
  <c r="AK19" i="277" s="1"/>
  <c r="M44" i="277"/>
  <c r="M30" i="277"/>
  <c r="AK13" i="277" s="1"/>
  <c r="O21" i="277"/>
  <c r="O17" i="277"/>
  <c r="O13" i="277"/>
  <c r="AC21" i="277"/>
  <c r="S45" i="277"/>
  <c r="AC25" i="277"/>
  <c r="AB28" i="277"/>
  <c r="AD25" i="277"/>
  <c r="AB10" i="277"/>
  <c r="AD26" i="277"/>
  <c r="AD18" i="277"/>
  <c r="AC20" i="277"/>
  <c r="AC7" i="277"/>
  <c r="AB25" i="277"/>
  <c r="AB16" i="277"/>
  <c r="AB20" i="277"/>
  <c r="AB15" i="277"/>
  <c r="AB13" i="277"/>
  <c r="AD17" i="277"/>
  <c r="AB24" i="277"/>
  <c r="AB23" i="277"/>
  <c r="AC16" i="276"/>
  <c r="AB25" i="276"/>
  <c r="M21" i="276"/>
  <c r="AK29" i="276" s="1"/>
  <c r="AC10" i="276"/>
  <c r="M18" i="276"/>
  <c r="AK8" i="276" s="1"/>
  <c r="AB8" i="276"/>
  <c r="M6" i="276"/>
  <c r="AK14" i="276" s="1"/>
  <c r="M12" i="276"/>
  <c r="AK7" i="276" s="1"/>
  <c r="AB12" i="276"/>
  <c r="AC11" i="276"/>
  <c r="AD13" i="276"/>
  <c r="AC9" i="276"/>
  <c r="AD10" i="276"/>
  <c r="O21" i="276"/>
  <c r="AD30" i="276"/>
  <c r="AC19" i="276"/>
  <c r="AD31" i="276"/>
  <c r="AC26" i="276"/>
  <c r="AD23" i="276"/>
  <c r="K46" i="276" s="1"/>
  <c r="AC31" i="276"/>
  <c r="AD28" i="276"/>
  <c r="AC23" i="276"/>
  <c r="J46" i="276" s="1"/>
  <c r="AC28" i="276"/>
  <c r="AD25" i="276"/>
  <c r="AB23" i="276"/>
  <c r="AC30" i="276"/>
  <c r="AD27" i="276"/>
  <c r="AB28" i="276"/>
  <c r="AD29" i="276"/>
  <c r="O20" i="277"/>
  <c r="AD14" i="277"/>
  <c r="K45" i="277" s="1"/>
  <c r="AB21" i="277"/>
  <c r="AC28" i="277"/>
  <c r="AC29" i="277"/>
  <c r="S30" i="276"/>
  <c r="O26" i="276"/>
  <c r="S22" i="276"/>
  <c r="O18" i="276"/>
  <c r="S14" i="276"/>
  <c r="O10" i="276"/>
  <c r="S6" i="276"/>
  <c r="S24" i="276"/>
  <c r="O20" i="276"/>
  <c r="AF14" i="276"/>
  <c r="O12" i="276"/>
  <c r="O46" i="276"/>
  <c r="S44" i="276"/>
  <c r="O31" i="276"/>
  <c r="S27" i="276"/>
  <c r="O23" i="276"/>
  <c r="S19" i="276"/>
  <c r="O15" i="276"/>
  <c r="S11" i="276"/>
  <c r="O7" i="276"/>
  <c r="O28" i="276"/>
  <c r="S16" i="276"/>
  <c r="S8" i="276"/>
  <c r="O30" i="276"/>
  <c r="S26" i="276"/>
  <c r="O22" i="276"/>
  <c r="S18" i="276"/>
  <c r="O14" i="276"/>
  <c r="S10" i="276"/>
  <c r="O6" i="276"/>
  <c r="AB6" i="276"/>
  <c r="O8" i="276"/>
  <c r="AD8" i="276"/>
  <c r="M10" i="276"/>
  <c r="AK6" i="276" s="1"/>
  <c r="S12" i="276"/>
  <c r="S13" i="276"/>
  <c r="AB18" i="276"/>
  <c r="S21" i="276"/>
  <c r="S23" i="276"/>
  <c r="AB24" i="276"/>
  <c r="AB29" i="276"/>
  <c r="S31" i="276"/>
  <c r="AD6" i="277"/>
  <c r="K44" i="277" s="1"/>
  <c r="AF14" i="277"/>
  <c r="AD29" i="277"/>
  <c r="AC24" i="277"/>
  <c r="AC31" i="277"/>
  <c r="AD28" i="277"/>
  <c r="AB26" i="277"/>
  <c r="AC23" i="277"/>
  <c r="J46" i="277" s="1"/>
  <c r="O28" i="277"/>
  <c r="O29" i="277"/>
  <c r="O45" i="277"/>
  <c r="AC20" i="276"/>
  <c r="AD17" i="276"/>
  <c r="AB15" i="276"/>
  <c r="AC14" i="276"/>
  <c r="J45" i="276" s="1"/>
  <c r="AB19" i="276"/>
  <c r="AB20" i="276"/>
  <c r="AD21" i="276"/>
  <c r="AC29" i="276"/>
  <c r="S9" i="276"/>
  <c r="O11" i="276"/>
  <c r="AC18" i="276"/>
  <c r="AD18" i="276"/>
  <c r="S17" i="276"/>
  <c r="AC27" i="276"/>
  <c r="O25" i="277"/>
  <c r="AC8" i="276"/>
  <c r="AB16" i="276"/>
  <c r="S25" i="276"/>
  <c r="O27" i="276"/>
  <c r="S45" i="276"/>
  <c r="S46" i="276"/>
  <c r="AD9" i="277"/>
  <c r="O16" i="276"/>
  <c r="AD16" i="276"/>
  <c r="AC17" i="276"/>
  <c r="S20" i="276"/>
  <c r="AC24" i="276"/>
  <c r="AB26" i="276"/>
  <c r="AF6" i="277"/>
  <c r="AC6" i="277"/>
  <c r="J44" i="277" s="1"/>
  <c r="AB6" i="277"/>
  <c r="AD13" i="277"/>
  <c r="AC8" i="277"/>
  <c r="AD12" i="277"/>
  <c r="AB19" i="277"/>
  <c r="O17" i="276"/>
  <c r="AB22" i="276"/>
  <c r="O24" i="276"/>
  <c r="AD24" i="276"/>
  <c r="AC25" i="276"/>
  <c r="S28" i="276"/>
  <c r="O44" i="276"/>
  <c r="AB9" i="277"/>
  <c r="AC12" i="277"/>
  <c r="AC22" i="277"/>
  <c r="AC30" i="277"/>
  <c r="AB27" i="276"/>
  <c r="O29" i="276"/>
  <c r="AB31" i="276"/>
  <c r="S7" i="276"/>
  <c r="O19" i="276"/>
  <c r="AD26" i="276"/>
  <c r="AC9" i="277"/>
  <c r="AD10" i="277"/>
  <c r="AB11" i="277"/>
  <c r="AC14" i="277"/>
  <c r="J45" i="277" s="1"/>
  <c r="AC16" i="277"/>
  <c r="AB14" i="277"/>
  <c r="AD21" i="277"/>
  <c r="AD20" i="277"/>
  <c r="AB18" i="277"/>
  <c r="AC15" i="277"/>
  <c r="AB17" i="277"/>
  <c r="AB10" i="276"/>
  <c r="AB13" i="276"/>
  <c r="S15" i="276"/>
  <c r="AB21" i="276"/>
  <c r="AB7" i="277"/>
  <c r="AB8" i="277"/>
  <c r="O9" i="277"/>
  <c r="AD6" i="276"/>
  <c r="K44" i="276" s="1"/>
  <c r="O9" i="276"/>
  <c r="S29" i="276"/>
  <c r="O30" i="277"/>
  <c r="O22" i="277"/>
  <c r="O14" i="277"/>
  <c r="O6" i="277"/>
  <c r="O24" i="277"/>
  <c r="O16" i="277"/>
  <c r="S46" i="277"/>
  <c r="O44" i="277"/>
  <c r="O27" i="277"/>
  <c r="O19" i="277"/>
  <c r="O11" i="277"/>
  <c r="O8" i="277"/>
  <c r="O26" i="277"/>
  <c r="O18" i="277"/>
  <c r="O10" i="277"/>
  <c r="O46" i="277"/>
  <c r="S44" i="277"/>
  <c r="O31" i="277"/>
  <c r="O23" i="277"/>
  <c r="O15" i="277"/>
  <c r="O7" i="277"/>
  <c r="AB12" i="277"/>
  <c r="AD22" i="277"/>
  <c r="AB29" i="277"/>
  <c r="AB31" i="277"/>
  <c r="AB9" i="276"/>
  <c r="AB14" i="276"/>
  <c r="AB7" i="276"/>
  <c r="AC12" i="276"/>
  <c r="AD9" i="276"/>
  <c r="AC6" i="276"/>
  <c r="J44" i="276" s="1"/>
  <c r="AB11" i="276"/>
  <c r="AC13" i="276"/>
  <c r="AD14" i="276"/>
  <c r="K45" i="276" s="1"/>
  <c r="M16" i="276"/>
  <c r="AK26" i="276" s="1"/>
  <c r="AB17" i="276"/>
  <c r="AC21" i="276"/>
  <c r="AD22" i="276"/>
  <c r="O25" i="276"/>
  <c r="AB30" i="276"/>
  <c r="O45" i="276"/>
  <c r="AD11" i="277"/>
  <c r="O12" i="277"/>
  <c r="AC13" i="277"/>
  <c r="AC17" i="277"/>
  <c r="AB27" i="277"/>
  <c r="AD30" i="277"/>
  <c r="AD11" i="276"/>
  <c r="AD19" i="276"/>
  <c r="AC22" i="276"/>
  <c r="AD7" i="277"/>
  <c r="AC10" i="277"/>
  <c r="AD15" i="277"/>
  <c r="AC18" i="277"/>
  <c r="AD23" i="277"/>
  <c r="K46" i="277" s="1"/>
  <c r="AC26" i="277"/>
  <c r="AD31" i="277"/>
  <c r="AC7" i="276"/>
  <c r="AD12" i="276"/>
  <c r="AC15" i="276"/>
  <c r="AD20" i="276"/>
  <c r="AD8" i="277"/>
  <c r="AC11" i="277"/>
  <c r="AD16" i="277"/>
  <c r="AC19" i="277"/>
  <c r="AB22" i="277"/>
  <c r="AD24" i="277"/>
  <c r="AC27" i="277"/>
  <c r="AB30" i="277"/>
  <c r="AD7" i="276"/>
  <c r="AD15" i="276"/>
  <c r="AD19" i="277"/>
  <c r="AD27" i="277"/>
  <c r="T44" i="267" l="1"/>
  <c r="N45" i="267"/>
  <c r="T46" i="275" l="1"/>
  <c r="R46" i="275"/>
  <c r="Q46" i="275"/>
  <c r="P46" i="275"/>
  <c r="N46" i="275"/>
  <c r="M46" i="275"/>
  <c r="T45" i="275"/>
  <c r="R45" i="275"/>
  <c r="Q45" i="275"/>
  <c r="P45" i="275"/>
  <c r="N45" i="275"/>
  <c r="T44" i="275"/>
  <c r="R44" i="275"/>
  <c r="Q44" i="275"/>
  <c r="M44" i="275" s="1"/>
  <c r="P44" i="275"/>
  <c r="N44" i="275"/>
  <c r="AJ31" i="275"/>
  <c r="AI31" i="275"/>
  <c r="AH31" i="275"/>
  <c r="AG31" i="275"/>
  <c r="U31" i="275"/>
  <c r="T31" i="275"/>
  <c r="R31" i="275"/>
  <c r="Q31" i="275"/>
  <c r="M31" i="275" s="1"/>
  <c r="AK22" i="275" s="1"/>
  <c r="P31" i="275"/>
  <c r="N31" i="275"/>
  <c r="E31" i="275"/>
  <c r="AJ30" i="275"/>
  <c r="AI30" i="275"/>
  <c r="AH30" i="275"/>
  <c r="AG30" i="275"/>
  <c r="U30" i="275"/>
  <c r="T30" i="275"/>
  <c r="R30" i="275"/>
  <c r="Q30" i="275"/>
  <c r="P30" i="275"/>
  <c r="N30" i="275"/>
  <c r="E30" i="275"/>
  <c r="AF13" i="275" s="1"/>
  <c r="AJ29" i="275"/>
  <c r="AI29" i="275"/>
  <c r="AH29" i="275"/>
  <c r="AG29" i="275"/>
  <c r="U29" i="275"/>
  <c r="T29" i="275"/>
  <c r="R29" i="275"/>
  <c r="Q29" i="275"/>
  <c r="M29" i="275" s="1"/>
  <c r="AK21" i="275" s="1"/>
  <c r="P29" i="275"/>
  <c r="N29" i="275"/>
  <c r="E29" i="275"/>
  <c r="AF21" i="275" s="1"/>
  <c r="AJ28" i="275"/>
  <c r="AI28" i="275"/>
  <c r="AH28" i="275"/>
  <c r="AG28" i="275"/>
  <c r="U28" i="275"/>
  <c r="T28" i="275"/>
  <c r="R28" i="275"/>
  <c r="Q28" i="275"/>
  <c r="P28" i="275"/>
  <c r="N28" i="275"/>
  <c r="E28" i="275"/>
  <c r="AF31" i="275" s="1"/>
  <c r="AJ27" i="275"/>
  <c r="AI27" i="275"/>
  <c r="AH27" i="275"/>
  <c r="AG27" i="275"/>
  <c r="U27" i="275"/>
  <c r="T27" i="275"/>
  <c r="R27" i="275"/>
  <c r="Q27" i="275"/>
  <c r="M27" i="275" s="1"/>
  <c r="AK12" i="275" s="1"/>
  <c r="P27" i="275"/>
  <c r="N27" i="275"/>
  <c r="E27" i="275"/>
  <c r="AF12" i="275" s="1"/>
  <c r="AJ26" i="275"/>
  <c r="AI26" i="275"/>
  <c r="AH26" i="275"/>
  <c r="AG26" i="275"/>
  <c r="U26" i="275"/>
  <c r="T26" i="275"/>
  <c r="R26" i="275"/>
  <c r="Q26" i="275"/>
  <c r="P26" i="275"/>
  <c r="N26" i="275"/>
  <c r="E26" i="275"/>
  <c r="AF30" i="275" s="1"/>
  <c r="AJ25" i="275"/>
  <c r="AI25" i="275"/>
  <c r="AH25" i="275"/>
  <c r="AG25" i="275"/>
  <c r="U25" i="275"/>
  <c r="T25" i="275"/>
  <c r="R25" i="275"/>
  <c r="Q25" i="275"/>
  <c r="M25" i="275" s="1"/>
  <c r="AK20" i="275" s="1"/>
  <c r="P25" i="275"/>
  <c r="N25" i="275"/>
  <c r="E25" i="275"/>
  <c r="AF20" i="275" s="1"/>
  <c r="AJ24" i="275"/>
  <c r="AI24" i="275"/>
  <c r="AH24" i="275"/>
  <c r="AG24" i="275"/>
  <c r="U24" i="275"/>
  <c r="T24" i="275"/>
  <c r="R24" i="275"/>
  <c r="Q24" i="275"/>
  <c r="P24" i="275"/>
  <c r="N24" i="275"/>
  <c r="E24" i="275"/>
  <c r="AF11" i="275" s="1"/>
  <c r="AJ23" i="275"/>
  <c r="AI23" i="275"/>
  <c r="AH23" i="275"/>
  <c r="AG23" i="275"/>
  <c r="U23" i="275"/>
  <c r="T23" i="275"/>
  <c r="R23" i="275"/>
  <c r="Q23" i="275"/>
  <c r="M23" i="275" s="1"/>
  <c r="AK10" i="275" s="1"/>
  <c r="P23" i="275"/>
  <c r="N23" i="275"/>
  <c r="E23" i="275"/>
  <c r="AJ22" i="275"/>
  <c r="AI22" i="275"/>
  <c r="AH22" i="275"/>
  <c r="AG22" i="275"/>
  <c r="AF22" i="275"/>
  <c r="U22" i="275"/>
  <c r="T22" i="275"/>
  <c r="R22" i="275"/>
  <c r="Q22" i="275"/>
  <c r="M22" i="275" s="1"/>
  <c r="AK9" i="275" s="1"/>
  <c r="P22" i="275"/>
  <c r="N22" i="275"/>
  <c r="E22" i="275"/>
  <c r="AF9" i="275" s="1"/>
  <c r="AJ21" i="275"/>
  <c r="AI21" i="275"/>
  <c r="AH21" i="275"/>
  <c r="AG21" i="275"/>
  <c r="U21" i="275"/>
  <c r="T21" i="275"/>
  <c r="R21" i="275"/>
  <c r="Q21" i="275"/>
  <c r="P21" i="275"/>
  <c r="N21" i="275"/>
  <c r="E21" i="275"/>
  <c r="AF29" i="275" s="1"/>
  <c r="AJ20" i="275"/>
  <c r="AI20" i="275"/>
  <c r="AH20" i="275"/>
  <c r="AG20" i="275"/>
  <c r="U20" i="275"/>
  <c r="T20" i="275"/>
  <c r="R20" i="275"/>
  <c r="Q20" i="275"/>
  <c r="M20" i="275" s="1"/>
  <c r="AK19" i="275" s="1"/>
  <c r="P20" i="275"/>
  <c r="N20" i="275"/>
  <c r="E20" i="275"/>
  <c r="AF19" i="275" s="1"/>
  <c r="AJ19" i="275"/>
  <c r="AI19" i="275"/>
  <c r="AH19" i="275"/>
  <c r="AG19" i="275"/>
  <c r="U19" i="275"/>
  <c r="T19" i="275"/>
  <c r="R19" i="275"/>
  <c r="Q19" i="275"/>
  <c r="P19" i="275"/>
  <c r="N19" i="275"/>
  <c r="E19" i="275"/>
  <c r="AF28" i="275" s="1"/>
  <c r="AJ18" i="275"/>
  <c r="AI18" i="275"/>
  <c r="AH18" i="275"/>
  <c r="AG18" i="275"/>
  <c r="U18" i="275"/>
  <c r="T18" i="275"/>
  <c r="R18" i="275"/>
  <c r="Q18" i="275"/>
  <c r="P18" i="275"/>
  <c r="N18" i="275"/>
  <c r="E18" i="275"/>
  <c r="AF8" i="275" s="1"/>
  <c r="AJ17" i="275"/>
  <c r="AI17" i="275"/>
  <c r="AH17" i="275"/>
  <c r="AG17" i="275"/>
  <c r="U17" i="275"/>
  <c r="T17" i="275"/>
  <c r="R17" i="275"/>
  <c r="Q17" i="275"/>
  <c r="P17" i="275"/>
  <c r="N17" i="275"/>
  <c r="E17" i="275"/>
  <c r="AF27" i="275" s="1"/>
  <c r="AJ16" i="275"/>
  <c r="AI16" i="275"/>
  <c r="AH16" i="275"/>
  <c r="AG16" i="275"/>
  <c r="U16" i="275"/>
  <c r="T16" i="275"/>
  <c r="R16" i="275"/>
  <c r="Q16" i="275"/>
  <c r="P16" i="275"/>
  <c r="N16" i="275"/>
  <c r="E16" i="275"/>
  <c r="AF26" i="275" s="1"/>
  <c r="AJ15" i="275"/>
  <c r="AI15" i="275"/>
  <c r="AH15" i="275"/>
  <c r="AG15" i="275"/>
  <c r="U15" i="275"/>
  <c r="T15" i="275"/>
  <c r="R15" i="275"/>
  <c r="Q15" i="275"/>
  <c r="P15" i="275"/>
  <c r="N15" i="275"/>
  <c r="E15" i="275"/>
  <c r="AF18" i="275" s="1"/>
  <c r="AJ14" i="275"/>
  <c r="AI14" i="275"/>
  <c r="AH14" i="275"/>
  <c r="AG14" i="275"/>
  <c r="U14" i="275"/>
  <c r="T14" i="275"/>
  <c r="R14" i="275"/>
  <c r="Q14" i="275"/>
  <c r="M14" i="275" s="1"/>
  <c r="AK17" i="275" s="1"/>
  <c r="P14" i="275"/>
  <c r="N14" i="275"/>
  <c r="E14" i="275"/>
  <c r="AF17" i="275" s="1"/>
  <c r="AJ13" i="275"/>
  <c r="AI13" i="275"/>
  <c r="AH13" i="275"/>
  <c r="AG13" i="275"/>
  <c r="U13" i="275"/>
  <c r="T13" i="275"/>
  <c r="R13" i="275"/>
  <c r="Q13" i="275"/>
  <c r="P13" i="275"/>
  <c r="N13" i="275"/>
  <c r="E13" i="275"/>
  <c r="AF16" i="275" s="1"/>
  <c r="AJ12" i="275"/>
  <c r="AI12" i="275"/>
  <c r="AH12" i="275"/>
  <c r="AG12" i="275"/>
  <c r="U12" i="275"/>
  <c r="T12" i="275"/>
  <c r="R12" i="275"/>
  <c r="Q12" i="275"/>
  <c r="M12" i="275" s="1"/>
  <c r="AK7" i="275" s="1"/>
  <c r="P12" i="275"/>
  <c r="N12" i="275"/>
  <c r="E12" i="275"/>
  <c r="AF7" i="275" s="1"/>
  <c r="AJ11" i="275"/>
  <c r="AI11" i="275"/>
  <c r="AH11" i="275"/>
  <c r="AG11" i="275"/>
  <c r="U11" i="275"/>
  <c r="T11" i="275"/>
  <c r="R11" i="275"/>
  <c r="Q11" i="275"/>
  <c r="P11" i="275"/>
  <c r="N11" i="275"/>
  <c r="E11" i="275"/>
  <c r="AF25" i="275" s="1"/>
  <c r="AJ10" i="275"/>
  <c r="AI10" i="275"/>
  <c r="AH10" i="275"/>
  <c r="AG10" i="275"/>
  <c r="AF10" i="275"/>
  <c r="U10" i="275"/>
  <c r="T10" i="275"/>
  <c r="R10" i="275"/>
  <c r="M10" i="275" s="1"/>
  <c r="AK6" i="275" s="1"/>
  <c r="Q10" i="275"/>
  <c r="P10" i="275"/>
  <c r="N10" i="275"/>
  <c r="E10" i="275"/>
  <c r="AF6" i="275" s="1"/>
  <c r="AJ9" i="275"/>
  <c r="AI9" i="275"/>
  <c r="AH9" i="275"/>
  <c r="AG9" i="275"/>
  <c r="U9" i="275"/>
  <c r="T9" i="275"/>
  <c r="R9" i="275"/>
  <c r="Q9" i="275"/>
  <c r="P9" i="275"/>
  <c r="N9" i="275"/>
  <c r="E9" i="275"/>
  <c r="AF15" i="275" s="1"/>
  <c r="AJ8" i="275"/>
  <c r="AI8" i="275"/>
  <c r="AH8" i="275"/>
  <c r="AG8" i="275"/>
  <c r="U8" i="275"/>
  <c r="T8" i="275"/>
  <c r="R8" i="275"/>
  <c r="Q8" i="275"/>
  <c r="P8" i="275"/>
  <c r="N8" i="275"/>
  <c r="E8" i="275"/>
  <c r="AJ7" i="275"/>
  <c r="AI7" i="275"/>
  <c r="AH7" i="275"/>
  <c r="AG7" i="275"/>
  <c r="U7" i="275"/>
  <c r="T7" i="275"/>
  <c r="R7" i="275"/>
  <c r="Q7" i="275"/>
  <c r="P7" i="275"/>
  <c r="N7" i="275"/>
  <c r="E7" i="275"/>
  <c r="AF23" i="275" s="1"/>
  <c r="AJ6" i="275"/>
  <c r="AI6" i="275"/>
  <c r="AH6" i="275"/>
  <c r="AG6" i="275"/>
  <c r="U6" i="275"/>
  <c r="T6" i="275"/>
  <c r="R6" i="275"/>
  <c r="Q6" i="275"/>
  <c r="P6" i="275"/>
  <c r="N6" i="275"/>
  <c r="E6" i="275"/>
  <c r="AF14" i="275" s="1"/>
  <c r="T46" i="274"/>
  <c r="R46" i="274"/>
  <c r="Q46" i="274"/>
  <c r="P46" i="274"/>
  <c r="N46" i="274"/>
  <c r="T45" i="274"/>
  <c r="R45" i="274"/>
  <c r="M45" i="274" s="1"/>
  <c r="Q45" i="274"/>
  <c r="P45" i="274"/>
  <c r="N45" i="274"/>
  <c r="T44" i="274"/>
  <c r="R44" i="274"/>
  <c r="Q44" i="274"/>
  <c r="P44" i="274"/>
  <c r="N44" i="274"/>
  <c r="AJ31" i="274"/>
  <c r="AI31" i="274"/>
  <c r="AH31" i="274"/>
  <c r="AG31" i="274"/>
  <c r="U31" i="274"/>
  <c r="T31" i="274"/>
  <c r="R31" i="274"/>
  <c r="Q31" i="274"/>
  <c r="M31" i="274" s="1"/>
  <c r="AK22" i="274" s="1"/>
  <c r="P31" i="274"/>
  <c r="N31" i="274"/>
  <c r="E31" i="274"/>
  <c r="AF22" i="274" s="1"/>
  <c r="AJ30" i="274"/>
  <c r="AI30" i="274"/>
  <c r="AH30" i="274"/>
  <c r="AG30" i="274"/>
  <c r="U30" i="274"/>
  <c r="T30" i="274"/>
  <c r="R30" i="274"/>
  <c r="Q30" i="274"/>
  <c r="P30" i="274"/>
  <c r="N30" i="274"/>
  <c r="E30" i="274"/>
  <c r="AF13" i="274" s="1"/>
  <c r="AJ29" i="274"/>
  <c r="AI29" i="274"/>
  <c r="AH29" i="274"/>
  <c r="AG29" i="274"/>
  <c r="U29" i="274"/>
  <c r="T29" i="274"/>
  <c r="R29" i="274"/>
  <c r="Q29" i="274"/>
  <c r="P29" i="274"/>
  <c r="N29" i="274"/>
  <c r="E29" i="274"/>
  <c r="AF21" i="274" s="1"/>
  <c r="AJ28" i="274"/>
  <c r="AI28" i="274"/>
  <c r="AH28" i="274"/>
  <c r="AG28" i="274"/>
  <c r="U28" i="274"/>
  <c r="T28" i="274"/>
  <c r="R28" i="274"/>
  <c r="Q28" i="274"/>
  <c r="P28" i="274"/>
  <c r="N28" i="274"/>
  <c r="E28" i="274"/>
  <c r="AF31" i="274" s="1"/>
  <c r="AJ27" i="274"/>
  <c r="AI27" i="274"/>
  <c r="AH27" i="274"/>
  <c r="AG27" i="274"/>
  <c r="U27" i="274"/>
  <c r="T27" i="274"/>
  <c r="R27" i="274"/>
  <c r="Q27" i="274"/>
  <c r="M27" i="274" s="1"/>
  <c r="AK12" i="274" s="1"/>
  <c r="P27" i="274"/>
  <c r="N27" i="274"/>
  <c r="E27" i="274"/>
  <c r="AF12" i="274" s="1"/>
  <c r="AJ26" i="274"/>
  <c r="AI26" i="274"/>
  <c r="AH26" i="274"/>
  <c r="AG26" i="274"/>
  <c r="U26" i="274"/>
  <c r="T26" i="274"/>
  <c r="R26" i="274"/>
  <c r="Q26" i="274"/>
  <c r="M26" i="274" s="1"/>
  <c r="AK30" i="274" s="1"/>
  <c r="P26" i="274"/>
  <c r="N26" i="274"/>
  <c r="E26" i="274"/>
  <c r="AF30" i="274" s="1"/>
  <c r="AJ25" i="274"/>
  <c r="AI25" i="274"/>
  <c r="AH25" i="274"/>
  <c r="AG25" i="274"/>
  <c r="U25" i="274"/>
  <c r="T25" i="274"/>
  <c r="R25" i="274"/>
  <c r="Q25" i="274"/>
  <c r="P25" i="274"/>
  <c r="N25" i="274"/>
  <c r="M25" i="274"/>
  <c r="AK20" i="274" s="1"/>
  <c r="E25" i="274"/>
  <c r="AF20" i="274" s="1"/>
  <c r="AJ24" i="274"/>
  <c r="AI24" i="274"/>
  <c r="AH24" i="274"/>
  <c r="AG24" i="274"/>
  <c r="U24" i="274"/>
  <c r="T24" i="274"/>
  <c r="R24" i="274"/>
  <c r="Q24" i="274"/>
  <c r="P24" i="274"/>
  <c r="N24" i="274"/>
  <c r="E24" i="274"/>
  <c r="AJ23" i="274"/>
  <c r="AI23" i="274"/>
  <c r="AH23" i="274"/>
  <c r="AG23" i="274"/>
  <c r="U23" i="274"/>
  <c r="T23" i="274"/>
  <c r="R23" i="274"/>
  <c r="Q23" i="274"/>
  <c r="M23" i="274" s="1"/>
  <c r="AK10" i="274" s="1"/>
  <c r="P23" i="274"/>
  <c r="N23" i="274"/>
  <c r="E23" i="274"/>
  <c r="AF10" i="274" s="1"/>
  <c r="AJ22" i="274"/>
  <c r="AI22" i="274"/>
  <c r="AH22" i="274"/>
  <c r="AG22" i="274"/>
  <c r="U22" i="274"/>
  <c r="T22" i="274"/>
  <c r="R22" i="274"/>
  <c r="Q22" i="274"/>
  <c r="P22" i="274"/>
  <c r="N22" i="274"/>
  <c r="E22" i="274"/>
  <c r="AF9" i="274" s="1"/>
  <c r="AJ21" i="274"/>
  <c r="AI21" i="274"/>
  <c r="AH21" i="274"/>
  <c r="AG21" i="274"/>
  <c r="U21" i="274"/>
  <c r="T21" i="274"/>
  <c r="R21" i="274"/>
  <c r="Q21" i="274"/>
  <c r="P21" i="274"/>
  <c r="N21" i="274"/>
  <c r="E21" i="274"/>
  <c r="AF29" i="274" s="1"/>
  <c r="AJ20" i="274"/>
  <c r="AI20" i="274"/>
  <c r="AH20" i="274"/>
  <c r="AG20" i="274"/>
  <c r="U20" i="274"/>
  <c r="T20" i="274"/>
  <c r="R20" i="274"/>
  <c r="Q20" i="274"/>
  <c r="P20" i="274"/>
  <c r="N20" i="274"/>
  <c r="E20" i="274"/>
  <c r="AF19" i="274" s="1"/>
  <c r="AJ19" i="274"/>
  <c r="AI19" i="274"/>
  <c r="AH19" i="274"/>
  <c r="AG19" i="274"/>
  <c r="U19" i="274"/>
  <c r="T19" i="274"/>
  <c r="R19" i="274"/>
  <c r="Q19" i="274"/>
  <c r="M19" i="274" s="1"/>
  <c r="AK28" i="274" s="1"/>
  <c r="P19" i="274"/>
  <c r="N19" i="274"/>
  <c r="E19" i="274"/>
  <c r="AF28" i="274" s="1"/>
  <c r="AJ18" i="274"/>
  <c r="AI18" i="274"/>
  <c r="AH18" i="274"/>
  <c r="AG18" i="274"/>
  <c r="U18" i="274"/>
  <c r="T18" i="274"/>
  <c r="R18" i="274"/>
  <c r="Q18" i="274"/>
  <c r="P18" i="274"/>
  <c r="N18" i="274"/>
  <c r="E18" i="274"/>
  <c r="AJ17" i="274"/>
  <c r="AI17" i="274"/>
  <c r="AH17" i="274"/>
  <c r="AG17" i="274"/>
  <c r="U17" i="274"/>
  <c r="T17" i="274"/>
  <c r="R17" i="274"/>
  <c r="Q17" i="274"/>
  <c r="P17" i="274"/>
  <c r="N17" i="274"/>
  <c r="E17" i="274"/>
  <c r="AF27" i="274" s="1"/>
  <c r="AJ16" i="274"/>
  <c r="AI16" i="274"/>
  <c r="AH16" i="274"/>
  <c r="AG16" i="274"/>
  <c r="U16" i="274"/>
  <c r="T16" i="274"/>
  <c r="R16" i="274"/>
  <c r="Q16" i="274"/>
  <c r="P16" i="274"/>
  <c r="N16" i="274"/>
  <c r="E16" i="274"/>
  <c r="AF26" i="274" s="1"/>
  <c r="AJ15" i="274"/>
  <c r="AI15" i="274"/>
  <c r="AH15" i="274"/>
  <c r="AG15" i="274"/>
  <c r="U15" i="274"/>
  <c r="T15" i="274"/>
  <c r="R15" i="274"/>
  <c r="Q15" i="274"/>
  <c r="P15" i="274"/>
  <c r="N15" i="274"/>
  <c r="E15" i="274"/>
  <c r="AF18" i="274" s="1"/>
  <c r="AJ14" i="274"/>
  <c r="AI14" i="274"/>
  <c r="AH14" i="274"/>
  <c r="AG14" i="274"/>
  <c r="U14" i="274"/>
  <c r="T14" i="274"/>
  <c r="R14" i="274"/>
  <c r="Q14" i="274"/>
  <c r="M14" i="274" s="1"/>
  <c r="AK17" i="274" s="1"/>
  <c r="P14" i="274"/>
  <c r="N14" i="274"/>
  <c r="E14" i="274"/>
  <c r="AF17" i="274" s="1"/>
  <c r="AJ13" i="274"/>
  <c r="AI13" i="274"/>
  <c r="AH13" i="274"/>
  <c r="AG13" i="274"/>
  <c r="U13" i="274"/>
  <c r="T13" i="274"/>
  <c r="R13" i="274"/>
  <c r="Q13" i="274"/>
  <c r="P13" i="274"/>
  <c r="N13" i="274"/>
  <c r="E13" i="274"/>
  <c r="AF16" i="274" s="1"/>
  <c r="AJ12" i="274"/>
  <c r="AI12" i="274"/>
  <c r="AH12" i="274"/>
  <c r="AG12" i="274"/>
  <c r="U12" i="274"/>
  <c r="T12" i="274"/>
  <c r="R12" i="274"/>
  <c r="Q12" i="274"/>
  <c r="P12" i="274"/>
  <c r="N12" i="274"/>
  <c r="E12" i="274"/>
  <c r="AF7" i="274" s="1"/>
  <c r="AJ11" i="274"/>
  <c r="AI11" i="274"/>
  <c r="AH11" i="274"/>
  <c r="AG11" i="274"/>
  <c r="AF11" i="274"/>
  <c r="U11" i="274"/>
  <c r="T11" i="274"/>
  <c r="R11" i="274"/>
  <c r="Q11" i="274"/>
  <c r="M11" i="274" s="1"/>
  <c r="AK25" i="274" s="1"/>
  <c r="P11" i="274"/>
  <c r="N11" i="274"/>
  <c r="E11" i="274"/>
  <c r="AF25" i="274" s="1"/>
  <c r="AJ10" i="274"/>
  <c r="AI10" i="274"/>
  <c r="AH10" i="274"/>
  <c r="AG10" i="274"/>
  <c r="U10" i="274"/>
  <c r="T10" i="274"/>
  <c r="R10" i="274"/>
  <c r="Q10" i="274"/>
  <c r="P10" i="274"/>
  <c r="N10" i="274"/>
  <c r="E10" i="274"/>
  <c r="AF6" i="274" s="1"/>
  <c r="AJ9" i="274"/>
  <c r="AI9" i="274"/>
  <c r="AH9" i="274"/>
  <c r="AG9" i="274"/>
  <c r="U9" i="274"/>
  <c r="T9" i="274"/>
  <c r="R9" i="274"/>
  <c r="Q9" i="274"/>
  <c r="M9" i="274" s="1"/>
  <c r="AK15" i="274" s="1"/>
  <c r="P9" i="274"/>
  <c r="N9" i="274"/>
  <c r="E9" i="274"/>
  <c r="AJ8" i="274"/>
  <c r="AI8" i="274"/>
  <c r="AH8" i="274"/>
  <c r="AG8" i="274"/>
  <c r="AF8" i="274"/>
  <c r="U8" i="274"/>
  <c r="T8" i="274"/>
  <c r="R8" i="274"/>
  <c r="Q8" i="274"/>
  <c r="P8" i="274"/>
  <c r="N8" i="274"/>
  <c r="E8" i="274"/>
  <c r="AF24" i="274" s="1"/>
  <c r="AJ7" i="274"/>
  <c r="AI7" i="274"/>
  <c r="AH7" i="274"/>
  <c r="AG7" i="274"/>
  <c r="U7" i="274"/>
  <c r="T7" i="274"/>
  <c r="R7" i="274"/>
  <c r="Q7" i="274"/>
  <c r="P7" i="274"/>
  <c r="N7" i="274"/>
  <c r="E7" i="274"/>
  <c r="AF23" i="274" s="1"/>
  <c r="AJ6" i="274"/>
  <c r="AI6" i="274"/>
  <c r="AH6" i="274"/>
  <c r="AG6" i="274"/>
  <c r="U6" i="274"/>
  <c r="T6" i="274"/>
  <c r="R6" i="274"/>
  <c r="Q6" i="274"/>
  <c r="P6" i="274"/>
  <c r="N6" i="274"/>
  <c r="E6" i="274"/>
  <c r="E66" i="81"/>
  <c r="D20" i="81"/>
  <c r="M24" i="274" l="1"/>
  <c r="AK11" i="274" s="1"/>
  <c r="M21" i="275"/>
  <c r="AK29" i="275" s="1"/>
  <c r="M26" i="275"/>
  <c r="AK30" i="275" s="1"/>
  <c r="M7" i="274"/>
  <c r="AK23" i="274" s="1"/>
  <c r="M22" i="274"/>
  <c r="AK9" i="274" s="1"/>
  <c r="M44" i="274"/>
  <c r="M9" i="275"/>
  <c r="AK15" i="275" s="1"/>
  <c r="M19" i="275"/>
  <c r="AK28" i="275" s="1"/>
  <c r="M12" i="274"/>
  <c r="AK7" i="274" s="1"/>
  <c r="M15" i="274"/>
  <c r="AK18" i="274" s="1"/>
  <c r="M30" i="274"/>
  <c r="AK13" i="274" s="1"/>
  <c r="M17" i="275"/>
  <c r="AK27" i="275" s="1"/>
  <c r="M15" i="275"/>
  <c r="AK18" i="275" s="1"/>
  <c r="M7" i="275"/>
  <c r="AK23" i="275" s="1"/>
  <c r="M13" i="275"/>
  <c r="AK16" i="275" s="1"/>
  <c r="M18" i="275"/>
  <c r="AK8" i="275" s="1"/>
  <c r="M11" i="275"/>
  <c r="AK25" i="275" s="1"/>
  <c r="M28" i="275"/>
  <c r="AK31" i="275" s="1"/>
  <c r="M28" i="274"/>
  <c r="AK31" i="274" s="1"/>
  <c r="M17" i="274"/>
  <c r="AK27" i="274" s="1"/>
  <c r="M6" i="274"/>
  <c r="AK14" i="274" s="1"/>
  <c r="M16" i="274"/>
  <c r="AK26" i="274" s="1"/>
  <c r="M8" i="275"/>
  <c r="AK24" i="275" s="1"/>
  <c r="M16" i="275"/>
  <c r="AK26" i="275" s="1"/>
  <c r="M30" i="275"/>
  <c r="AK13" i="275" s="1"/>
  <c r="M24" i="275"/>
  <c r="AK11" i="275" s="1"/>
  <c r="M45" i="275"/>
  <c r="AD22" i="275"/>
  <c r="AC28" i="275"/>
  <c r="AB12" i="275"/>
  <c r="O17" i="275"/>
  <c r="S11" i="275"/>
  <c r="AC25" i="275"/>
  <c r="AC12" i="275"/>
  <c r="AB19" i="275"/>
  <c r="AC30" i="275"/>
  <c r="AB29" i="275"/>
  <c r="AB31" i="275"/>
  <c r="AC22" i="275"/>
  <c r="AB28" i="275"/>
  <c r="AB27" i="274"/>
  <c r="AD8" i="274"/>
  <c r="AC24" i="274"/>
  <c r="M8" i="274"/>
  <c r="AK24" i="274" s="1"/>
  <c r="M10" i="274"/>
  <c r="AK6" i="274" s="1"/>
  <c r="M21" i="274"/>
  <c r="AK29" i="274" s="1"/>
  <c r="M13" i="274"/>
  <c r="AK16" i="274" s="1"/>
  <c r="M46" i="274"/>
  <c r="M20" i="274"/>
  <c r="AK19" i="274" s="1"/>
  <c r="M29" i="274"/>
  <c r="AK21" i="274" s="1"/>
  <c r="O44" i="274"/>
  <c r="S7" i="274"/>
  <c r="AC13" i="274"/>
  <c r="AB14" i="274"/>
  <c r="S45" i="274"/>
  <c r="AB8" i="274"/>
  <c r="AD13" i="274"/>
  <c r="AC8" i="274"/>
  <c r="AB9" i="274"/>
  <c r="AB10" i="274"/>
  <c r="AB28" i="274"/>
  <c r="AC15" i="274"/>
  <c r="AC22" i="274"/>
  <c r="AD19" i="274"/>
  <c r="AC14" i="274"/>
  <c r="J45" i="274" s="1"/>
  <c r="AB15" i="274"/>
  <c r="AD14" i="274"/>
  <c r="K45" i="274" s="1"/>
  <c r="AD18" i="274"/>
  <c r="AC19" i="274"/>
  <c r="AB22" i="274"/>
  <c r="S17" i="274"/>
  <c r="AB31" i="274"/>
  <c r="AD12" i="275"/>
  <c r="AB8" i="275"/>
  <c r="AD20" i="275"/>
  <c r="AB18" i="275"/>
  <c r="AB16" i="275"/>
  <c r="AC15" i="275"/>
  <c r="S21" i="275"/>
  <c r="O25" i="275"/>
  <c r="AB13" i="275"/>
  <c r="AC7" i="274"/>
  <c r="AB7" i="274"/>
  <c r="AD6" i="274"/>
  <c r="K44" i="274" s="1"/>
  <c r="AD11" i="274"/>
  <c r="AC6" i="274"/>
  <c r="J44" i="274" s="1"/>
  <c r="AD10" i="274"/>
  <c r="AB13" i="274"/>
  <c r="AD16" i="274"/>
  <c r="AB12" i="274"/>
  <c r="AF15" i="274"/>
  <c r="AB17" i="274"/>
  <c r="AC10" i="274"/>
  <c r="S9" i="274"/>
  <c r="AB19" i="274"/>
  <c r="AB20" i="274"/>
  <c r="AB25" i="274"/>
  <c r="AB29" i="274"/>
  <c r="M6" i="275"/>
  <c r="AK14" i="275" s="1"/>
  <c r="O9" i="275"/>
  <c r="O19" i="274"/>
  <c r="AF24" i="275"/>
  <c r="O46" i="275"/>
  <c r="O23" i="275"/>
  <c r="O15" i="275"/>
  <c r="S7" i="275"/>
  <c r="S30" i="275"/>
  <c r="O26" i="275"/>
  <c r="O18" i="275"/>
  <c r="O10" i="275"/>
  <c r="S6" i="275"/>
  <c r="S22" i="275"/>
  <c r="S14" i="275"/>
  <c r="S44" i="275"/>
  <c r="O31" i="275"/>
  <c r="S27" i="275"/>
  <c r="S19" i="275"/>
  <c r="S24" i="275"/>
  <c r="O8" i="274"/>
  <c r="AB16" i="274"/>
  <c r="S20" i="274"/>
  <c r="AD21" i="274"/>
  <c r="S25" i="274"/>
  <c r="AC29" i="274"/>
  <c r="AD6" i="275"/>
  <c r="K44" i="275" s="1"/>
  <c r="AB22" i="275"/>
  <c r="S30" i="274"/>
  <c r="O26" i="274"/>
  <c r="S22" i="274"/>
  <c r="O18" i="274"/>
  <c r="S14" i="274"/>
  <c r="O10" i="274"/>
  <c r="S6" i="274"/>
  <c r="O46" i="274"/>
  <c r="S44" i="274"/>
  <c r="O31" i="274"/>
  <c r="S27" i="274"/>
  <c r="O23" i="274"/>
  <c r="S19" i="274"/>
  <c r="O15" i="274"/>
  <c r="S11" i="274"/>
  <c r="O7" i="274"/>
  <c r="O30" i="274"/>
  <c r="O6" i="274"/>
  <c r="O28" i="274"/>
  <c r="S24" i="274"/>
  <c r="O20" i="274"/>
  <c r="S16" i="274"/>
  <c r="AF14" i="274"/>
  <c r="O12" i="274"/>
  <c r="S8" i="274"/>
  <c r="S26" i="274"/>
  <c r="O14" i="274"/>
  <c r="O45" i="274"/>
  <c r="S29" i="274"/>
  <c r="O25" i="274"/>
  <c r="S21" i="274"/>
  <c r="O17" i="274"/>
  <c r="S13" i="274"/>
  <c r="O9" i="274"/>
  <c r="O22" i="274"/>
  <c r="S18" i="274"/>
  <c r="S10" i="274"/>
  <c r="AB6" i="274"/>
  <c r="AB11" i="274"/>
  <c r="AC16" i="274"/>
  <c r="M18" i="274"/>
  <c r="AK8" i="274" s="1"/>
  <c r="O21" i="274"/>
  <c r="S23" i="274"/>
  <c r="AB24" i="274"/>
  <c r="AB26" i="274"/>
  <c r="S28" i="274"/>
  <c r="AD29" i="274"/>
  <c r="O30" i="275"/>
  <c r="O7" i="275"/>
  <c r="AB10" i="275"/>
  <c r="AB20" i="275"/>
  <c r="AB27" i="275"/>
  <c r="S29" i="275"/>
  <c r="O45" i="275"/>
  <c r="AD25" i="275"/>
  <c r="O28" i="275"/>
  <c r="AC21" i="274"/>
  <c r="O13" i="274"/>
  <c r="S15" i="274"/>
  <c r="AB18" i="274"/>
  <c r="AB15" i="275"/>
  <c r="O16" i="274"/>
  <c r="O29" i="274"/>
  <c r="S31" i="274"/>
  <c r="AC9" i="275"/>
  <c r="AB11" i="275"/>
  <c r="AD14" i="275"/>
  <c r="K45" i="275" s="1"/>
  <c r="AC17" i="275"/>
  <c r="AC20" i="275"/>
  <c r="AC26" i="275"/>
  <c r="AD28" i="275"/>
  <c r="AD31" i="275"/>
  <c r="AD23" i="275"/>
  <c r="K46" i="275" s="1"/>
  <c r="AC23" i="275"/>
  <c r="J46" i="275" s="1"/>
  <c r="AB24" i="275"/>
  <c r="AC31" i="275"/>
  <c r="AB26" i="275"/>
  <c r="AB30" i="275"/>
  <c r="S12" i="274"/>
  <c r="AD31" i="274"/>
  <c r="AC26" i="274"/>
  <c r="AD23" i="274"/>
  <c r="K46" i="274" s="1"/>
  <c r="AC31" i="274"/>
  <c r="AD28" i="274"/>
  <c r="AC23" i="274"/>
  <c r="J46" i="274" s="1"/>
  <c r="AC30" i="274"/>
  <c r="AC28" i="274"/>
  <c r="AD25" i="274"/>
  <c r="AB23" i="274"/>
  <c r="AD30" i="274"/>
  <c r="AC25" i="274"/>
  <c r="AD27" i="274"/>
  <c r="AD26" i="274"/>
  <c r="AC27" i="274"/>
  <c r="AB21" i="274"/>
  <c r="O27" i="274"/>
  <c r="AB30" i="274"/>
  <c r="S46" i="274"/>
  <c r="AB7" i="275"/>
  <c r="O12" i="275"/>
  <c r="AD30" i="275"/>
  <c r="AC7" i="275"/>
  <c r="AC11" i="274"/>
  <c r="O11" i="274"/>
  <c r="O24" i="274"/>
  <c r="AD24" i="274"/>
  <c r="AD11" i="275"/>
  <c r="S8" i="275"/>
  <c r="AD9" i="275"/>
  <c r="S13" i="275"/>
  <c r="S16" i="275"/>
  <c r="AD17" i="275"/>
  <c r="O20" i="275"/>
  <c r="AB21" i="275"/>
  <c r="AB23" i="275"/>
  <c r="AC9" i="274"/>
  <c r="AC17" i="274"/>
  <c r="AD22" i="274"/>
  <c r="S9" i="275"/>
  <c r="AD10" i="275"/>
  <c r="O13" i="275"/>
  <c r="AC13" i="275"/>
  <c r="S17" i="275"/>
  <c r="AD18" i="275"/>
  <c r="O21" i="275"/>
  <c r="AC21" i="275"/>
  <c r="S25" i="275"/>
  <c r="AD26" i="275"/>
  <c r="O29" i="275"/>
  <c r="AC29" i="275"/>
  <c r="S45" i="275"/>
  <c r="AC18" i="275"/>
  <c r="AD9" i="274"/>
  <c r="AC12" i="274"/>
  <c r="AD17" i="274"/>
  <c r="AC20" i="274"/>
  <c r="O8" i="275"/>
  <c r="AC8" i="275"/>
  <c r="S12" i="275"/>
  <c r="AD13" i="275"/>
  <c r="O16" i="275"/>
  <c r="AC16" i="275"/>
  <c r="S20" i="275"/>
  <c r="AD21" i="275"/>
  <c r="O24" i="275"/>
  <c r="AC24" i="275"/>
  <c r="S28" i="275"/>
  <c r="AD29" i="275"/>
  <c r="AD7" i="275"/>
  <c r="AC10" i="275"/>
  <c r="AD15" i="275"/>
  <c r="AD12" i="274"/>
  <c r="AD20" i="274"/>
  <c r="AB6" i="275"/>
  <c r="AD8" i="275"/>
  <c r="O11" i="275"/>
  <c r="AC11" i="275"/>
  <c r="AB14" i="275"/>
  <c r="S15" i="275"/>
  <c r="AD16" i="275"/>
  <c r="O19" i="275"/>
  <c r="AC19" i="275"/>
  <c r="S23" i="275"/>
  <c r="AD24" i="275"/>
  <c r="O27" i="275"/>
  <c r="AC27" i="275"/>
  <c r="S31" i="275"/>
  <c r="O44" i="275"/>
  <c r="S46" i="275"/>
  <c r="AD7" i="274"/>
  <c r="AD15" i="274"/>
  <c r="AC18" i="274"/>
  <c r="O6" i="275"/>
  <c r="AC6" i="275"/>
  <c r="J44" i="275" s="1"/>
  <c r="AB9" i="275"/>
  <c r="S10" i="275"/>
  <c r="O14" i="275"/>
  <c r="AC14" i="275"/>
  <c r="J45" i="275" s="1"/>
  <c r="AB17" i="275"/>
  <c r="S18" i="275"/>
  <c r="AD19" i="275"/>
  <c r="O22" i="275"/>
  <c r="AB25" i="275"/>
  <c r="S26" i="275"/>
  <c r="AD27" i="275"/>
  <c r="N44" i="272" l="1"/>
  <c r="T46" i="272"/>
  <c r="R46" i="272"/>
  <c r="Q46" i="272"/>
  <c r="P46" i="272"/>
  <c r="N46" i="272"/>
  <c r="T45" i="272"/>
  <c r="R45" i="272"/>
  <c r="Q45" i="272"/>
  <c r="P45" i="272"/>
  <c r="N45" i="272"/>
  <c r="T44" i="272"/>
  <c r="R44" i="272"/>
  <c r="Q44" i="272"/>
  <c r="P44" i="272"/>
  <c r="AJ31" i="272"/>
  <c r="AI31" i="272"/>
  <c r="AH31" i="272"/>
  <c r="AG31" i="272"/>
  <c r="U31" i="272"/>
  <c r="T31" i="272"/>
  <c r="R31" i="272"/>
  <c r="Q31" i="272"/>
  <c r="P31" i="272"/>
  <c r="N31" i="272"/>
  <c r="E31" i="272"/>
  <c r="AF22" i="272" s="1"/>
  <c r="AJ30" i="272"/>
  <c r="AI30" i="272"/>
  <c r="AH30" i="272"/>
  <c r="AG30" i="272"/>
  <c r="U30" i="272"/>
  <c r="T30" i="272"/>
  <c r="R30" i="272"/>
  <c r="Q30" i="272"/>
  <c r="M30" i="272" s="1"/>
  <c r="AK13" i="272" s="1"/>
  <c r="P30" i="272"/>
  <c r="N30" i="272"/>
  <c r="E30" i="272"/>
  <c r="AF13" i="272" s="1"/>
  <c r="AJ29" i="272"/>
  <c r="AI29" i="272"/>
  <c r="AH29" i="272"/>
  <c r="AG29" i="272"/>
  <c r="U29" i="272"/>
  <c r="T29" i="272"/>
  <c r="R29" i="272"/>
  <c r="Q29" i="272"/>
  <c r="P29" i="272"/>
  <c r="N29" i="272"/>
  <c r="M29" i="272"/>
  <c r="AK21" i="272" s="1"/>
  <c r="E29" i="272"/>
  <c r="AF21" i="272" s="1"/>
  <c r="AJ28" i="272"/>
  <c r="AI28" i="272"/>
  <c r="AH28" i="272"/>
  <c r="AG28" i="272"/>
  <c r="U28" i="272"/>
  <c r="T28" i="272"/>
  <c r="R28" i="272"/>
  <c r="Q28" i="272"/>
  <c r="P28" i="272"/>
  <c r="N28" i="272"/>
  <c r="E28" i="272"/>
  <c r="AF31" i="272" s="1"/>
  <c r="AJ27" i="272"/>
  <c r="AI27" i="272"/>
  <c r="AH27" i="272"/>
  <c r="AG27" i="272"/>
  <c r="U27" i="272"/>
  <c r="T27" i="272"/>
  <c r="R27" i="272"/>
  <c r="Q27" i="272"/>
  <c r="M27" i="272" s="1"/>
  <c r="AK12" i="272" s="1"/>
  <c r="P27" i="272"/>
  <c r="N27" i="272"/>
  <c r="E27" i="272"/>
  <c r="AF12" i="272" s="1"/>
  <c r="AJ26" i="272"/>
  <c r="AI26" i="272"/>
  <c r="AH26" i="272"/>
  <c r="AG26" i="272"/>
  <c r="U26" i="272"/>
  <c r="T26" i="272"/>
  <c r="R26" i="272"/>
  <c r="Q26" i="272"/>
  <c r="P26" i="272"/>
  <c r="N26" i="272"/>
  <c r="E26" i="272"/>
  <c r="AF30" i="272" s="1"/>
  <c r="AJ25" i="272"/>
  <c r="AI25" i="272"/>
  <c r="AH25" i="272"/>
  <c r="AG25" i="272"/>
  <c r="U25" i="272"/>
  <c r="T25" i="272"/>
  <c r="R25" i="272"/>
  <c r="Q25" i="272"/>
  <c r="P25" i="272"/>
  <c r="N25" i="272"/>
  <c r="E25" i="272"/>
  <c r="AJ24" i="272"/>
  <c r="AI24" i="272"/>
  <c r="AH24" i="272"/>
  <c r="AG24" i="272"/>
  <c r="U24" i="272"/>
  <c r="T24" i="272"/>
  <c r="R24" i="272"/>
  <c r="Q24" i="272"/>
  <c r="P24" i="272"/>
  <c r="N24" i="272"/>
  <c r="E24" i="272"/>
  <c r="AF11" i="272" s="1"/>
  <c r="AJ23" i="272"/>
  <c r="AI23" i="272"/>
  <c r="AH23" i="272"/>
  <c r="AG23" i="272"/>
  <c r="U23" i="272"/>
  <c r="T23" i="272"/>
  <c r="R23" i="272"/>
  <c r="Q23" i="272"/>
  <c r="P23" i="272"/>
  <c r="N23" i="272"/>
  <c r="E23" i="272"/>
  <c r="AF10" i="272" s="1"/>
  <c r="AJ22" i="272"/>
  <c r="AI22" i="272"/>
  <c r="AH22" i="272"/>
  <c r="AG22" i="272"/>
  <c r="U22" i="272"/>
  <c r="T22" i="272"/>
  <c r="R22" i="272"/>
  <c r="Q22" i="272"/>
  <c r="P22" i="272"/>
  <c r="N22" i="272"/>
  <c r="E22" i="272"/>
  <c r="AF9" i="272" s="1"/>
  <c r="AJ21" i="272"/>
  <c r="AI21" i="272"/>
  <c r="AH21" i="272"/>
  <c r="AG21" i="272"/>
  <c r="U21" i="272"/>
  <c r="T21" i="272"/>
  <c r="R21" i="272"/>
  <c r="Q21" i="272"/>
  <c r="P21" i="272"/>
  <c r="N21" i="272"/>
  <c r="E21" i="272"/>
  <c r="AF29" i="272" s="1"/>
  <c r="AJ20" i="272"/>
  <c r="AI20" i="272"/>
  <c r="AH20" i="272"/>
  <c r="AG20" i="272"/>
  <c r="AF20" i="272"/>
  <c r="U20" i="272"/>
  <c r="T20" i="272"/>
  <c r="R20" i="272"/>
  <c r="Q20" i="272"/>
  <c r="M20" i="272" s="1"/>
  <c r="AK19" i="272" s="1"/>
  <c r="P20" i="272"/>
  <c r="N20" i="272"/>
  <c r="E20" i="272"/>
  <c r="AF19" i="272" s="1"/>
  <c r="AJ19" i="272"/>
  <c r="AI19" i="272"/>
  <c r="AH19" i="272"/>
  <c r="AG19" i="272"/>
  <c r="U19" i="272"/>
  <c r="T19" i="272"/>
  <c r="R19" i="272"/>
  <c r="Q19" i="272"/>
  <c r="P19" i="272"/>
  <c r="N19" i="272"/>
  <c r="E19" i="272"/>
  <c r="AF28" i="272" s="1"/>
  <c r="AJ18" i="272"/>
  <c r="AI18" i="272"/>
  <c r="AH18" i="272"/>
  <c r="AG18" i="272"/>
  <c r="U18" i="272"/>
  <c r="T18" i="272"/>
  <c r="R18" i="272"/>
  <c r="Q18" i="272"/>
  <c r="M18" i="272" s="1"/>
  <c r="AK8" i="272" s="1"/>
  <c r="P18" i="272"/>
  <c r="N18" i="272"/>
  <c r="E18" i="272"/>
  <c r="AF8" i="272" s="1"/>
  <c r="AJ17" i="272"/>
  <c r="AI17" i="272"/>
  <c r="AH17" i="272"/>
  <c r="AG17" i="272"/>
  <c r="U17" i="272"/>
  <c r="T17" i="272"/>
  <c r="R17" i="272"/>
  <c r="Q17" i="272"/>
  <c r="P17" i="272"/>
  <c r="N17" i="272"/>
  <c r="E17" i="272"/>
  <c r="AF27" i="272" s="1"/>
  <c r="AJ16" i="272"/>
  <c r="AI16" i="272"/>
  <c r="AH16" i="272"/>
  <c r="AG16" i="272"/>
  <c r="U16" i="272"/>
  <c r="T16" i="272"/>
  <c r="R16" i="272"/>
  <c r="Q16" i="272"/>
  <c r="P16" i="272"/>
  <c r="N16" i="272"/>
  <c r="E16" i="272"/>
  <c r="AF26" i="272" s="1"/>
  <c r="AJ15" i="272"/>
  <c r="AI15" i="272"/>
  <c r="AH15" i="272"/>
  <c r="AG15" i="272"/>
  <c r="U15" i="272"/>
  <c r="T15" i="272"/>
  <c r="R15" i="272"/>
  <c r="Q15" i="272"/>
  <c r="P15" i="272"/>
  <c r="N15" i="272"/>
  <c r="E15" i="272"/>
  <c r="AF18" i="272" s="1"/>
  <c r="AJ14" i="272"/>
  <c r="AI14" i="272"/>
  <c r="AH14" i="272"/>
  <c r="AG14" i="272"/>
  <c r="U14" i="272"/>
  <c r="T14" i="272"/>
  <c r="R14" i="272"/>
  <c r="Q14" i="272"/>
  <c r="P14" i="272"/>
  <c r="N14" i="272"/>
  <c r="E14" i="272"/>
  <c r="AF17" i="272" s="1"/>
  <c r="AJ13" i="272"/>
  <c r="AI13" i="272"/>
  <c r="AH13" i="272"/>
  <c r="AG13" i="272"/>
  <c r="U13" i="272"/>
  <c r="T13" i="272"/>
  <c r="R13" i="272"/>
  <c r="Q13" i="272"/>
  <c r="P13" i="272"/>
  <c r="N13" i="272"/>
  <c r="E13" i="272"/>
  <c r="AF16" i="272" s="1"/>
  <c r="AJ12" i="272"/>
  <c r="AI12" i="272"/>
  <c r="AH12" i="272"/>
  <c r="AG12" i="272"/>
  <c r="U12" i="272"/>
  <c r="T12" i="272"/>
  <c r="R12" i="272"/>
  <c r="Q12" i="272"/>
  <c r="M12" i="272" s="1"/>
  <c r="AK7" i="272" s="1"/>
  <c r="P12" i="272"/>
  <c r="N12" i="272"/>
  <c r="E12" i="272"/>
  <c r="AJ11" i="272"/>
  <c r="AI11" i="272"/>
  <c r="AH11" i="272"/>
  <c r="AG11" i="272"/>
  <c r="U11" i="272"/>
  <c r="T11" i="272"/>
  <c r="R11" i="272"/>
  <c r="Q11" i="272"/>
  <c r="M11" i="272" s="1"/>
  <c r="AK25" i="272" s="1"/>
  <c r="P11" i="272"/>
  <c r="N11" i="272"/>
  <c r="E11" i="272"/>
  <c r="AF25" i="272" s="1"/>
  <c r="AJ10" i="272"/>
  <c r="AI10" i="272"/>
  <c r="AH10" i="272"/>
  <c r="AG10" i="272"/>
  <c r="U10" i="272"/>
  <c r="T10" i="272"/>
  <c r="R10" i="272"/>
  <c r="M10" i="272" s="1"/>
  <c r="AK6" i="272" s="1"/>
  <c r="Q10" i="272"/>
  <c r="P10" i="272"/>
  <c r="N10" i="272"/>
  <c r="E10" i="272"/>
  <c r="AJ9" i="272"/>
  <c r="AI9" i="272"/>
  <c r="AH9" i="272"/>
  <c r="AG9" i="272"/>
  <c r="U9" i="272"/>
  <c r="T9" i="272"/>
  <c r="R9" i="272"/>
  <c r="Q9" i="272"/>
  <c r="M9" i="272" s="1"/>
  <c r="AK15" i="272" s="1"/>
  <c r="P9" i="272"/>
  <c r="N9" i="272"/>
  <c r="E9" i="272"/>
  <c r="AF15" i="272" s="1"/>
  <c r="AJ8" i="272"/>
  <c r="AI8" i="272"/>
  <c r="AH8" i="272"/>
  <c r="AG8" i="272"/>
  <c r="U8" i="272"/>
  <c r="T8" i="272"/>
  <c r="R8" i="272"/>
  <c r="M8" i="272" s="1"/>
  <c r="AK24" i="272" s="1"/>
  <c r="Q8" i="272"/>
  <c r="P8" i="272"/>
  <c r="N8" i="272"/>
  <c r="E8" i="272"/>
  <c r="AF24" i="272" s="1"/>
  <c r="AJ7" i="272"/>
  <c r="AI7" i="272"/>
  <c r="AH7" i="272"/>
  <c r="AG7" i="272"/>
  <c r="AF7" i="272"/>
  <c r="U7" i="272"/>
  <c r="T7" i="272"/>
  <c r="R7" i="272"/>
  <c r="Q7" i="272"/>
  <c r="P7" i="272"/>
  <c r="N7" i="272"/>
  <c r="E7" i="272"/>
  <c r="AJ6" i="272"/>
  <c r="AI6" i="272"/>
  <c r="AH6" i="272"/>
  <c r="AG6" i="272"/>
  <c r="U6" i="272"/>
  <c r="T6" i="272"/>
  <c r="R6" i="272"/>
  <c r="Q6" i="272"/>
  <c r="P6" i="272"/>
  <c r="N6" i="272"/>
  <c r="E6" i="272"/>
  <c r="M13" i="272" l="1"/>
  <c r="AK16" i="272" s="1"/>
  <c r="M23" i="272"/>
  <c r="AK10" i="272" s="1"/>
  <c r="M26" i="272"/>
  <c r="AK30" i="272" s="1"/>
  <c r="M31" i="272"/>
  <c r="AK22" i="272" s="1"/>
  <c r="M19" i="272"/>
  <c r="AK28" i="272" s="1"/>
  <c r="M7" i="272"/>
  <c r="AK23" i="272" s="1"/>
  <c r="M22" i="272"/>
  <c r="AK9" i="272" s="1"/>
  <c r="S16" i="272"/>
  <c r="M15" i="272"/>
  <c r="AK18" i="272" s="1"/>
  <c r="M21" i="272"/>
  <c r="AK29" i="272" s="1"/>
  <c r="M44" i="272"/>
  <c r="S8" i="272"/>
  <c r="AF14" i="272"/>
  <c r="M25" i="272"/>
  <c r="AK20" i="272" s="1"/>
  <c r="M46" i="272"/>
  <c r="M14" i="272"/>
  <c r="AK17" i="272" s="1"/>
  <c r="M45" i="272"/>
  <c r="AD22" i="272"/>
  <c r="M17" i="272"/>
  <c r="AK27" i="272" s="1"/>
  <c r="M28" i="272"/>
  <c r="AK31" i="272" s="1"/>
  <c r="M24" i="272"/>
  <c r="AK11" i="272" s="1"/>
  <c r="M6" i="272"/>
  <c r="AK14" i="272" s="1"/>
  <c r="M16" i="272"/>
  <c r="AK26" i="272" s="1"/>
  <c r="O17" i="272"/>
  <c r="S13" i="272"/>
  <c r="S29" i="272"/>
  <c r="S24" i="272"/>
  <c r="AB20" i="272"/>
  <c r="AB30" i="272"/>
  <c r="AF23" i="272"/>
  <c r="O25" i="272"/>
  <c r="S21" i="272"/>
  <c r="AD14" i="272"/>
  <c r="K45" i="272" s="1"/>
  <c r="AC12" i="272"/>
  <c r="AC17" i="272"/>
  <c r="AC30" i="272"/>
  <c r="AB25" i="272"/>
  <c r="AB27" i="272"/>
  <c r="AB9" i="272"/>
  <c r="AB17" i="272"/>
  <c r="AB22" i="272"/>
  <c r="AB28" i="272"/>
  <c r="AC22" i="272"/>
  <c r="AC26" i="272"/>
  <c r="AB19" i="272"/>
  <c r="AC25" i="272"/>
  <c r="AB16" i="272"/>
  <c r="AB7" i="272"/>
  <c r="AD6" i="272"/>
  <c r="K44" i="272" s="1"/>
  <c r="O28" i="272"/>
  <c r="O7" i="272"/>
  <c r="O20" i="272"/>
  <c r="O45" i="272"/>
  <c r="O30" i="272"/>
  <c r="AF6" i="272"/>
  <c r="AD9" i="272"/>
  <c r="AB13" i="272"/>
  <c r="AB10" i="272"/>
  <c r="AB8" i="272"/>
  <c r="AD12" i="272"/>
  <c r="AC7" i="272"/>
  <c r="AB11" i="272"/>
  <c r="AC9" i="272"/>
  <c r="AB29" i="272"/>
  <c r="AB23" i="272"/>
  <c r="AB12" i="272"/>
  <c r="AD11" i="272"/>
  <c r="O9" i="272"/>
  <c r="O12" i="272"/>
  <c r="AB15" i="272"/>
  <c r="AB21" i="272"/>
  <c r="AD30" i="272"/>
  <c r="AD17" i="272"/>
  <c r="AC20" i="272"/>
  <c r="AD25" i="272"/>
  <c r="AB31" i="272"/>
  <c r="S11" i="272"/>
  <c r="O15" i="272"/>
  <c r="AC15" i="272"/>
  <c r="AB18" i="272"/>
  <c r="S19" i="272"/>
  <c r="AD20" i="272"/>
  <c r="O23" i="272"/>
  <c r="AC23" i="272"/>
  <c r="J46" i="272" s="1"/>
  <c r="O46" i="272"/>
  <c r="AD7" i="272"/>
  <c r="AD15" i="272"/>
  <c r="O18" i="272"/>
  <c r="AC18" i="272"/>
  <c r="S22" i="272"/>
  <c r="AD23" i="272"/>
  <c r="K46" i="272" s="1"/>
  <c r="AD31" i="272"/>
  <c r="S9" i="272"/>
  <c r="AD10" i="272"/>
  <c r="O13" i="272"/>
  <c r="AC13" i="272"/>
  <c r="S17" i="272"/>
  <c r="AD18" i="272"/>
  <c r="O21" i="272"/>
  <c r="AC21" i="272"/>
  <c r="AB24" i="272"/>
  <c r="S25" i="272"/>
  <c r="AD26" i="272"/>
  <c r="O29" i="272"/>
  <c r="AC29" i="272"/>
  <c r="S45" i="272"/>
  <c r="O8" i="272"/>
  <c r="AC8" i="272"/>
  <c r="S12" i="272"/>
  <c r="AD13" i="272"/>
  <c r="O16" i="272"/>
  <c r="AC16" i="272"/>
  <c r="S20" i="272"/>
  <c r="AD21" i="272"/>
  <c r="O24" i="272"/>
  <c r="AC24" i="272"/>
  <c r="S28" i="272"/>
  <c r="AD29" i="272"/>
  <c r="AC28" i="272"/>
  <c r="AB26" i="272"/>
  <c r="S27" i="272"/>
  <c r="AD28" i="272"/>
  <c r="O31" i="272"/>
  <c r="AC31" i="272"/>
  <c r="S44" i="272"/>
  <c r="S6" i="272"/>
  <c r="O10" i="272"/>
  <c r="AC10" i="272"/>
  <c r="S14" i="272"/>
  <c r="O26" i="272"/>
  <c r="S30" i="272"/>
  <c r="AB6" i="272"/>
  <c r="S7" i="272"/>
  <c r="AD8" i="272"/>
  <c r="O11" i="272"/>
  <c r="AC11" i="272"/>
  <c r="AB14" i="272"/>
  <c r="S15" i="272"/>
  <c r="AD16" i="272"/>
  <c r="O19" i="272"/>
  <c r="AC19" i="272"/>
  <c r="S23" i="272"/>
  <c r="AD24" i="272"/>
  <c r="O27" i="272"/>
  <c r="AC27" i="272"/>
  <c r="S31" i="272"/>
  <c r="O44" i="272"/>
  <c r="S46" i="272"/>
  <c r="O6" i="272"/>
  <c r="AC6" i="272"/>
  <c r="J44" i="272" s="1"/>
  <c r="S10" i="272"/>
  <c r="O14" i="272"/>
  <c r="AC14" i="272"/>
  <c r="J45" i="272" s="1"/>
  <c r="S18" i="272"/>
  <c r="AD19" i="272"/>
  <c r="O22" i="272"/>
  <c r="S26" i="272"/>
  <c r="AD27" i="272"/>
  <c r="T46" i="271" l="1"/>
  <c r="R46" i="271"/>
  <c r="Q46" i="271"/>
  <c r="P46" i="271"/>
  <c r="N46" i="271"/>
  <c r="M46" i="271"/>
  <c r="T45" i="271"/>
  <c r="R45" i="271"/>
  <c r="Q45" i="271"/>
  <c r="P45" i="271"/>
  <c r="N45" i="271"/>
  <c r="T44" i="271"/>
  <c r="R44" i="271"/>
  <c r="Q44" i="271"/>
  <c r="P44" i="271"/>
  <c r="N44" i="271"/>
  <c r="AJ31" i="271"/>
  <c r="AI31" i="271"/>
  <c r="AH31" i="271"/>
  <c r="AG31" i="271"/>
  <c r="U31" i="271"/>
  <c r="T31" i="271"/>
  <c r="R31" i="271"/>
  <c r="M31" i="271" s="1"/>
  <c r="AK22" i="271" s="1"/>
  <c r="Q31" i="271"/>
  <c r="P31" i="271"/>
  <c r="N31" i="271"/>
  <c r="E31" i="271"/>
  <c r="AF22" i="271" s="1"/>
  <c r="AJ30" i="271"/>
  <c r="AI30" i="271"/>
  <c r="AH30" i="271"/>
  <c r="AG30" i="271"/>
  <c r="U30" i="271"/>
  <c r="T30" i="271"/>
  <c r="R30" i="271"/>
  <c r="Q30" i="271"/>
  <c r="M30" i="271" s="1"/>
  <c r="AK13" i="271" s="1"/>
  <c r="P30" i="271"/>
  <c r="N30" i="271"/>
  <c r="E30" i="271"/>
  <c r="AF13" i="271" s="1"/>
  <c r="AJ29" i="271"/>
  <c r="AI29" i="271"/>
  <c r="AH29" i="271"/>
  <c r="AG29" i="271"/>
  <c r="U29" i="271"/>
  <c r="T29" i="271"/>
  <c r="R29" i="271"/>
  <c r="Q29" i="271"/>
  <c r="P29" i="271"/>
  <c r="N29" i="271"/>
  <c r="E29" i="271"/>
  <c r="AF21" i="271" s="1"/>
  <c r="AJ28" i="271"/>
  <c r="AI28" i="271"/>
  <c r="AH28" i="271"/>
  <c r="AG28" i="271"/>
  <c r="U28" i="271"/>
  <c r="T28" i="271"/>
  <c r="R28" i="271"/>
  <c r="Q28" i="271"/>
  <c r="P28" i="271"/>
  <c r="N28" i="271"/>
  <c r="E28" i="271"/>
  <c r="AF31" i="271" s="1"/>
  <c r="AJ27" i="271"/>
  <c r="AI27" i="271"/>
  <c r="AH27" i="271"/>
  <c r="AG27" i="271"/>
  <c r="U27" i="271"/>
  <c r="T27" i="271"/>
  <c r="R27" i="271"/>
  <c r="Q27" i="271"/>
  <c r="P27" i="271"/>
  <c r="N27" i="271"/>
  <c r="E27" i="271"/>
  <c r="AF12" i="271" s="1"/>
  <c r="AJ26" i="271"/>
  <c r="AI26" i="271"/>
  <c r="AH26" i="271"/>
  <c r="AG26" i="271"/>
  <c r="U26" i="271"/>
  <c r="T26" i="271"/>
  <c r="R26" i="271"/>
  <c r="Q26" i="271"/>
  <c r="M26" i="271" s="1"/>
  <c r="AK30" i="271" s="1"/>
  <c r="P26" i="271"/>
  <c r="N26" i="271"/>
  <c r="E26" i="271"/>
  <c r="AF30" i="271" s="1"/>
  <c r="AJ25" i="271"/>
  <c r="AI25" i="271"/>
  <c r="AH25" i="271"/>
  <c r="AG25" i="271"/>
  <c r="U25" i="271"/>
  <c r="T25" i="271"/>
  <c r="R25" i="271"/>
  <c r="Q25" i="271"/>
  <c r="P25" i="271"/>
  <c r="N25" i="271"/>
  <c r="E25" i="271"/>
  <c r="AF20" i="271" s="1"/>
  <c r="AJ24" i="271"/>
  <c r="AI24" i="271"/>
  <c r="AH24" i="271"/>
  <c r="AG24" i="271"/>
  <c r="U24" i="271"/>
  <c r="T24" i="271"/>
  <c r="R24" i="271"/>
  <c r="Q24" i="271"/>
  <c r="P24" i="271"/>
  <c r="N24" i="271"/>
  <c r="E24" i="271"/>
  <c r="AJ23" i="271"/>
  <c r="AI23" i="271"/>
  <c r="AH23" i="271"/>
  <c r="AG23" i="271"/>
  <c r="U23" i="271"/>
  <c r="T23" i="271"/>
  <c r="R23" i="271"/>
  <c r="Q23" i="271"/>
  <c r="P23" i="271"/>
  <c r="N23" i="271"/>
  <c r="E23" i="271"/>
  <c r="AJ22" i="271"/>
  <c r="AI22" i="271"/>
  <c r="AH22" i="271"/>
  <c r="AG22" i="271"/>
  <c r="U22" i="271"/>
  <c r="T22" i="271"/>
  <c r="R22" i="271"/>
  <c r="Q22" i="271"/>
  <c r="P22" i="271"/>
  <c r="N22" i="271"/>
  <c r="E22" i="271"/>
  <c r="AF9" i="271" s="1"/>
  <c r="AJ21" i="271"/>
  <c r="AI21" i="271"/>
  <c r="AH21" i="271"/>
  <c r="AG21" i="271"/>
  <c r="U21" i="271"/>
  <c r="T21" i="271"/>
  <c r="R21" i="271"/>
  <c r="Q21" i="271"/>
  <c r="P21" i="271"/>
  <c r="N21" i="271"/>
  <c r="E21" i="271"/>
  <c r="AF29" i="271" s="1"/>
  <c r="AJ20" i="271"/>
  <c r="AI20" i="271"/>
  <c r="AH20" i="271"/>
  <c r="AG20" i="271"/>
  <c r="U20" i="271"/>
  <c r="T20" i="271"/>
  <c r="R20" i="271"/>
  <c r="Q20" i="271"/>
  <c r="P20" i="271"/>
  <c r="N20" i="271"/>
  <c r="E20" i="271"/>
  <c r="AF19" i="271" s="1"/>
  <c r="AJ19" i="271"/>
  <c r="AI19" i="271"/>
  <c r="AH19" i="271"/>
  <c r="AG19" i="271"/>
  <c r="U19" i="271"/>
  <c r="T19" i="271"/>
  <c r="R19" i="271"/>
  <c r="Q19" i="271"/>
  <c r="P19" i="271"/>
  <c r="N19" i="271"/>
  <c r="E19" i="271"/>
  <c r="AF28" i="271" s="1"/>
  <c r="AJ18" i="271"/>
  <c r="AI18" i="271"/>
  <c r="AH18" i="271"/>
  <c r="AG18" i="271"/>
  <c r="U18" i="271"/>
  <c r="T18" i="271"/>
  <c r="R18" i="271"/>
  <c r="Q18" i="271"/>
  <c r="M18" i="271" s="1"/>
  <c r="AK8" i="271" s="1"/>
  <c r="P18" i="271"/>
  <c r="N18" i="271"/>
  <c r="E18" i="271"/>
  <c r="AF8" i="271" s="1"/>
  <c r="AJ17" i="271"/>
  <c r="AI17" i="271"/>
  <c r="AH17" i="271"/>
  <c r="AG17" i="271"/>
  <c r="U17" i="271"/>
  <c r="T17" i="271"/>
  <c r="R17" i="271"/>
  <c r="Q17" i="271"/>
  <c r="P17" i="271"/>
  <c r="N17" i="271"/>
  <c r="E17" i="271"/>
  <c r="AF27" i="271" s="1"/>
  <c r="AJ16" i="271"/>
  <c r="AI16" i="271"/>
  <c r="AH16" i="271"/>
  <c r="AG16" i="271"/>
  <c r="U16" i="271"/>
  <c r="T16" i="271"/>
  <c r="R16" i="271"/>
  <c r="Q16" i="271"/>
  <c r="P16" i="271"/>
  <c r="N16" i="271"/>
  <c r="E16" i="271"/>
  <c r="AF26" i="271" s="1"/>
  <c r="AJ15" i="271"/>
  <c r="AI15" i="271"/>
  <c r="AH15" i="271"/>
  <c r="AG15" i="271"/>
  <c r="U15" i="271"/>
  <c r="T15" i="271"/>
  <c r="R15" i="271"/>
  <c r="Q15" i="271"/>
  <c r="P15" i="271"/>
  <c r="N15" i="271"/>
  <c r="E15" i="271"/>
  <c r="AF18" i="271" s="1"/>
  <c r="AJ14" i="271"/>
  <c r="AI14" i="271"/>
  <c r="AH14" i="271"/>
  <c r="AG14" i="271"/>
  <c r="U14" i="271"/>
  <c r="T14" i="271"/>
  <c r="R14" i="271"/>
  <c r="Q14" i="271"/>
  <c r="M14" i="271" s="1"/>
  <c r="AK17" i="271" s="1"/>
  <c r="P14" i="271"/>
  <c r="N14" i="271"/>
  <c r="E14" i="271"/>
  <c r="AF17" i="271" s="1"/>
  <c r="AJ13" i="271"/>
  <c r="AI13" i="271"/>
  <c r="AH13" i="271"/>
  <c r="AG13" i="271"/>
  <c r="U13" i="271"/>
  <c r="T13" i="271"/>
  <c r="R13" i="271"/>
  <c r="Q13" i="271"/>
  <c r="P13" i="271"/>
  <c r="N13" i="271"/>
  <c r="E13" i="271"/>
  <c r="AF16" i="271" s="1"/>
  <c r="AJ12" i="271"/>
  <c r="AI12" i="271"/>
  <c r="AH12" i="271"/>
  <c r="AG12" i="271"/>
  <c r="U12" i="271"/>
  <c r="T12" i="271"/>
  <c r="R12" i="271"/>
  <c r="Q12" i="271"/>
  <c r="P12" i="271"/>
  <c r="N12" i="271"/>
  <c r="E12" i="271"/>
  <c r="AF7" i="271" s="1"/>
  <c r="AJ11" i="271"/>
  <c r="AI11" i="271"/>
  <c r="AH11" i="271"/>
  <c r="AG11" i="271"/>
  <c r="AF11" i="271"/>
  <c r="U11" i="271"/>
  <c r="T11" i="271"/>
  <c r="R11" i="271"/>
  <c r="Q11" i="271"/>
  <c r="P11" i="271"/>
  <c r="N11" i="271"/>
  <c r="E11" i="271"/>
  <c r="AF25" i="271" s="1"/>
  <c r="AJ10" i="271"/>
  <c r="AI10" i="271"/>
  <c r="AH10" i="271"/>
  <c r="AG10" i="271"/>
  <c r="AF10" i="271"/>
  <c r="U10" i="271"/>
  <c r="T10" i="271"/>
  <c r="R10" i="271"/>
  <c r="Q10" i="271"/>
  <c r="P10" i="271"/>
  <c r="N10" i="271"/>
  <c r="E10" i="271"/>
  <c r="AF6" i="271" s="1"/>
  <c r="AJ9" i="271"/>
  <c r="AI9" i="271"/>
  <c r="AH9" i="271"/>
  <c r="AG9" i="271"/>
  <c r="U9" i="271"/>
  <c r="T9" i="271"/>
  <c r="R9" i="271"/>
  <c r="Q9" i="271"/>
  <c r="P9" i="271"/>
  <c r="N9" i="271"/>
  <c r="E9" i="271"/>
  <c r="AF15" i="271" s="1"/>
  <c r="AJ8" i="271"/>
  <c r="AI8" i="271"/>
  <c r="AH8" i="271"/>
  <c r="AG8" i="271"/>
  <c r="U8" i="271"/>
  <c r="T8" i="271"/>
  <c r="R8" i="271"/>
  <c r="Q8" i="271"/>
  <c r="P8" i="271"/>
  <c r="N8" i="271"/>
  <c r="E8" i="271"/>
  <c r="AF24" i="271" s="1"/>
  <c r="AJ7" i="271"/>
  <c r="AI7" i="271"/>
  <c r="AH7" i="271"/>
  <c r="AG7" i="271"/>
  <c r="U7" i="271"/>
  <c r="T7" i="271"/>
  <c r="R7" i="271"/>
  <c r="Q7" i="271"/>
  <c r="P7" i="271"/>
  <c r="N7" i="271"/>
  <c r="E7" i="271"/>
  <c r="AF23" i="271" s="1"/>
  <c r="AJ6" i="271"/>
  <c r="AI6" i="271"/>
  <c r="AH6" i="271"/>
  <c r="AG6" i="271"/>
  <c r="U6" i="271"/>
  <c r="T6" i="271"/>
  <c r="R6" i="271"/>
  <c r="Q6" i="271"/>
  <c r="P6" i="271"/>
  <c r="N6" i="271"/>
  <c r="E6" i="271"/>
  <c r="T46" i="270"/>
  <c r="R46" i="270"/>
  <c r="Q46" i="270"/>
  <c r="P46" i="270"/>
  <c r="N46" i="270"/>
  <c r="T45" i="270"/>
  <c r="R45" i="270"/>
  <c r="Q45" i="270"/>
  <c r="M45" i="270" s="1"/>
  <c r="P45" i="270"/>
  <c r="N45" i="270"/>
  <c r="T44" i="270"/>
  <c r="R44" i="270"/>
  <c r="Q44" i="270"/>
  <c r="P44" i="270"/>
  <c r="N44" i="270"/>
  <c r="AJ31" i="270"/>
  <c r="AI31" i="270"/>
  <c r="AH31" i="270"/>
  <c r="AG31" i="270"/>
  <c r="U31" i="270"/>
  <c r="T31" i="270"/>
  <c r="R31" i="270"/>
  <c r="Q31" i="270"/>
  <c r="M31" i="270" s="1"/>
  <c r="AK22" i="270" s="1"/>
  <c r="P31" i="270"/>
  <c r="N31" i="270"/>
  <c r="E31" i="270"/>
  <c r="AF22" i="270" s="1"/>
  <c r="AJ30" i="270"/>
  <c r="AI30" i="270"/>
  <c r="AH30" i="270"/>
  <c r="AG30" i="270"/>
  <c r="U30" i="270"/>
  <c r="T30" i="270"/>
  <c r="R30" i="270"/>
  <c r="Q30" i="270"/>
  <c r="P30" i="270"/>
  <c r="N30" i="270"/>
  <c r="E30" i="270"/>
  <c r="AF13" i="270" s="1"/>
  <c r="AJ29" i="270"/>
  <c r="AI29" i="270"/>
  <c r="AH29" i="270"/>
  <c r="AG29" i="270"/>
  <c r="U29" i="270"/>
  <c r="T29" i="270"/>
  <c r="R29" i="270"/>
  <c r="Q29" i="270"/>
  <c r="P29" i="270"/>
  <c r="N29" i="270"/>
  <c r="E29" i="270"/>
  <c r="AF21" i="270" s="1"/>
  <c r="AJ28" i="270"/>
  <c r="AI28" i="270"/>
  <c r="AH28" i="270"/>
  <c r="AG28" i="270"/>
  <c r="U28" i="270"/>
  <c r="T28" i="270"/>
  <c r="R28" i="270"/>
  <c r="Q28" i="270"/>
  <c r="M28" i="270" s="1"/>
  <c r="AK31" i="270" s="1"/>
  <c r="P28" i="270"/>
  <c r="N28" i="270"/>
  <c r="E28" i="270"/>
  <c r="AF31" i="270" s="1"/>
  <c r="AJ27" i="270"/>
  <c r="AI27" i="270"/>
  <c r="AH27" i="270"/>
  <c r="AG27" i="270"/>
  <c r="U27" i="270"/>
  <c r="T27" i="270"/>
  <c r="R27" i="270"/>
  <c r="Q27" i="270"/>
  <c r="M27" i="270" s="1"/>
  <c r="AK12" i="270" s="1"/>
  <c r="P27" i="270"/>
  <c r="N27" i="270"/>
  <c r="E27" i="270"/>
  <c r="AF12" i="270" s="1"/>
  <c r="AJ26" i="270"/>
  <c r="AI26" i="270"/>
  <c r="AH26" i="270"/>
  <c r="AG26" i="270"/>
  <c r="U26" i="270"/>
  <c r="T26" i="270"/>
  <c r="R26" i="270"/>
  <c r="Q26" i="270"/>
  <c r="M26" i="270" s="1"/>
  <c r="AK30" i="270" s="1"/>
  <c r="P26" i="270"/>
  <c r="N26" i="270"/>
  <c r="E26" i="270"/>
  <c r="AF30" i="270" s="1"/>
  <c r="AJ25" i="270"/>
  <c r="AI25" i="270"/>
  <c r="AH25" i="270"/>
  <c r="AG25" i="270"/>
  <c r="U25" i="270"/>
  <c r="T25" i="270"/>
  <c r="R25" i="270"/>
  <c r="Q25" i="270"/>
  <c r="P25" i="270"/>
  <c r="N25" i="270"/>
  <c r="E25" i="270"/>
  <c r="AF20" i="270" s="1"/>
  <c r="AJ24" i="270"/>
  <c r="AI24" i="270"/>
  <c r="AH24" i="270"/>
  <c r="AG24" i="270"/>
  <c r="U24" i="270"/>
  <c r="T24" i="270"/>
  <c r="R24" i="270"/>
  <c r="Q24" i="270"/>
  <c r="P24" i="270"/>
  <c r="N24" i="270"/>
  <c r="E24" i="270"/>
  <c r="AF11" i="270" s="1"/>
  <c r="AJ23" i="270"/>
  <c r="AI23" i="270"/>
  <c r="AH23" i="270"/>
  <c r="AG23" i="270"/>
  <c r="U23" i="270"/>
  <c r="T23" i="270"/>
  <c r="R23" i="270"/>
  <c r="Q23" i="270"/>
  <c r="P23" i="270"/>
  <c r="N23" i="270"/>
  <c r="E23" i="270"/>
  <c r="AJ22" i="270"/>
  <c r="AI22" i="270"/>
  <c r="AH22" i="270"/>
  <c r="AG22" i="270"/>
  <c r="U22" i="270"/>
  <c r="T22" i="270"/>
  <c r="R22" i="270"/>
  <c r="Q22" i="270"/>
  <c r="P22" i="270"/>
  <c r="N22" i="270"/>
  <c r="E22" i="270"/>
  <c r="AF9" i="270" s="1"/>
  <c r="AJ21" i="270"/>
  <c r="AI21" i="270"/>
  <c r="AH21" i="270"/>
  <c r="AG21" i="270"/>
  <c r="U21" i="270"/>
  <c r="T21" i="270"/>
  <c r="R21" i="270"/>
  <c r="Q21" i="270"/>
  <c r="P21" i="270"/>
  <c r="N21" i="270"/>
  <c r="E21" i="270"/>
  <c r="AF29" i="270" s="1"/>
  <c r="AJ20" i="270"/>
  <c r="AI20" i="270"/>
  <c r="AH20" i="270"/>
  <c r="AG20" i="270"/>
  <c r="U20" i="270"/>
  <c r="T20" i="270"/>
  <c r="R20" i="270"/>
  <c r="Q20" i="270"/>
  <c r="P20" i="270"/>
  <c r="N20" i="270"/>
  <c r="E20" i="270"/>
  <c r="AF19" i="270" s="1"/>
  <c r="AJ19" i="270"/>
  <c r="AI19" i="270"/>
  <c r="AH19" i="270"/>
  <c r="AG19" i="270"/>
  <c r="U19" i="270"/>
  <c r="T19" i="270"/>
  <c r="R19" i="270"/>
  <c r="Q19" i="270"/>
  <c r="P19" i="270"/>
  <c r="N19" i="270"/>
  <c r="E19" i="270"/>
  <c r="AF28" i="270" s="1"/>
  <c r="AJ18" i="270"/>
  <c r="AI18" i="270"/>
  <c r="AH18" i="270"/>
  <c r="AG18" i="270"/>
  <c r="U18" i="270"/>
  <c r="T18" i="270"/>
  <c r="R18" i="270"/>
  <c r="Q18" i="270"/>
  <c r="P18" i="270"/>
  <c r="N18" i="270"/>
  <c r="E18" i="270"/>
  <c r="AF8" i="270" s="1"/>
  <c r="AJ17" i="270"/>
  <c r="AI17" i="270"/>
  <c r="AH17" i="270"/>
  <c r="AG17" i="270"/>
  <c r="U17" i="270"/>
  <c r="T17" i="270"/>
  <c r="R17" i="270"/>
  <c r="Q17" i="270"/>
  <c r="M17" i="270" s="1"/>
  <c r="AK27" i="270" s="1"/>
  <c r="P17" i="270"/>
  <c r="N17" i="270"/>
  <c r="E17" i="270"/>
  <c r="AF27" i="270" s="1"/>
  <c r="AJ16" i="270"/>
  <c r="AI16" i="270"/>
  <c r="AH16" i="270"/>
  <c r="AG16" i="270"/>
  <c r="U16" i="270"/>
  <c r="T16" i="270"/>
  <c r="R16" i="270"/>
  <c r="Q16" i="270"/>
  <c r="P16" i="270"/>
  <c r="N16" i="270"/>
  <c r="E16" i="270"/>
  <c r="AF26" i="270" s="1"/>
  <c r="AJ15" i="270"/>
  <c r="AI15" i="270"/>
  <c r="AH15" i="270"/>
  <c r="AG15" i="270"/>
  <c r="U15" i="270"/>
  <c r="T15" i="270"/>
  <c r="R15" i="270"/>
  <c r="Q15" i="270"/>
  <c r="M15" i="270" s="1"/>
  <c r="AK18" i="270" s="1"/>
  <c r="P15" i="270"/>
  <c r="N15" i="270"/>
  <c r="E15" i="270"/>
  <c r="AF18" i="270" s="1"/>
  <c r="AJ14" i="270"/>
  <c r="AI14" i="270"/>
  <c r="AH14" i="270"/>
  <c r="AG14" i="270"/>
  <c r="U14" i="270"/>
  <c r="T14" i="270"/>
  <c r="R14" i="270"/>
  <c r="Q14" i="270"/>
  <c r="P14" i="270"/>
  <c r="N14" i="270"/>
  <c r="E14" i="270"/>
  <c r="AF17" i="270" s="1"/>
  <c r="AJ13" i="270"/>
  <c r="AI13" i="270"/>
  <c r="AH13" i="270"/>
  <c r="AG13" i="270"/>
  <c r="U13" i="270"/>
  <c r="T13" i="270"/>
  <c r="R13" i="270"/>
  <c r="Q13" i="270"/>
  <c r="P13" i="270"/>
  <c r="N13" i="270"/>
  <c r="E13" i="270"/>
  <c r="AF16" i="270" s="1"/>
  <c r="AJ12" i="270"/>
  <c r="AI12" i="270"/>
  <c r="AH12" i="270"/>
  <c r="AG12" i="270"/>
  <c r="U12" i="270"/>
  <c r="T12" i="270"/>
  <c r="R12" i="270"/>
  <c r="Q12" i="270"/>
  <c r="P12" i="270"/>
  <c r="N12" i="270"/>
  <c r="E12" i="270"/>
  <c r="AF7" i="270" s="1"/>
  <c r="AJ11" i="270"/>
  <c r="AI11" i="270"/>
  <c r="AH11" i="270"/>
  <c r="AG11" i="270"/>
  <c r="U11" i="270"/>
  <c r="T11" i="270"/>
  <c r="R11" i="270"/>
  <c r="Q11" i="270"/>
  <c r="P11" i="270"/>
  <c r="N11" i="270"/>
  <c r="E11" i="270"/>
  <c r="AF25" i="270" s="1"/>
  <c r="AJ10" i="270"/>
  <c r="AI10" i="270"/>
  <c r="AH10" i="270"/>
  <c r="AG10" i="270"/>
  <c r="AF10" i="270"/>
  <c r="U10" i="270"/>
  <c r="T10" i="270"/>
  <c r="R10" i="270"/>
  <c r="Q10" i="270"/>
  <c r="P10" i="270"/>
  <c r="N10" i="270"/>
  <c r="E10" i="270"/>
  <c r="AF6" i="270" s="1"/>
  <c r="AJ9" i="270"/>
  <c r="AI9" i="270"/>
  <c r="AH9" i="270"/>
  <c r="AG9" i="270"/>
  <c r="U9" i="270"/>
  <c r="T9" i="270"/>
  <c r="R9" i="270"/>
  <c r="M9" i="270" s="1"/>
  <c r="AK15" i="270" s="1"/>
  <c r="Q9" i="270"/>
  <c r="P9" i="270"/>
  <c r="N9" i="270"/>
  <c r="E9" i="270"/>
  <c r="AF15" i="270" s="1"/>
  <c r="AJ8" i="270"/>
  <c r="AI8" i="270"/>
  <c r="AH8" i="270"/>
  <c r="AG8" i="270"/>
  <c r="U8" i="270"/>
  <c r="T8" i="270"/>
  <c r="R8" i="270"/>
  <c r="Q8" i="270"/>
  <c r="P8" i="270"/>
  <c r="N8" i="270"/>
  <c r="E8" i="270"/>
  <c r="AF24" i="270" s="1"/>
  <c r="AJ7" i="270"/>
  <c r="AI7" i="270"/>
  <c r="AH7" i="270"/>
  <c r="AG7" i="270"/>
  <c r="U7" i="270"/>
  <c r="T7" i="270"/>
  <c r="R7" i="270"/>
  <c r="Q7" i="270"/>
  <c r="P7" i="270"/>
  <c r="N7" i="270"/>
  <c r="E7" i="270"/>
  <c r="AF23" i="270" s="1"/>
  <c r="AJ6" i="270"/>
  <c r="AI6" i="270"/>
  <c r="AH6" i="270"/>
  <c r="AG6" i="270"/>
  <c r="U6" i="270"/>
  <c r="T6" i="270"/>
  <c r="R6" i="270"/>
  <c r="Q6" i="270"/>
  <c r="M6" i="270" s="1"/>
  <c r="AK14" i="270" s="1"/>
  <c r="P6" i="270"/>
  <c r="N6" i="270"/>
  <c r="E6" i="270"/>
  <c r="O25" i="270" s="1"/>
  <c r="M13" i="271" l="1"/>
  <c r="AK16" i="271" s="1"/>
  <c r="M29" i="271"/>
  <c r="AK21" i="271" s="1"/>
  <c r="M25" i="270"/>
  <c r="AK20" i="270" s="1"/>
  <c r="M30" i="270"/>
  <c r="AK13" i="270" s="1"/>
  <c r="M19" i="271"/>
  <c r="AK28" i="271" s="1"/>
  <c r="S13" i="271"/>
  <c r="M19" i="270"/>
  <c r="AK28" i="270" s="1"/>
  <c r="M29" i="270"/>
  <c r="AK21" i="270" s="1"/>
  <c r="M44" i="270"/>
  <c r="M6" i="271"/>
  <c r="AK14" i="271" s="1"/>
  <c r="M8" i="271"/>
  <c r="AK24" i="271" s="1"/>
  <c r="M10" i="271"/>
  <c r="AK6" i="271" s="1"/>
  <c r="M22" i="271"/>
  <c r="AK9" i="271" s="1"/>
  <c r="M44" i="271"/>
  <c r="M20" i="271"/>
  <c r="AK19" i="271" s="1"/>
  <c r="M23" i="271"/>
  <c r="AK10" i="271" s="1"/>
  <c r="AC17" i="271"/>
  <c r="M21" i="271"/>
  <c r="AK29" i="271" s="1"/>
  <c r="M13" i="270"/>
  <c r="AK16" i="270" s="1"/>
  <c r="M22" i="270"/>
  <c r="AK9" i="270" s="1"/>
  <c r="M16" i="270"/>
  <c r="AK26" i="270" s="1"/>
  <c r="M14" i="270"/>
  <c r="AK17" i="270" s="1"/>
  <c r="AB8" i="270"/>
  <c r="M12" i="270"/>
  <c r="AK7" i="270" s="1"/>
  <c r="M21" i="270"/>
  <c r="AK29" i="270" s="1"/>
  <c r="M23" i="270"/>
  <c r="AK10" i="270" s="1"/>
  <c r="AB12" i="271"/>
  <c r="AB20" i="271"/>
  <c r="M24" i="271"/>
  <c r="AK11" i="271" s="1"/>
  <c r="M28" i="271"/>
  <c r="AK31" i="271" s="1"/>
  <c r="AB8" i="271"/>
  <c r="M12" i="271"/>
  <c r="AK7" i="271" s="1"/>
  <c r="M7" i="271"/>
  <c r="AK23" i="271" s="1"/>
  <c r="M9" i="271"/>
  <c r="AK15" i="271" s="1"/>
  <c r="M11" i="271"/>
  <c r="AK25" i="271" s="1"/>
  <c r="AB19" i="271"/>
  <c r="S24" i="271"/>
  <c r="AF14" i="271"/>
  <c r="M15" i="271"/>
  <c r="AK18" i="271" s="1"/>
  <c r="M17" i="271"/>
  <c r="AK27" i="271" s="1"/>
  <c r="M25" i="271"/>
  <c r="AK20" i="271" s="1"/>
  <c r="M27" i="271"/>
  <c r="AK12" i="271" s="1"/>
  <c r="M45" i="271"/>
  <c r="AD18" i="271"/>
  <c r="AC6" i="271"/>
  <c r="J44" i="271" s="1"/>
  <c r="AD9" i="271"/>
  <c r="AB16" i="271"/>
  <c r="AD6" i="271"/>
  <c r="K44" i="271" s="1"/>
  <c r="AC22" i="271"/>
  <c r="AD30" i="271"/>
  <c r="AC21" i="271"/>
  <c r="AB15" i="271"/>
  <c r="AC14" i="271"/>
  <c r="J45" i="271" s="1"/>
  <c r="AD22" i="271"/>
  <c r="AB13" i="271"/>
  <c r="AD17" i="271"/>
  <c r="AC20" i="271"/>
  <c r="AC9" i="271"/>
  <c r="AD18" i="270"/>
  <c r="M24" i="270"/>
  <c r="AK11" i="270" s="1"/>
  <c r="M8" i="270"/>
  <c r="AK24" i="270" s="1"/>
  <c r="M7" i="270"/>
  <c r="AK23" i="270" s="1"/>
  <c r="M11" i="270"/>
  <c r="AK25" i="270" s="1"/>
  <c r="M18" i="270"/>
  <c r="AK8" i="270" s="1"/>
  <c r="M20" i="270"/>
  <c r="AK19" i="270" s="1"/>
  <c r="M46" i="270"/>
  <c r="AC9" i="270"/>
  <c r="AC19" i="270"/>
  <c r="AC16" i="270"/>
  <c r="AB28" i="270"/>
  <c r="AC8" i="270"/>
  <c r="AB24" i="270"/>
  <c r="AB12" i="270"/>
  <c r="AC18" i="270"/>
  <c r="AB20" i="270"/>
  <c r="S9" i="270"/>
  <c r="O11" i="270"/>
  <c r="AB27" i="270"/>
  <c r="O29" i="271"/>
  <c r="O19" i="270"/>
  <c r="AD26" i="270"/>
  <c r="O45" i="270"/>
  <c r="O9" i="271"/>
  <c r="S16" i="271"/>
  <c r="AB25" i="271"/>
  <c r="AB13" i="270"/>
  <c r="S15" i="270"/>
  <c r="AB16" i="270"/>
  <c r="AB21" i="270"/>
  <c r="S25" i="270"/>
  <c r="O27" i="270"/>
  <c r="AB29" i="270"/>
  <c r="AB7" i="271"/>
  <c r="AC12" i="271"/>
  <c r="S21" i="271"/>
  <c r="AC30" i="271"/>
  <c r="S25" i="271"/>
  <c r="O8" i="270"/>
  <c r="AD8" i="270"/>
  <c r="M10" i="270"/>
  <c r="AK6" i="270" s="1"/>
  <c r="S12" i="270"/>
  <c r="S13" i="270"/>
  <c r="S21" i="270"/>
  <c r="S23" i="270"/>
  <c r="S29" i="270"/>
  <c r="AC8" i="271"/>
  <c r="AB6" i="271"/>
  <c r="AD13" i="271"/>
  <c r="AD12" i="271"/>
  <c r="AB10" i="271"/>
  <c r="AC7" i="271"/>
  <c r="AB9" i="271"/>
  <c r="O12" i="271"/>
  <c r="AC13" i="271"/>
  <c r="AB27" i="271"/>
  <c r="AD31" i="270"/>
  <c r="AC26" i="270"/>
  <c r="AD23" i="270"/>
  <c r="K46" i="270" s="1"/>
  <c r="AC28" i="270"/>
  <c r="AD25" i="270"/>
  <c r="AB23" i="270"/>
  <c r="AC31" i="270"/>
  <c r="AD28" i="270"/>
  <c r="AB26" i="270"/>
  <c r="AC23" i="270"/>
  <c r="J46" i="270" s="1"/>
  <c r="AC30" i="270"/>
  <c r="AD27" i="270"/>
  <c r="AB30" i="270"/>
  <c r="AC27" i="270"/>
  <c r="AC24" i="271"/>
  <c r="AD29" i="271"/>
  <c r="AC29" i="271"/>
  <c r="AC31" i="271"/>
  <c r="AD28" i="271"/>
  <c r="AB26" i="271"/>
  <c r="AC23" i="271"/>
  <c r="J46" i="271" s="1"/>
  <c r="AB31" i="271"/>
  <c r="S17" i="270"/>
  <c r="O9" i="270"/>
  <c r="O16" i="270"/>
  <c r="AD16" i="270"/>
  <c r="AC17" i="270"/>
  <c r="S20" i="270"/>
  <c r="AC24" i="270"/>
  <c r="AB31" i="270"/>
  <c r="O13" i="271"/>
  <c r="O17" i="271"/>
  <c r="AD26" i="271"/>
  <c r="S29" i="271"/>
  <c r="AD6" i="270"/>
  <c r="K44" i="270" s="1"/>
  <c r="AB14" i="270"/>
  <c r="AB22" i="270"/>
  <c r="O24" i="270"/>
  <c r="AD24" i="270"/>
  <c r="AC25" i="270"/>
  <c r="O30" i="271"/>
  <c r="S26" i="271"/>
  <c r="O22" i="271"/>
  <c r="S18" i="271"/>
  <c r="O14" i="271"/>
  <c r="S10" i="271"/>
  <c r="O6" i="271"/>
  <c r="S28" i="271"/>
  <c r="O24" i="271"/>
  <c r="S20" i="271"/>
  <c r="O16" i="271"/>
  <c r="S12" i="271"/>
  <c r="O8" i="271"/>
  <c r="S46" i="271"/>
  <c r="O44" i="271"/>
  <c r="S31" i="271"/>
  <c r="O27" i="271"/>
  <c r="S23" i="271"/>
  <c r="O19" i="271"/>
  <c r="S15" i="271"/>
  <c r="O11" i="271"/>
  <c r="S7" i="271"/>
  <c r="S45" i="271"/>
  <c r="S30" i="271"/>
  <c r="O26" i="271"/>
  <c r="S22" i="271"/>
  <c r="O18" i="271"/>
  <c r="S14" i="271"/>
  <c r="O10" i="271"/>
  <c r="S6" i="271"/>
  <c r="O46" i="271"/>
  <c r="S44" i="271"/>
  <c r="O31" i="271"/>
  <c r="S27" i="271"/>
  <c r="O23" i="271"/>
  <c r="S19" i="271"/>
  <c r="O15" i="271"/>
  <c r="S11" i="271"/>
  <c r="O7" i="271"/>
  <c r="S9" i="271"/>
  <c r="O45" i="271"/>
  <c r="AC29" i="270"/>
  <c r="AD10" i="271"/>
  <c r="AB11" i="271"/>
  <c r="AC16" i="271"/>
  <c r="AB14" i="271"/>
  <c r="AD21" i="271"/>
  <c r="AD20" i="271"/>
  <c r="AB18" i="271"/>
  <c r="AC15" i="271"/>
  <c r="AB17" i="271"/>
  <c r="O20" i="271"/>
  <c r="O21" i="271"/>
  <c r="AB24" i="271"/>
  <c r="O25" i="271"/>
  <c r="AD25" i="271"/>
  <c r="AB28" i="271"/>
  <c r="S17" i="271"/>
  <c r="O28" i="271"/>
  <c r="AB29" i="271"/>
  <c r="S7" i="270"/>
  <c r="S30" i="270"/>
  <c r="O26" i="270"/>
  <c r="S22" i="270"/>
  <c r="O18" i="270"/>
  <c r="S14" i="270"/>
  <c r="O10" i="270"/>
  <c r="S6" i="270"/>
  <c r="O28" i="270"/>
  <c r="S24" i="270"/>
  <c r="S16" i="270"/>
  <c r="O46" i="270"/>
  <c r="S44" i="270"/>
  <c r="O31" i="270"/>
  <c r="S27" i="270"/>
  <c r="O23" i="270"/>
  <c r="S19" i="270"/>
  <c r="O15" i="270"/>
  <c r="S11" i="270"/>
  <c r="O7" i="270"/>
  <c r="O20" i="270"/>
  <c r="AF14" i="270"/>
  <c r="O12" i="270"/>
  <c r="S8" i="270"/>
  <c r="O30" i="270"/>
  <c r="S26" i="270"/>
  <c r="O22" i="270"/>
  <c r="S18" i="270"/>
  <c r="O14" i="270"/>
  <c r="S10" i="270"/>
  <c r="O6" i="270"/>
  <c r="S46" i="270"/>
  <c r="O44" i="270"/>
  <c r="S31" i="270"/>
  <c r="AB6" i="270"/>
  <c r="S28" i="270"/>
  <c r="AB9" i="270"/>
  <c r="O17" i="270"/>
  <c r="AD30" i="270"/>
  <c r="S45" i="270"/>
  <c r="AC25" i="271"/>
  <c r="AC12" i="270"/>
  <c r="AB7" i="270"/>
  <c r="AD9" i="270"/>
  <c r="AB11" i="270"/>
  <c r="AC13" i="270"/>
  <c r="AD14" i="270"/>
  <c r="K45" i="270" s="1"/>
  <c r="AB17" i="270"/>
  <c r="AC21" i="270"/>
  <c r="AD22" i="270"/>
  <c r="S8" i="271"/>
  <c r="AC10" i="270"/>
  <c r="AD10" i="270"/>
  <c r="AC11" i="270"/>
  <c r="O13" i="270"/>
  <c r="AD13" i="270"/>
  <c r="AC15" i="270"/>
  <c r="AC20" i="270"/>
  <c r="AD17" i="270"/>
  <c r="AB15" i="270"/>
  <c r="AB19" i="270"/>
  <c r="O21" i="270"/>
  <c r="AD21" i="270"/>
  <c r="AB25" i="270"/>
  <c r="O29" i="270"/>
  <c r="AD29" i="270"/>
  <c r="AD11" i="271"/>
  <c r="AD14" i="271"/>
  <c r="K45" i="271" s="1"/>
  <c r="M16" i="271"/>
  <c r="AK26" i="271" s="1"/>
  <c r="AB21" i="271"/>
  <c r="AB23" i="271"/>
  <c r="AC28" i="271"/>
  <c r="AC6" i="270"/>
  <c r="J44" i="270" s="1"/>
  <c r="AD11" i="270"/>
  <c r="AC14" i="270"/>
  <c r="J45" i="270" s="1"/>
  <c r="AD19" i="270"/>
  <c r="AC22" i="270"/>
  <c r="AD7" i="271"/>
  <c r="AC10" i="271"/>
  <c r="AD15" i="271"/>
  <c r="AC18" i="271"/>
  <c r="AD23" i="271"/>
  <c r="K46" i="271" s="1"/>
  <c r="AC26" i="271"/>
  <c r="AD31" i="271"/>
  <c r="AC7" i="270"/>
  <c r="AB10" i="270"/>
  <c r="AD12" i="270"/>
  <c r="AB18" i="270"/>
  <c r="AD20" i="270"/>
  <c r="AD8" i="271"/>
  <c r="AC11" i="271"/>
  <c r="AD16" i="271"/>
  <c r="AC19" i="271"/>
  <c r="AB22" i="271"/>
  <c r="AD24" i="271"/>
  <c r="AC27" i="271"/>
  <c r="AB30" i="271"/>
  <c r="AD7" i="270"/>
  <c r="AD15" i="270"/>
  <c r="AD19" i="271"/>
  <c r="AD27" i="271"/>
  <c r="T46" i="269" l="1"/>
  <c r="R46" i="269"/>
  <c r="Q46" i="269"/>
  <c r="P46" i="269"/>
  <c r="N46" i="269"/>
  <c r="M46" i="269"/>
  <c r="T45" i="269"/>
  <c r="R45" i="269"/>
  <c r="Q45" i="269"/>
  <c r="P45" i="269"/>
  <c r="N45" i="269"/>
  <c r="T44" i="269"/>
  <c r="R44" i="269"/>
  <c r="Q44" i="269"/>
  <c r="P44" i="269"/>
  <c r="N44" i="269"/>
  <c r="AJ31" i="269"/>
  <c r="AI31" i="269"/>
  <c r="AH31" i="269"/>
  <c r="AG31" i="269"/>
  <c r="U31" i="269"/>
  <c r="T31" i="269"/>
  <c r="R31" i="269"/>
  <c r="Q31" i="269"/>
  <c r="M31" i="269" s="1"/>
  <c r="AK22" i="269" s="1"/>
  <c r="P31" i="269"/>
  <c r="N31" i="269"/>
  <c r="E31" i="269"/>
  <c r="AF22" i="269" s="1"/>
  <c r="AJ30" i="269"/>
  <c r="AI30" i="269"/>
  <c r="AH30" i="269"/>
  <c r="AG30" i="269"/>
  <c r="U30" i="269"/>
  <c r="T30" i="269"/>
  <c r="R30" i="269"/>
  <c r="Q30" i="269"/>
  <c r="M30" i="269" s="1"/>
  <c r="AK13" i="269" s="1"/>
  <c r="P30" i="269"/>
  <c r="N30" i="269"/>
  <c r="E30" i="269"/>
  <c r="AF13" i="269" s="1"/>
  <c r="AJ29" i="269"/>
  <c r="AI29" i="269"/>
  <c r="AH29" i="269"/>
  <c r="AG29" i="269"/>
  <c r="U29" i="269"/>
  <c r="T29" i="269"/>
  <c r="R29" i="269"/>
  <c r="Q29" i="269"/>
  <c r="P29" i="269"/>
  <c r="N29" i="269"/>
  <c r="E29" i="269"/>
  <c r="AF21" i="269" s="1"/>
  <c r="AJ28" i="269"/>
  <c r="AI28" i="269"/>
  <c r="AH28" i="269"/>
  <c r="AG28" i="269"/>
  <c r="U28" i="269"/>
  <c r="T28" i="269"/>
  <c r="R28" i="269"/>
  <c r="M28" i="269" s="1"/>
  <c r="AK31" i="269" s="1"/>
  <c r="Q28" i="269"/>
  <c r="P28" i="269"/>
  <c r="N28" i="269"/>
  <c r="E28" i="269"/>
  <c r="AF31" i="269" s="1"/>
  <c r="AJ27" i="269"/>
  <c r="AI27" i="269"/>
  <c r="AH27" i="269"/>
  <c r="AG27" i="269"/>
  <c r="U27" i="269"/>
  <c r="T27" i="269"/>
  <c r="R27" i="269"/>
  <c r="Q27" i="269"/>
  <c r="P27" i="269"/>
  <c r="N27" i="269"/>
  <c r="E27" i="269"/>
  <c r="AF12" i="269" s="1"/>
  <c r="AJ26" i="269"/>
  <c r="AI26" i="269"/>
  <c r="AH26" i="269"/>
  <c r="AG26" i="269"/>
  <c r="U26" i="269"/>
  <c r="T26" i="269"/>
  <c r="R26" i="269"/>
  <c r="Q26" i="269"/>
  <c r="P26" i="269"/>
  <c r="N26" i="269"/>
  <c r="E26" i="269"/>
  <c r="AF30" i="269" s="1"/>
  <c r="AJ25" i="269"/>
  <c r="AI25" i="269"/>
  <c r="AH25" i="269"/>
  <c r="AG25" i="269"/>
  <c r="U25" i="269"/>
  <c r="T25" i="269"/>
  <c r="R25" i="269"/>
  <c r="Q25" i="269"/>
  <c r="P25" i="269"/>
  <c r="N25" i="269"/>
  <c r="E25" i="269"/>
  <c r="AF20" i="269" s="1"/>
  <c r="AJ24" i="269"/>
  <c r="AI24" i="269"/>
  <c r="AH24" i="269"/>
  <c r="AG24" i="269"/>
  <c r="U24" i="269"/>
  <c r="T24" i="269"/>
  <c r="R24" i="269"/>
  <c r="Q24" i="269"/>
  <c r="P24" i="269"/>
  <c r="N24" i="269"/>
  <c r="E24" i="269"/>
  <c r="AF11" i="269" s="1"/>
  <c r="AJ23" i="269"/>
  <c r="AI23" i="269"/>
  <c r="AH23" i="269"/>
  <c r="AG23" i="269"/>
  <c r="AF23" i="269"/>
  <c r="U23" i="269"/>
  <c r="T23" i="269"/>
  <c r="R23" i="269"/>
  <c r="Q23" i="269"/>
  <c r="P23" i="269"/>
  <c r="N23" i="269"/>
  <c r="E23" i="269"/>
  <c r="AF10" i="269" s="1"/>
  <c r="AJ22" i="269"/>
  <c r="AI22" i="269"/>
  <c r="AH22" i="269"/>
  <c r="AG22" i="269"/>
  <c r="U22" i="269"/>
  <c r="T22" i="269"/>
  <c r="R22" i="269"/>
  <c r="Q22" i="269"/>
  <c r="P22" i="269"/>
  <c r="N22" i="269"/>
  <c r="E22" i="269"/>
  <c r="AJ21" i="269"/>
  <c r="AI21" i="269"/>
  <c r="AH21" i="269"/>
  <c r="AG21" i="269"/>
  <c r="U21" i="269"/>
  <c r="T21" i="269"/>
  <c r="R21" i="269"/>
  <c r="Q21" i="269"/>
  <c r="P21" i="269"/>
  <c r="N21" i="269"/>
  <c r="E21" i="269"/>
  <c r="AF29" i="269" s="1"/>
  <c r="AJ20" i="269"/>
  <c r="AI20" i="269"/>
  <c r="AH20" i="269"/>
  <c r="AG20" i="269"/>
  <c r="U20" i="269"/>
  <c r="T20" i="269"/>
  <c r="R20" i="269"/>
  <c r="Q20" i="269"/>
  <c r="P20" i="269"/>
  <c r="N20" i="269"/>
  <c r="E20" i="269"/>
  <c r="AF19" i="269" s="1"/>
  <c r="AJ19" i="269"/>
  <c r="AI19" i="269"/>
  <c r="AH19" i="269"/>
  <c r="AG19" i="269"/>
  <c r="U19" i="269"/>
  <c r="T19" i="269"/>
  <c r="R19" i="269"/>
  <c r="Q19" i="269"/>
  <c r="M19" i="269" s="1"/>
  <c r="AK28" i="269" s="1"/>
  <c r="P19" i="269"/>
  <c r="N19" i="269"/>
  <c r="E19" i="269"/>
  <c r="AF28" i="269" s="1"/>
  <c r="AJ18" i="269"/>
  <c r="AI18" i="269"/>
  <c r="AH18" i="269"/>
  <c r="AG18" i="269"/>
  <c r="U18" i="269"/>
  <c r="T18" i="269"/>
  <c r="R18" i="269"/>
  <c r="Q18" i="269"/>
  <c r="P18" i="269"/>
  <c r="N18" i="269"/>
  <c r="E18" i="269"/>
  <c r="AF8" i="269" s="1"/>
  <c r="AJ17" i="269"/>
  <c r="AI17" i="269"/>
  <c r="AH17" i="269"/>
  <c r="AG17" i="269"/>
  <c r="U17" i="269"/>
  <c r="T17" i="269"/>
  <c r="R17" i="269"/>
  <c r="Q17" i="269"/>
  <c r="M17" i="269" s="1"/>
  <c r="AK27" i="269" s="1"/>
  <c r="P17" i="269"/>
  <c r="N17" i="269"/>
  <c r="E17" i="269"/>
  <c r="AF27" i="269" s="1"/>
  <c r="AJ16" i="269"/>
  <c r="AI16" i="269"/>
  <c r="AH16" i="269"/>
  <c r="AG16" i="269"/>
  <c r="U16" i="269"/>
  <c r="T16" i="269"/>
  <c r="R16" i="269"/>
  <c r="Q16" i="269"/>
  <c r="P16" i="269"/>
  <c r="N16" i="269"/>
  <c r="E16" i="269"/>
  <c r="AF26" i="269" s="1"/>
  <c r="AJ15" i="269"/>
  <c r="AI15" i="269"/>
  <c r="AH15" i="269"/>
  <c r="AG15" i="269"/>
  <c r="U15" i="269"/>
  <c r="T15" i="269"/>
  <c r="R15" i="269"/>
  <c r="Q15" i="269"/>
  <c r="P15" i="269"/>
  <c r="N15" i="269"/>
  <c r="E15" i="269"/>
  <c r="AF18" i="269" s="1"/>
  <c r="AJ14" i="269"/>
  <c r="AI14" i="269"/>
  <c r="AH14" i="269"/>
  <c r="AG14" i="269"/>
  <c r="U14" i="269"/>
  <c r="T14" i="269"/>
  <c r="R14" i="269"/>
  <c r="Q14" i="269"/>
  <c r="P14" i="269"/>
  <c r="N14" i="269"/>
  <c r="E14" i="269"/>
  <c r="AF17" i="269" s="1"/>
  <c r="AJ13" i="269"/>
  <c r="AI13" i="269"/>
  <c r="AH13" i="269"/>
  <c r="AG13" i="269"/>
  <c r="U13" i="269"/>
  <c r="T13" i="269"/>
  <c r="R13" i="269"/>
  <c r="Q13" i="269"/>
  <c r="M13" i="269" s="1"/>
  <c r="AK16" i="269" s="1"/>
  <c r="P13" i="269"/>
  <c r="N13" i="269"/>
  <c r="E13" i="269"/>
  <c r="AF16" i="269" s="1"/>
  <c r="AJ12" i="269"/>
  <c r="AI12" i="269"/>
  <c r="AH12" i="269"/>
  <c r="AG12" i="269"/>
  <c r="U12" i="269"/>
  <c r="T12" i="269"/>
  <c r="R12" i="269"/>
  <c r="Q12" i="269"/>
  <c r="P12" i="269"/>
  <c r="N12" i="269"/>
  <c r="E12" i="269"/>
  <c r="AF7" i="269" s="1"/>
  <c r="AJ11" i="269"/>
  <c r="AI11" i="269"/>
  <c r="AH11" i="269"/>
  <c r="AG11" i="269"/>
  <c r="U11" i="269"/>
  <c r="T11" i="269"/>
  <c r="R11" i="269"/>
  <c r="Q11" i="269"/>
  <c r="P11" i="269"/>
  <c r="N11" i="269"/>
  <c r="E11" i="269"/>
  <c r="AF25" i="269" s="1"/>
  <c r="AJ10" i="269"/>
  <c r="AI10" i="269"/>
  <c r="AH10" i="269"/>
  <c r="AG10" i="269"/>
  <c r="U10" i="269"/>
  <c r="T10" i="269"/>
  <c r="R10" i="269"/>
  <c r="Q10" i="269"/>
  <c r="P10" i="269"/>
  <c r="N10" i="269"/>
  <c r="E10" i="269"/>
  <c r="AJ9" i="269"/>
  <c r="AI9" i="269"/>
  <c r="AH9" i="269"/>
  <c r="AG9" i="269"/>
  <c r="AF9" i="269"/>
  <c r="U9" i="269"/>
  <c r="T9" i="269"/>
  <c r="R9" i="269"/>
  <c r="Q9" i="269"/>
  <c r="P9" i="269"/>
  <c r="N9" i="269"/>
  <c r="E9" i="269"/>
  <c r="AF15" i="269" s="1"/>
  <c r="AJ8" i="269"/>
  <c r="AI8" i="269"/>
  <c r="AH8" i="269"/>
  <c r="AG8" i="269"/>
  <c r="U8" i="269"/>
  <c r="T8" i="269"/>
  <c r="R8" i="269"/>
  <c r="Q8" i="269"/>
  <c r="P8" i="269"/>
  <c r="N8" i="269"/>
  <c r="E8" i="269"/>
  <c r="AF24" i="269" s="1"/>
  <c r="AJ7" i="269"/>
  <c r="AI7" i="269"/>
  <c r="AH7" i="269"/>
  <c r="AG7" i="269"/>
  <c r="U7" i="269"/>
  <c r="T7" i="269"/>
  <c r="R7" i="269"/>
  <c r="Q7" i="269"/>
  <c r="M7" i="269" s="1"/>
  <c r="AK23" i="269" s="1"/>
  <c r="P7" i="269"/>
  <c r="N7" i="269"/>
  <c r="E7" i="269"/>
  <c r="AJ6" i="269"/>
  <c r="AI6" i="269"/>
  <c r="AH6" i="269"/>
  <c r="AG6" i="269"/>
  <c r="U6" i="269"/>
  <c r="T6" i="269"/>
  <c r="R6" i="269"/>
  <c r="Q6" i="269"/>
  <c r="P6" i="269"/>
  <c r="N6" i="269"/>
  <c r="E6" i="269"/>
  <c r="M6" i="269" l="1"/>
  <c r="AK14" i="269" s="1"/>
  <c r="M16" i="269"/>
  <c r="AK26" i="269" s="1"/>
  <c r="M21" i="269"/>
  <c r="AK29" i="269" s="1"/>
  <c r="S21" i="269"/>
  <c r="M15" i="269"/>
  <c r="AK18" i="269" s="1"/>
  <c r="M25" i="269"/>
  <c r="AK20" i="269" s="1"/>
  <c r="M8" i="269"/>
  <c r="AK24" i="269" s="1"/>
  <c r="M18" i="269"/>
  <c r="AK8" i="269" s="1"/>
  <c r="M23" i="269"/>
  <c r="AK10" i="269" s="1"/>
  <c r="M20" i="269"/>
  <c r="AK19" i="269" s="1"/>
  <c r="M11" i="269"/>
  <c r="AK25" i="269" s="1"/>
  <c r="M14" i="269"/>
  <c r="AK17" i="269" s="1"/>
  <c r="M26" i="269"/>
  <c r="AK30" i="269" s="1"/>
  <c r="M29" i="269"/>
  <c r="AK21" i="269" s="1"/>
  <c r="M44" i="269"/>
  <c r="M27" i="269"/>
  <c r="AK12" i="269" s="1"/>
  <c r="M10" i="269"/>
  <c r="AK6" i="269" s="1"/>
  <c r="S24" i="269"/>
  <c r="AB28" i="269"/>
  <c r="AD14" i="269"/>
  <c r="K45" i="269" s="1"/>
  <c r="M9" i="269"/>
  <c r="AK15" i="269" s="1"/>
  <c r="M12" i="269"/>
  <c r="AK7" i="269" s="1"/>
  <c r="M22" i="269"/>
  <c r="AK9" i="269" s="1"/>
  <c r="M24" i="269"/>
  <c r="AK11" i="269" s="1"/>
  <c r="M45" i="269"/>
  <c r="AC25" i="269"/>
  <c r="S29" i="269"/>
  <c r="S13" i="269"/>
  <c r="O30" i="269"/>
  <c r="AC9" i="269"/>
  <c r="AF14" i="269"/>
  <c r="AD6" i="269"/>
  <c r="K44" i="269" s="1"/>
  <c r="O28" i="269"/>
  <c r="S16" i="269"/>
  <c r="S8" i="269"/>
  <c r="AC22" i="269"/>
  <c r="AC30" i="269"/>
  <c r="AB9" i="269"/>
  <c r="AC14" i="269"/>
  <c r="J45" i="269" s="1"/>
  <c r="AB25" i="269"/>
  <c r="AB27" i="269"/>
  <c r="AB17" i="269"/>
  <c r="AB11" i="269"/>
  <c r="AD11" i="269"/>
  <c r="AB7" i="269"/>
  <c r="AC17" i="269"/>
  <c r="AB19" i="269"/>
  <c r="AB15" i="269"/>
  <c r="AD30" i="269"/>
  <c r="AC6" i="269"/>
  <c r="J44" i="269" s="1"/>
  <c r="AB24" i="269"/>
  <c r="O9" i="269"/>
  <c r="O17" i="269"/>
  <c r="O45" i="269"/>
  <c r="AF6" i="269"/>
  <c r="AD9" i="269"/>
  <c r="AC12" i="269"/>
  <c r="AD17" i="269"/>
  <c r="AB23" i="269"/>
  <c r="AD25" i="269"/>
  <c r="AC28" i="269"/>
  <c r="AB31" i="269"/>
  <c r="O7" i="269"/>
  <c r="AC7" i="269"/>
  <c r="S11" i="269"/>
  <c r="AD12" i="269"/>
  <c r="S19" i="269"/>
  <c r="AD20" i="269"/>
  <c r="O23" i="269"/>
  <c r="AC23" i="269"/>
  <c r="J46" i="269" s="1"/>
  <c r="AB26" i="269"/>
  <c r="S27" i="269"/>
  <c r="AD28" i="269"/>
  <c r="O31" i="269"/>
  <c r="AC31" i="269"/>
  <c r="S44" i="269"/>
  <c r="O46" i="269"/>
  <c r="S6" i="269"/>
  <c r="AD7" i="269"/>
  <c r="O10" i="269"/>
  <c r="AC10" i="269"/>
  <c r="AB13" i="269"/>
  <c r="S14" i="269"/>
  <c r="AD15" i="269"/>
  <c r="O18" i="269"/>
  <c r="AC18" i="269"/>
  <c r="AB21" i="269"/>
  <c r="S22" i="269"/>
  <c r="AD23" i="269"/>
  <c r="K46" i="269" s="1"/>
  <c r="O26" i="269"/>
  <c r="AC26" i="269"/>
  <c r="AB29" i="269"/>
  <c r="S30" i="269"/>
  <c r="AD31" i="269"/>
  <c r="AD22" i="269"/>
  <c r="O12" i="269"/>
  <c r="AB10" i="269"/>
  <c r="AB8" i="269"/>
  <c r="S9" i="269"/>
  <c r="AD10" i="269"/>
  <c r="O13" i="269"/>
  <c r="AD18" i="269"/>
  <c r="AD26" i="269"/>
  <c r="O29" i="269"/>
  <c r="AC29" i="269"/>
  <c r="S45" i="269"/>
  <c r="O8" i="269"/>
  <c r="AC8" i="269"/>
  <c r="S12" i="269"/>
  <c r="AD13" i="269"/>
  <c r="O16" i="269"/>
  <c r="AC16" i="269"/>
  <c r="S20" i="269"/>
  <c r="AD21" i="269"/>
  <c r="O24" i="269"/>
  <c r="AC24" i="269"/>
  <c r="S28" i="269"/>
  <c r="AD29" i="269"/>
  <c r="AB12" i="269"/>
  <c r="AB20" i="269"/>
  <c r="O20" i="269"/>
  <c r="O15" i="269"/>
  <c r="AC15" i="269"/>
  <c r="AB18" i="269"/>
  <c r="AC13" i="269"/>
  <c r="O21" i="269"/>
  <c r="AC21" i="269"/>
  <c r="AB6" i="269"/>
  <c r="S7" i="269"/>
  <c r="AD8" i="269"/>
  <c r="O11" i="269"/>
  <c r="AC11" i="269"/>
  <c r="AB14" i="269"/>
  <c r="S15" i="269"/>
  <c r="AD16" i="269"/>
  <c r="O19" i="269"/>
  <c r="AC19" i="269"/>
  <c r="AB22" i="269"/>
  <c r="S23" i="269"/>
  <c r="AD24" i="269"/>
  <c r="O27" i="269"/>
  <c r="AC27" i="269"/>
  <c r="AB30" i="269"/>
  <c r="S31" i="269"/>
  <c r="O44" i="269"/>
  <c r="S46" i="269"/>
  <c r="O25" i="269"/>
  <c r="AC20" i="269"/>
  <c r="AB16" i="269"/>
  <c r="S17" i="269"/>
  <c r="S25" i="269"/>
  <c r="O6" i="269"/>
  <c r="S10" i="269"/>
  <c r="O14" i="269"/>
  <c r="S18" i="269"/>
  <c r="AD19" i="269"/>
  <c r="O22" i="269"/>
  <c r="S26" i="269"/>
  <c r="AD27" i="269"/>
  <c r="T46" i="268"/>
  <c r="R46" i="268"/>
  <c r="Q46" i="268"/>
  <c r="P46" i="268"/>
  <c r="N46" i="268"/>
  <c r="T45" i="268"/>
  <c r="R45" i="268"/>
  <c r="Q45" i="268"/>
  <c r="P45" i="268"/>
  <c r="N45" i="268"/>
  <c r="T44" i="268"/>
  <c r="R44" i="268"/>
  <c r="Q44" i="268"/>
  <c r="P44" i="268"/>
  <c r="N44" i="268"/>
  <c r="AJ31" i="268"/>
  <c r="AI31" i="268"/>
  <c r="AH31" i="268"/>
  <c r="AG31" i="268"/>
  <c r="U31" i="268"/>
  <c r="T31" i="268"/>
  <c r="R31" i="268"/>
  <c r="Q31" i="268"/>
  <c r="M31" i="268" s="1"/>
  <c r="AK22" i="268" s="1"/>
  <c r="P31" i="268"/>
  <c r="N31" i="268"/>
  <c r="E31" i="268"/>
  <c r="AF22" i="268" s="1"/>
  <c r="AJ30" i="268"/>
  <c r="AI30" i="268"/>
  <c r="AH30" i="268"/>
  <c r="AG30" i="268"/>
  <c r="U30" i="268"/>
  <c r="T30" i="268"/>
  <c r="R30" i="268"/>
  <c r="Q30" i="268"/>
  <c r="P30" i="268"/>
  <c r="N30" i="268"/>
  <c r="E30" i="268"/>
  <c r="AF13" i="268" s="1"/>
  <c r="AJ29" i="268"/>
  <c r="AI29" i="268"/>
  <c r="AH29" i="268"/>
  <c r="AG29" i="268"/>
  <c r="U29" i="268"/>
  <c r="T29" i="268"/>
  <c r="R29" i="268"/>
  <c r="Q29" i="268"/>
  <c r="P29" i="268"/>
  <c r="N29" i="268"/>
  <c r="E29" i="268"/>
  <c r="AF21" i="268" s="1"/>
  <c r="AJ28" i="268"/>
  <c r="AI28" i="268"/>
  <c r="AH28" i="268"/>
  <c r="AG28" i="268"/>
  <c r="U28" i="268"/>
  <c r="T28" i="268"/>
  <c r="R28" i="268"/>
  <c r="Q28" i="268"/>
  <c r="P28" i="268"/>
  <c r="N28" i="268"/>
  <c r="E28" i="268"/>
  <c r="AF31" i="268" s="1"/>
  <c r="AJ27" i="268"/>
  <c r="AI27" i="268"/>
  <c r="AH27" i="268"/>
  <c r="AG27" i="268"/>
  <c r="U27" i="268"/>
  <c r="T27" i="268"/>
  <c r="R27" i="268"/>
  <c r="Q27" i="268"/>
  <c r="P27" i="268"/>
  <c r="N27" i="268"/>
  <c r="E27" i="268"/>
  <c r="AF12" i="268" s="1"/>
  <c r="AJ26" i="268"/>
  <c r="AI26" i="268"/>
  <c r="AH26" i="268"/>
  <c r="AG26" i="268"/>
  <c r="U26" i="268"/>
  <c r="T26" i="268"/>
  <c r="R26" i="268"/>
  <c r="Q26" i="268"/>
  <c r="M26" i="268" s="1"/>
  <c r="AK30" i="268" s="1"/>
  <c r="P26" i="268"/>
  <c r="N26" i="268"/>
  <c r="E26" i="268"/>
  <c r="AF30" i="268" s="1"/>
  <c r="AJ25" i="268"/>
  <c r="AI25" i="268"/>
  <c r="AH25" i="268"/>
  <c r="AG25" i="268"/>
  <c r="U25" i="268"/>
  <c r="T25" i="268"/>
  <c r="R25" i="268"/>
  <c r="Q25" i="268"/>
  <c r="P25" i="268"/>
  <c r="N25" i="268"/>
  <c r="E25" i="268"/>
  <c r="AF20" i="268" s="1"/>
  <c r="AJ24" i="268"/>
  <c r="AI24" i="268"/>
  <c r="AH24" i="268"/>
  <c r="AG24" i="268"/>
  <c r="U24" i="268"/>
  <c r="T24" i="268"/>
  <c r="R24" i="268"/>
  <c r="Q24" i="268"/>
  <c r="P24" i="268"/>
  <c r="N24" i="268"/>
  <c r="E24" i="268"/>
  <c r="AF11" i="268" s="1"/>
  <c r="AJ23" i="268"/>
  <c r="AI23" i="268"/>
  <c r="AH23" i="268"/>
  <c r="AG23" i="268"/>
  <c r="U23" i="268"/>
  <c r="T23" i="268"/>
  <c r="R23" i="268"/>
  <c r="Q23" i="268"/>
  <c r="M23" i="268" s="1"/>
  <c r="AK10" i="268" s="1"/>
  <c r="P23" i="268"/>
  <c r="N23" i="268"/>
  <c r="E23" i="268"/>
  <c r="AF10" i="268" s="1"/>
  <c r="AJ22" i="268"/>
  <c r="AI22" i="268"/>
  <c r="AH22" i="268"/>
  <c r="AG22" i="268"/>
  <c r="U22" i="268"/>
  <c r="T22" i="268"/>
  <c r="R22" i="268"/>
  <c r="Q22" i="268"/>
  <c r="P22" i="268"/>
  <c r="N22" i="268"/>
  <c r="E22" i="268"/>
  <c r="AF9" i="268" s="1"/>
  <c r="AJ21" i="268"/>
  <c r="AI21" i="268"/>
  <c r="AH21" i="268"/>
  <c r="AG21" i="268"/>
  <c r="U21" i="268"/>
  <c r="T21" i="268"/>
  <c r="R21" i="268"/>
  <c r="Q21" i="268"/>
  <c r="M21" i="268" s="1"/>
  <c r="AK29" i="268" s="1"/>
  <c r="P21" i="268"/>
  <c r="N21" i="268"/>
  <c r="E21" i="268"/>
  <c r="AF29" i="268" s="1"/>
  <c r="AJ20" i="268"/>
  <c r="AI20" i="268"/>
  <c r="AH20" i="268"/>
  <c r="AG20" i="268"/>
  <c r="U20" i="268"/>
  <c r="T20" i="268"/>
  <c r="R20" i="268"/>
  <c r="Q20" i="268"/>
  <c r="P20" i="268"/>
  <c r="N20" i="268"/>
  <c r="E20" i="268"/>
  <c r="AF19" i="268" s="1"/>
  <c r="AJ19" i="268"/>
  <c r="AI19" i="268"/>
  <c r="AH19" i="268"/>
  <c r="AG19" i="268"/>
  <c r="U19" i="268"/>
  <c r="T19" i="268"/>
  <c r="R19" i="268"/>
  <c r="Q19" i="268"/>
  <c r="P19" i="268"/>
  <c r="N19" i="268"/>
  <c r="E19" i="268"/>
  <c r="AF28" i="268" s="1"/>
  <c r="AJ18" i="268"/>
  <c r="AI18" i="268"/>
  <c r="AH18" i="268"/>
  <c r="AG18" i="268"/>
  <c r="U18" i="268"/>
  <c r="T18" i="268"/>
  <c r="R18" i="268"/>
  <c r="Q18" i="268"/>
  <c r="M18" i="268" s="1"/>
  <c r="AK8" i="268" s="1"/>
  <c r="P18" i="268"/>
  <c r="N18" i="268"/>
  <c r="E18" i="268"/>
  <c r="AF8" i="268" s="1"/>
  <c r="AJ17" i="268"/>
  <c r="AI17" i="268"/>
  <c r="AH17" i="268"/>
  <c r="AG17" i="268"/>
  <c r="U17" i="268"/>
  <c r="T17" i="268"/>
  <c r="R17" i="268"/>
  <c r="Q17" i="268"/>
  <c r="M17" i="268" s="1"/>
  <c r="AK27" i="268" s="1"/>
  <c r="P17" i="268"/>
  <c r="N17" i="268"/>
  <c r="E17" i="268"/>
  <c r="AF27" i="268" s="1"/>
  <c r="AJ16" i="268"/>
  <c r="AI16" i="268"/>
  <c r="AH16" i="268"/>
  <c r="AG16" i="268"/>
  <c r="U16" i="268"/>
  <c r="T16" i="268"/>
  <c r="R16" i="268"/>
  <c r="Q16" i="268"/>
  <c r="P16" i="268"/>
  <c r="N16" i="268"/>
  <c r="E16" i="268"/>
  <c r="AF26" i="268" s="1"/>
  <c r="AJ15" i="268"/>
  <c r="AI15" i="268"/>
  <c r="AH15" i="268"/>
  <c r="AG15" i="268"/>
  <c r="U15" i="268"/>
  <c r="T15" i="268"/>
  <c r="R15" i="268"/>
  <c r="Q15" i="268"/>
  <c r="P15" i="268"/>
  <c r="N15" i="268"/>
  <c r="E15" i="268"/>
  <c r="AF18" i="268" s="1"/>
  <c r="AJ14" i="268"/>
  <c r="AI14" i="268"/>
  <c r="AH14" i="268"/>
  <c r="AG14" i="268"/>
  <c r="U14" i="268"/>
  <c r="T14" i="268"/>
  <c r="R14" i="268"/>
  <c r="Q14" i="268"/>
  <c r="P14" i="268"/>
  <c r="N14" i="268"/>
  <c r="E14" i="268"/>
  <c r="AF17" i="268" s="1"/>
  <c r="AJ13" i="268"/>
  <c r="AI13" i="268"/>
  <c r="AH13" i="268"/>
  <c r="AG13" i="268"/>
  <c r="U13" i="268"/>
  <c r="T13" i="268"/>
  <c r="R13" i="268"/>
  <c r="Q13" i="268"/>
  <c r="M13" i="268" s="1"/>
  <c r="AK16" i="268" s="1"/>
  <c r="P13" i="268"/>
  <c r="N13" i="268"/>
  <c r="E13" i="268"/>
  <c r="AF16" i="268" s="1"/>
  <c r="AJ12" i="268"/>
  <c r="AI12" i="268"/>
  <c r="AH12" i="268"/>
  <c r="AG12" i="268"/>
  <c r="U12" i="268"/>
  <c r="T12" i="268"/>
  <c r="R12" i="268"/>
  <c r="Q12" i="268"/>
  <c r="P12" i="268"/>
  <c r="N12" i="268"/>
  <c r="E12" i="268"/>
  <c r="AF7" i="268" s="1"/>
  <c r="AJ11" i="268"/>
  <c r="AI11" i="268"/>
  <c r="AH11" i="268"/>
  <c r="AG11" i="268"/>
  <c r="U11" i="268"/>
  <c r="T11" i="268"/>
  <c r="R11" i="268"/>
  <c r="Q11" i="268"/>
  <c r="P11" i="268"/>
  <c r="N11" i="268"/>
  <c r="E11" i="268"/>
  <c r="AF25" i="268" s="1"/>
  <c r="AJ10" i="268"/>
  <c r="AI10" i="268"/>
  <c r="AH10" i="268"/>
  <c r="AG10" i="268"/>
  <c r="U10" i="268"/>
  <c r="T10" i="268"/>
  <c r="R10" i="268"/>
  <c r="Q10" i="268"/>
  <c r="M10" i="268" s="1"/>
  <c r="AK6" i="268" s="1"/>
  <c r="P10" i="268"/>
  <c r="N10" i="268"/>
  <c r="E10" i="268"/>
  <c r="AJ9" i="268"/>
  <c r="AI9" i="268"/>
  <c r="AH9" i="268"/>
  <c r="AG9" i="268"/>
  <c r="U9" i="268"/>
  <c r="T9" i="268"/>
  <c r="R9" i="268"/>
  <c r="Q9" i="268"/>
  <c r="M9" i="268" s="1"/>
  <c r="AK15" i="268" s="1"/>
  <c r="P9" i="268"/>
  <c r="N9" i="268"/>
  <c r="E9" i="268"/>
  <c r="AF15" i="268" s="1"/>
  <c r="AJ8" i="268"/>
  <c r="AI8" i="268"/>
  <c r="AH8" i="268"/>
  <c r="AG8" i="268"/>
  <c r="U8" i="268"/>
  <c r="T8" i="268"/>
  <c r="R8" i="268"/>
  <c r="Q8" i="268"/>
  <c r="P8" i="268"/>
  <c r="N8" i="268"/>
  <c r="E8" i="268"/>
  <c r="AF24" i="268" s="1"/>
  <c r="AJ7" i="268"/>
  <c r="AI7" i="268"/>
  <c r="AH7" i="268"/>
  <c r="AG7" i="268"/>
  <c r="U7" i="268"/>
  <c r="T7" i="268"/>
  <c r="R7" i="268"/>
  <c r="Q7" i="268"/>
  <c r="P7" i="268"/>
  <c r="N7" i="268"/>
  <c r="E7" i="268"/>
  <c r="AF23" i="268" s="1"/>
  <c r="AJ6" i="268"/>
  <c r="AI6" i="268"/>
  <c r="AH6" i="268"/>
  <c r="AG6" i="268"/>
  <c r="U6" i="268"/>
  <c r="T6" i="268"/>
  <c r="R6" i="268"/>
  <c r="Q6" i="268"/>
  <c r="P6" i="268"/>
  <c r="N6" i="268"/>
  <c r="E6" i="268"/>
  <c r="M7" i="268" l="1"/>
  <c r="AK23" i="268" s="1"/>
  <c r="M45" i="268"/>
  <c r="M15" i="268"/>
  <c r="AK18" i="268" s="1"/>
  <c r="M11" i="268"/>
  <c r="AK25" i="268" s="1"/>
  <c r="M29" i="268"/>
  <c r="AK21" i="268" s="1"/>
  <c r="M19" i="268"/>
  <c r="AK28" i="268" s="1"/>
  <c r="M27" i="268"/>
  <c r="AK12" i="268" s="1"/>
  <c r="M46" i="268"/>
  <c r="M44" i="268"/>
  <c r="M25" i="268"/>
  <c r="AK20" i="268" s="1"/>
  <c r="M30" i="268"/>
  <c r="AK13" i="268" s="1"/>
  <c r="M8" i="268"/>
  <c r="AK24" i="268" s="1"/>
  <c r="O9" i="268"/>
  <c r="O30" i="268"/>
  <c r="O20" i="268"/>
  <c r="AB20" i="268"/>
  <c r="AF14" i="268"/>
  <c r="M6" i="268"/>
  <c r="AK14" i="268" s="1"/>
  <c r="M16" i="268"/>
  <c r="AK26" i="268" s="1"/>
  <c r="M24" i="268"/>
  <c r="AK11" i="268" s="1"/>
  <c r="M12" i="268"/>
  <c r="AK7" i="268" s="1"/>
  <c r="M14" i="268"/>
  <c r="AK17" i="268" s="1"/>
  <c r="M20" i="268"/>
  <c r="AK19" i="268" s="1"/>
  <c r="M22" i="268"/>
  <c r="AK9" i="268" s="1"/>
  <c r="M28" i="268"/>
  <c r="AK31" i="268" s="1"/>
  <c r="AC30" i="268"/>
  <c r="AB12" i="268"/>
  <c r="AC22" i="268"/>
  <c r="AD6" i="268"/>
  <c r="K44" i="268" s="1"/>
  <c r="AB27" i="268"/>
  <c r="AD20" i="268"/>
  <c r="AB9" i="268"/>
  <c r="AB28" i="268"/>
  <c r="AC17" i="268"/>
  <c r="AB22" i="268"/>
  <c r="AD26" i="268"/>
  <c r="AB30" i="268"/>
  <c r="AD11" i="268"/>
  <c r="AD12" i="268"/>
  <c r="AB13" i="268"/>
  <c r="AC25" i="268"/>
  <c r="AB25" i="268"/>
  <c r="AB29" i="268"/>
  <c r="AB11" i="268"/>
  <c r="AD14" i="268"/>
  <c r="K45" i="268" s="1"/>
  <c r="AB17" i="268"/>
  <c r="AB19" i="268"/>
  <c r="AC9" i="268"/>
  <c r="AB21" i="268"/>
  <c r="S21" i="268"/>
  <c r="AB7" i="268"/>
  <c r="AD9" i="268"/>
  <c r="AB23" i="268"/>
  <c r="S24" i="268"/>
  <c r="AD25" i="268"/>
  <c r="O28" i="268"/>
  <c r="AC28" i="268"/>
  <c r="AC7" i="268"/>
  <c r="S27" i="268"/>
  <c r="O31" i="268"/>
  <c r="S14" i="268"/>
  <c r="AD15" i="268"/>
  <c r="S22" i="268"/>
  <c r="AB8" i="268"/>
  <c r="S9" i="268"/>
  <c r="AD10" i="268"/>
  <c r="O13" i="268"/>
  <c r="AB16" i="268"/>
  <c r="S17" i="268"/>
  <c r="O29" i="268"/>
  <c r="O8" i="268"/>
  <c r="AC8" i="268"/>
  <c r="S12" i="268"/>
  <c r="AD13" i="268"/>
  <c r="O16" i="268"/>
  <c r="AC16" i="268"/>
  <c r="S20" i="268"/>
  <c r="AD21" i="268"/>
  <c r="O24" i="268"/>
  <c r="AC24" i="268"/>
  <c r="S28" i="268"/>
  <c r="AD29" i="268"/>
  <c r="S13" i="268"/>
  <c r="AD22" i="268"/>
  <c r="O25" i="268"/>
  <c r="AF6" i="268"/>
  <c r="S8" i="268"/>
  <c r="O12" i="268"/>
  <c r="AC12" i="268"/>
  <c r="AB15" i="268"/>
  <c r="AB10" i="268"/>
  <c r="AC15" i="268"/>
  <c r="S19" i="268"/>
  <c r="AC23" i="268"/>
  <c r="J46" i="268" s="1"/>
  <c r="AC31" i="268"/>
  <c r="S44" i="268"/>
  <c r="S6" i="268"/>
  <c r="AD7" i="268"/>
  <c r="AC26" i="268"/>
  <c r="S30" i="268"/>
  <c r="AC13" i="268"/>
  <c r="AD18" i="268"/>
  <c r="O21" i="268"/>
  <c r="AC21" i="268"/>
  <c r="AB24" i="268"/>
  <c r="S25" i="268"/>
  <c r="AC29" i="268"/>
  <c r="AB6" i="268"/>
  <c r="S7" i="268"/>
  <c r="AD8" i="268"/>
  <c r="O11" i="268"/>
  <c r="AC11" i="268"/>
  <c r="AB14" i="268"/>
  <c r="S15" i="268"/>
  <c r="AD16" i="268"/>
  <c r="O19" i="268"/>
  <c r="AC19" i="268"/>
  <c r="S23" i="268"/>
  <c r="AD24" i="268"/>
  <c r="O27" i="268"/>
  <c r="AC27" i="268"/>
  <c r="S31" i="268"/>
  <c r="O44" i="268"/>
  <c r="S46" i="268"/>
  <c r="O17" i="268"/>
  <c r="S29" i="268"/>
  <c r="AD30" i="268"/>
  <c r="O45" i="268"/>
  <c r="S16" i="268"/>
  <c r="AD17" i="268"/>
  <c r="AC20" i="268"/>
  <c r="AB31" i="268"/>
  <c r="O7" i="268"/>
  <c r="S11" i="268"/>
  <c r="O15" i="268"/>
  <c r="AB18" i="268"/>
  <c r="O23" i="268"/>
  <c r="AB26" i="268"/>
  <c r="AD28" i="268"/>
  <c r="O46" i="268"/>
  <c r="O10" i="268"/>
  <c r="AC10" i="268"/>
  <c r="O18" i="268"/>
  <c r="AC18" i="268"/>
  <c r="AD23" i="268"/>
  <c r="K46" i="268" s="1"/>
  <c r="O26" i="268"/>
  <c r="AD31" i="268"/>
  <c r="S45" i="268"/>
  <c r="O6" i="268"/>
  <c r="AC6" i="268"/>
  <c r="J44" i="268" s="1"/>
  <c r="S10" i="268"/>
  <c r="O14" i="268"/>
  <c r="AC14" i="268"/>
  <c r="J45" i="268" s="1"/>
  <c r="S18" i="268"/>
  <c r="AD19" i="268"/>
  <c r="O22" i="268"/>
  <c r="S26" i="268"/>
  <c r="AD27" i="268"/>
  <c r="T46" i="267" l="1"/>
  <c r="R46" i="267"/>
  <c r="Q46" i="267"/>
  <c r="P46" i="267"/>
  <c r="N46" i="267"/>
  <c r="M46" i="267"/>
  <c r="T45" i="267"/>
  <c r="R45" i="267"/>
  <c r="Q45" i="267"/>
  <c r="P45" i="267"/>
  <c r="R44" i="267"/>
  <c r="Q44" i="267"/>
  <c r="M44" i="267" s="1"/>
  <c r="P44" i="267"/>
  <c r="N44" i="267"/>
  <c r="AJ31" i="267"/>
  <c r="AI31" i="267"/>
  <c r="AH31" i="267"/>
  <c r="AG31" i="267"/>
  <c r="U31" i="267"/>
  <c r="T31" i="267"/>
  <c r="R31" i="267"/>
  <c r="Q31" i="267"/>
  <c r="M31" i="267" s="1"/>
  <c r="AK22" i="267" s="1"/>
  <c r="P31" i="267"/>
  <c r="N31" i="267"/>
  <c r="E31" i="267"/>
  <c r="AJ30" i="267"/>
  <c r="AI30" i="267"/>
  <c r="AH30" i="267"/>
  <c r="AG30" i="267"/>
  <c r="U30" i="267"/>
  <c r="T30" i="267"/>
  <c r="R30" i="267"/>
  <c r="Q30" i="267"/>
  <c r="P30" i="267"/>
  <c r="N30" i="267"/>
  <c r="E30" i="267"/>
  <c r="AF13" i="267" s="1"/>
  <c r="AJ29" i="267"/>
  <c r="AI29" i="267"/>
  <c r="AH29" i="267"/>
  <c r="AG29" i="267"/>
  <c r="U29" i="267"/>
  <c r="T29" i="267"/>
  <c r="R29" i="267"/>
  <c r="Q29" i="267"/>
  <c r="M29" i="267" s="1"/>
  <c r="AK21" i="267" s="1"/>
  <c r="P29" i="267"/>
  <c r="N29" i="267"/>
  <c r="E29" i="267"/>
  <c r="AF21" i="267" s="1"/>
  <c r="AJ28" i="267"/>
  <c r="AI28" i="267"/>
  <c r="AH28" i="267"/>
  <c r="AG28" i="267"/>
  <c r="U28" i="267"/>
  <c r="T28" i="267"/>
  <c r="R28" i="267"/>
  <c r="Q28" i="267"/>
  <c r="P28" i="267"/>
  <c r="N28" i="267"/>
  <c r="E28" i="267"/>
  <c r="AF31" i="267" s="1"/>
  <c r="AJ27" i="267"/>
  <c r="AI27" i="267"/>
  <c r="AH27" i="267"/>
  <c r="AG27" i="267"/>
  <c r="U27" i="267"/>
  <c r="T27" i="267"/>
  <c r="R27" i="267"/>
  <c r="Q27" i="267"/>
  <c r="P27" i="267"/>
  <c r="N27" i="267"/>
  <c r="E27" i="267"/>
  <c r="AF12" i="267" s="1"/>
  <c r="AJ26" i="267"/>
  <c r="AI26" i="267"/>
  <c r="AH26" i="267"/>
  <c r="AG26" i="267"/>
  <c r="U26" i="267"/>
  <c r="T26" i="267"/>
  <c r="R26" i="267"/>
  <c r="Q26" i="267"/>
  <c r="P26" i="267"/>
  <c r="N26" i="267"/>
  <c r="E26" i="267"/>
  <c r="AF30" i="267" s="1"/>
  <c r="AJ25" i="267"/>
  <c r="AI25" i="267"/>
  <c r="AH25" i="267"/>
  <c r="AG25" i="267"/>
  <c r="U25" i="267"/>
  <c r="T25" i="267"/>
  <c r="R25" i="267"/>
  <c r="Q25" i="267"/>
  <c r="M25" i="267" s="1"/>
  <c r="AK20" i="267" s="1"/>
  <c r="P25" i="267"/>
  <c r="N25" i="267"/>
  <c r="E25" i="267"/>
  <c r="AF20" i="267" s="1"/>
  <c r="AJ24" i="267"/>
  <c r="AI24" i="267"/>
  <c r="AH24" i="267"/>
  <c r="AG24" i="267"/>
  <c r="U24" i="267"/>
  <c r="T24" i="267"/>
  <c r="R24" i="267"/>
  <c r="Q24" i="267"/>
  <c r="M24" i="267" s="1"/>
  <c r="AK11" i="267" s="1"/>
  <c r="P24" i="267"/>
  <c r="N24" i="267"/>
  <c r="E24" i="267"/>
  <c r="AF11" i="267" s="1"/>
  <c r="AJ23" i="267"/>
  <c r="AI23" i="267"/>
  <c r="AH23" i="267"/>
  <c r="AG23" i="267"/>
  <c r="U23" i="267"/>
  <c r="T23" i="267"/>
  <c r="R23" i="267"/>
  <c r="Q23" i="267"/>
  <c r="M23" i="267" s="1"/>
  <c r="AK10" i="267" s="1"/>
  <c r="P23" i="267"/>
  <c r="N23" i="267"/>
  <c r="E23" i="267"/>
  <c r="AJ22" i="267"/>
  <c r="AI22" i="267"/>
  <c r="AH22" i="267"/>
  <c r="AG22" i="267"/>
  <c r="AF22" i="267"/>
  <c r="U22" i="267"/>
  <c r="T22" i="267"/>
  <c r="R22" i="267"/>
  <c r="Q22" i="267"/>
  <c r="M22" i="267" s="1"/>
  <c r="AK9" i="267" s="1"/>
  <c r="P22" i="267"/>
  <c r="N22" i="267"/>
  <c r="E22" i="267"/>
  <c r="AF9" i="267" s="1"/>
  <c r="AJ21" i="267"/>
  <c r="AI21" i="267"/>
  <c r="AH21" i="267"/>
  <c r="AG21" i="267"/>
  <c r="U21" i="267"/>
  <c r="T21" i="267"/>
  <c r="R21" i="267"/>
  <c r="Q21" i="267"/>
  <c r="P21" i="267"/>
  <c r="N21" i="267"/>
  <c r="E21" i="267"/>
  <c r="AF29" i="267" s="1"/>
  <c r="AJ20" i="267"/>
  <c r="AI20" i="267"/>
  <c r="AH20" i="267"/>
  <c r="AG20" i="267"/>
  <c r="U20" i="267"/>
  <c r="T20" i="267"/>
  <c r="R20" i="267"/>
  <c r="Q20" i="267"/>
  <c r="P20" i="267"/>
  <c r="N20" i="267"/>
  <c r="E20" i="267"/>
  <c r="AF19" i="267" s="1"/>
  <c r="AJ19" i="267"/>
  <c r="AI19" i="267"/>
  <c r="AH19" i="267"/>
  <c r="AG19" i="267"/>
  <c r="U19" i="267"/>
  <c r="T19" i="267"/>
  <c r="R19" i="267"/>
  <c r="Q19" i="267"/>
  <c r="P19" i="267"/>
  <c r="N19" i="267"/>
  <c r="E19" i="267"/>
  <c r="AF28" i="267" s="1"/>
  <c r="AJ18" i="267"/>
  <c r="AI18" i="267"/>
  <c r="AH18" i="267"/>
  <c r="AG18" i="267"/>
  <c r="U18" i="267"/>
  <c r="T18" i="267"/>
  <c r="R18" i="267"/>
  <c r="Q18" i="267"/>
  <c r="M18" i="267" s="1"/>
  <c r="AK8" i="267" s="1"/>
  <c r="P18" i="267"/>
  <c r="N18" i="267"/>
  <c r="E18" i="267"/>
  <c r="AF8" i="267" s="1"/>
  <c r="AJ17" i="267"/>
  <c r="AI17" i="267"/>
  <c r="AH17" i="267"/>
  <c r="AG17" i="267"/>
  <c r="U17" i="267"/>
  <c r="T17" i="267"/>
  <c r="R17" i="267"/>
  <c r="Q17" i="267"/>
  <c r="P17" i="267"/>
  <c r="N17" i="267"/>
  <c r="E17" i="267"/>
  <c r="AF27" i="267" s="1"/>
  <c r="AJ16" i="267"/>
  <c r="AI16" i="267"/>
  <c r="AH16" i="267"/>
  <c r="AG16" i="267"/>
  <c r="U16" i="267"/>
  <c r="T16" i="267"/>
  <c r="R16" i="267"/>
  <c r="Q16" i="267"/>
  <c r="M16" i="267" s="1"/>
  <c r="AK26" i="267" s="1"/>
  <c r="P16" i="267"/>
  <c r="N16" i="267"/>
  <c r="E16" i="267"/>
  <c r="AF26" i="267" s="1"/>
  <c r="AJ15" i="267"/>
  <c r="AI15" i="267"/>
  <c r="AH15" i="267"/>
  <c r="AG15" i="267"/>
  <c r="U15" i="267"/>
  <c r="T15" i="267"/>
  <c r="R15" i="267"/>
  <c r="Q15" i="267"/>
  <c r="P15" i="267"/>
  <c r="N15" i="267"/>
  <c r="E15" i="267"/>
  <c r="AF18" i="267" s="1"/>
  <c r="AJ14" i="267"/>
  <c r="AI14" i="267"/>
  <c r="AH14" i="267"/>
  <c r="AG14" i="267"/>
  <c r="U14" i="267"/>
  <c r="T14" i="267"/>
  <c r="R14" i="267"/>
  <c r="Q14" i="267"/>
  <c r="M14" i="267" s="1"/>
  <c r="AK17" i="267" s="1"/>
  <c r="P14" i="267"/>
  <c r="N14" i="267"/>
  <c r="E14" i="267"/>
  <c r="AF17" i="267" s="1"/>
  <c r="AJ13" i="267"/>
  <c r="AI13" i="267"/>
  <c r="AH13" i="267"/>
  <c r="AG13" i="267"/>
  <c r="U13" i="267"/>
  <c r="T13" i="267"/>
  <c r="R13" i="267"/>
  <c r="Q13" i="267"/>
  <c r="P13" i="267"/>
  <c r="N13" i="267"/>
  <c r="E13" i="267"/>
  <c r="AF16" i="267" s="1"/>
  <c r="AJ12" i="267"/>
  <c r="AI12" i="267"/>
  <c r="AH12" i="267"/>
  <c r="AG12" i="267"/>
  <c r="U12" i="267"/>
  <c r="T12" i="267"/>
  <c r="R12" i="267"/>
  <c r="Q12" i="267"/>
  <c r="P12" i="267"/>
  <c r="N12" i="267"/>
  <c r="E12" i="267"/>
  <c r="AF7" i="267" s="1"/>
  <c r="AJ11" i="267"/>
  <c r="AI11" i="267"/>
  <c r="AH11" i="267"/>
  <c r="AG11" i="267"/>
  <c r="U11" i="267"/>
  <c r="T11" i="267"/>
  <c r="R11" i="267"/>
  <c r="Q11" i="267"/>
  <c r="P11" i="267"/>
  <c r="N11" i="267"/>
  <c r="E11" i="267"/>
  <c r="AJ10" i="267"/>
  <c r="AI10" i="267"/>
  <c r="AH10" i="267"/>
  <c r="AG10" i="267"/>
  <c r="AF10" i="267"/>
  <c r="U10" i="267"/>
  <c r="T10" i="267"/>
  <c r="R10" i="267"/>
  <c r="Q10" i="267"/>
  <c r="P10" i="267"/>
  <c r="N10" i="267"/>
  <c r="E10" i="267"/>
  <c r="AJ9" i="267"/>
  <c r="AI9" i="267"/>
  <c r="AH9" i="267"/>
  <c r="AG9" i="267"/>
  <c r="U9" i="267"/>
  <c r="T9" i="267"/>
  <c r="R9" i="267"/>
  <c r="Q9" i="267"/>
  <c r="P9" i="267"/>
  <c r="N9" i="267"/>
  <c r="E9" i="267"/>
  <c r="AF15" i="267" s="1"/>
  <c r="AJ8" i="267"/>
  <c r="AI8" i="267"/>
  <c r="AH8" i="267"/>
  <c r="AG8" i="267"/>
  <c r="U8" i="267"/>
  <c r="T8" i="267"/>
  <c r="R8" i="267"/>
  <c r="Q8" i="267"/>
  <c r="P8" i="267"/>
  <c r="N8" i="267"/>
  <c r="E8" i="267"/>
  <c r="AF24" i="267" s="1"/>
  <c r="AJ7" i="267"/>
  <c r="AI7" i="267"/>
  <c r="AH7" i="267"/>
  <c r="AG7" i="267"/>
  <c r="U7" i="267"/>
  <c r="T7" i="267"/>
  <c r="R7" i="267"/>
  <c r="Q7" i="267"/>
  <c r="P7" i="267"/>
  <c r="N7" i="267"/>
  <c r="E7" i="267"/>
  <c r="AF23" i="267" s="1"/>
  <c r="AJ6" i="267"/>
  <c r="AI6" i="267"/>
  <c r="AH6" i="267"/>
  <c r="AG6" i="267"/>
  <c r="U6" i="267"/>
  <c r="T6" i="267"/>
  <c r="R6" i="267"/>
  <c r="Q6" i="267"/>
  <c r="P6" i="267"/>
  <c r="N6" i="267"/>
  <c r="E6" i="267"/>
  <c r="T46" i="266"/>
  <c r="R46" i="266"/>
  <c r="Q46" i="266"/>
  <c r="P46" i="266"/>
  <c r="N46" i="266"/>
  <c r="T45" i="266"/>
  <c r="R45" i="266"/>
  <c r="Q45" i="266"/>
  <c r="M45" i="266" s="1"/>
  <c r="P45" i="266"/>
  <c r="N45" i="266"/>
  <c r="T44" i="266"/>
  <c r="R44" i="266"/>
  <c r="Q44" i="266"/>
  <c r="P44" i="266"/>
  <c r="N44" i="266"/>
  <c r="M44" i="266"/>
  <c r="AJ31" i="266"/>
  <c r="AI31" i="266"/>
  <c r="AH31" i="266"/>
  <c r="AG31" i="266"/>
  <c r="U31" i="266"/>
  <c r="T31" i="266"/>
  <c r="R31" i="266"/>
  <c r="Q31" i="266"/>
  <c r="P31" i="266"/>
  <c r="N31" i="266"/>
  <c r="E31" i="266"/>
  <c r="AJ30" i="266"/>
  <c r="AI30" i="266"/>
  <c r="AH30" i="266"/>
  <c r="AG30" i="266"/>
  <c r="U30" i="266"/>
  <c r="T30" i="266"/>
  <c r="R30" i="266"/>
  <c r="M30" i="266" s="1"/>
  <c r="AK13" i="266" s="1"/>
  <c r="Q30" i="266"/>
  <c r="P30" i="266"/>
  <c r="N30" i="266"/>
  <c r="E30" i="266"/>
  <c r="AF13" i="266" s="1"/>
  <c r="AJ29" i="266"/>
  <c r="AI29" i="266"/>
  <c r="AH29" i="266"/>
  <c r="AG29" i="266"/>
  <c r="U29" i="266"/>
  <c r="T29" i="266"/>
  <c r="R29" i="266"/>
  <c r="Q29" i="266"/>
  <c r="M29" i="266" s="1"/>
  <c r="AK21" i="266" s="1"/>
  <c r="P29" i="266"/>
  <c r="N29" i="266"/>
  <c r="E29" i="266"/>
  <c r="AF21" i="266" s="1"/>
  <c r="AJ28" i="266"/>
  <c r="AI28" i="266"/>
  <c r="AH28" i="266"/>
  <c r="AG28" i="266"/>
  <c r="U28" i="266"/>
  <c r="T28" i="266"/>
  <c r="R28" i="266"/>
  <c r="Q28" i="266"/>
  <c r="P28" i="266"/>
  <c r="N28" i="266"/>
  <c r="E28" i="266"/>
  <c r="AF31" i="266" s="1"/>
  <c r="AJ27" i="266"/>
  <c r="AI27" i="266"/>
  <c r="AH27" i="266"/>
  <c r="AG27" i="266"/>
  <c r="U27" i="266"/>
  <c r="T27" i="266"/>
  <c r="R27" i="266"/>
  <c r="Q27" i="266"/>
  <c r="M27" i="266" s="1"/>
  <c r="AK12" i="266" s="1"/>
  <c r="P27" i="266"/>
  <c r="N27" i="266"/>
  <c r="E27" i="266"/>
  <c r="AF12" i="266" s="1"/>
  <c r="AJ26" i="266"/>
  <c r="AI26" i="266"/>
  <c r="AH26" i="266"/>
  <c r="AG26" i="266"/>
  <c r="U26" i="266"/>
  <c r="T26" i="266"/>
  <c r="R26" i="266"/>
  <c r="Q26" i="266"/>
  <c r="P26" i="266"/>
  <c r="N26" i="266"/>
  <c r="E26" i="266"/>
  <c r="AF30" i="266" s="1"/>
  <c r="AJ25" i="266"/>
  <c r="AI25" i="266"/>
  <c r="AH25" i="266"/>
  <c r="AG25" i="266"/>
  <c r="U25" i="266"/>
  <c r="T25" i="266"/>
  <c r="R25" i="266"/>
  <c r="Q25" i="266"/>
  <c r="P25" i="266"/>
  <c r="N25" i="266"/>
  <c r="E25" i="266"/>
  <c r="AF20" i="266" s="1"/>
  <c r="AJ24" i="266"/>
  <c r="AI24" i="266"/>
  <c r="AH24" i="266"/>
  <c r="AG24" i="266"/>
  <c r="U24" i="266"/>
  <c r="T24" i="266"/>
  <c r="R24" i="266"/>
  <c r="Q24" i="266"/>
  <c r="P24" i="266"/>
  <c r="N24" i="266"/>
  <c r="E24" i="266"/>
  <c r="AF11" i="266" s="1"/>
  <c r="AJ23" i="266"/>
  <c r="AI23" i="266"/>
  <c r="AH23" i="266"/>
  <c r="AG23" i="266"/>
  <c r="U23" i="266"/>
  <c r="T23" i="266"/>
  <c r="R23" i="266"/>
  <c r="Q23" i="266"/>
  <c r="P23" i="266"/>
  <c r="N23" i="266"/>
  <c r="E23" i="266"/>
  <c r="AJ22" i="266"/>
  <c r="AI22" i="266"/>
  <c r="AH22" i="266"/>
  <c r="AG22" i="266"/>
  <c r="AF22" i="266"/>
  <c r="U22" i="266"/>
  <c r="T22" i="266"/>
  <c r="R22" i="266"/>
  <c r="Q22" i="266"/>
  <c r="M22" i="266" s="1"/>
  <c r="AK9" i="266" s="1"/>
  <c r="P22" i="266"/>
  <c r="N22" i="266"/>
  <c r="E22" i="266"/>
  <c r="AF9" i="266" s="1"/>
  <c r="AJ21" i="266"/>
  <c r="AI21" i="266"/>
  <c r="AH21" i="266"/>
  <c r="AG21" i="266"/>
  <c r="U21" i="266"/>
  <c r="T21" i="266"/>
  <c r="R21" i="266"/>
  <c r="Q21" i="266"/>
  <c r="P21" i="266"/>
  <c r="N21" i="266"/>
  <c r="E21" i="266"/>
  <c r="AF29" i="266" s="1"/>
  <c r="AJ20" i="266"/>
  <c r="AI20" i="266"/>
  <c r="AH20" i="266"/>
  <c r="AG20" i="266"/>
  <c r="U20" i="266"/>
  <c r="T20" i="266"/>
  <c r="R20" i="266"/>
  <c r="Q20" i="266"/>
  <c r="P20" i="266"/>
  <c r="N20" i="266"/>
  <c r="E20" i="266"/>
  <c r="AF19" i="266" s="1"/>
  <c r="AJ19" i="266"/>
  <c r="AI19" i="266"/>
  <c r="AH19" i="266"/>
  <c r="AG19" i="266"/>
  <c r="U19" i="266"/>
  <c r="T19" i="266"/>
  <c r="R19" i="266"/>
  <c r="Q19" i="266"/>
  <c r="M19" i="266" s="1"/>
  <c r="AK28" i="266" s="1"/>
  <c r="P19" i="266"/>
  <c r="N19" i="266"/>
  <c r="E19" i="266"/>
  <c r="AF28" i="266" s="1"/>
  <c r="AJ18" i="266"/>
  <c r="AI18" i="266"/>
  <c r="AH18" i="266"/>
  <c r="AG18" i="266"/>
  <c r="U18" i="266"/>
  <c r="T18" i="266"/>
  <c r="R18" i="266"/>
  <c r="Q18" i="266"/>
  <c r="P18" i="266"/>
  <c r="N18" i="266"/>
  <c r="E18" i="266"/>
  <c r="AF8" i="266" s="1"/>
  <c r="AJ17" i="266"/>
  <c r="AI17" i="266"/>
  <c r="AH17" i="266"/>
  <c r="AG17" i="266"/>
  <c r="U17" i="266"/>
  <c r="T17" i="266"/>
  <c r="R17" i="266"/>
  <c r="Q17" i="266"/>
  <c r="M17" i="266" s="1"/>
  <c r="AK27" i="266" s="1"/>
  <c r="P17" i="266"/>
  <c r="N17" i="266"/>
  <c r="E17" i="266"/>
  <c r="AF27" i="266" s="1"/>
  <c r="AJ16" i="266"/>
  <c r="AI16" i="266"/>
  <c r="AH16" i="266"/>
  <c r="AG16" i="266"/>
  <c r="U16" i="266"/>
  <c r="T16" i="266"/>
  <c r="R16" i="266"/>
  <c r="Q16" i="266"/>
  <c r="P16" i="266"/>
  <c r="N16" i="266"/>
  <c r="E16" i="266"/>
  <c r="AF26" i="266" s="1"/>
  <c r="AJ15" i="266"/>
  <c r="AI15" i="266"/>
  <c r="AH15" i="266"/>
  <c r="AG15" i="266"/>
  <c r="U15" i="266"/>
  <c r="T15" i="266"/>
  <c r="R15" i="266"/>
  <c r="Q15" i="266"/>
  <c r="M15" i="266" s="1"/>
  <c r="AK18" i="266" s="1"/>
  <c r="P15" i="266"/>
  <c r="N15" i="266"/>
  <c r="E15" i="266"/>
  <c r="AF18" i="266" s="1"/>
  <c r="AJ14" i="266"/>
  <c r="AI14" i="266"/>
  <c r="AH14" i="266"/>
  <c r="AG14" i="266"/>
  <c r="U14" i="266"/>
  <c r="T14" i="266"/>
  <c r="R14" i="266"/>
  <c r="Q14" i="266"/>
  <c r="P14" i="266"/>
  <c r="N14" i="266"/>
  <c r="E14" i="266"/>
  <c r="AF17" i="266" s="1"/>
  <c r="AJ13" i="266"/>
  <c r="AI13" i="266"/>
  <c r="AH13" i="266"/>
  <c r="AG13" i="266"/>
  <c r="U13" i="266"/>
  <c r="T13" i="266"/>
  <c r="R13" i="266"/>
  <c r="Q13" i="266"/>
  <c r="M13" i="266" s="1"/>
  <c r="AK16" i="266" s="1"/>
  <c r="P13" i="266"/>
  <c r="N13" i="266"/>
  <c r="E13" i="266"/>
  <c r="AF16" i="266" s="1"/>
  <c r="AJ12" i="266"/>
  <c r="AI12" i="266"/>
  <c r="AH12" i="266"/>
  <c r="AG12" i="266"/>
  <c r="U12" i="266"/>
  <c r="T12" i="266"/>
  <c r="R12" i="266"/>
  <c r="Q12" i="266"/>
  <c r="P12" i="266"/>
  <c r="N12" i="266"/>
  <c r="E12" i="266"/>
  <c r="AF7" i="266" s="1"/>
  <c r="AJ11" i="266"/>
  <c r="AI11" i="266"/>
  <c r="AH11" i="266"/>
  <c r="AG11" i="266"/>
  <c r="U11" i="266"/>
  <c r="T11" i="266"/>
  <c r="R11" i="266"/>
  <c r="Q11" i="266"/>
  <c r="M11" i="266" s="1"/>
  <c r="AK25" i="266" s="1"/>
  <c r="P11" i="266"/>
  <c r="N11" i="266"/>
  <c r="E11" i="266"/>
  <c r="AF25" i="266" s="1"/>
  <c r="AJ10" i="266"/>
  <c r="AI10" i="266"/>
  <c r="AH10" i="266"/>
  <c r="AG10" i="266"/>
  <c r="AF10" i="266"/>
  <c r="U10" i="266"/>
  <c r="T10" i="266"/>
  <c r="R10" i="266"/>
  <c r="Q10" i="266"/>
  <c r="M10" i="266" s="1"/>
  <c r="AK6" i="266" s="1"/>
  <c r="P10" i="266"/>
  <c r="N10" i="266"/>
  <c r="E10" i="266"/>
  <c r="AF6" i="266" s="1"/>
  <c r="AJ9" i="266"/>
  <c r="AI9" i="266"/>
  <c r="AH9" i="266"/>
  <c r="AG9" i="266"/>
  <c r="U9" i="266"/>
  <c r="T9" i="266"/>
  <c r="R9" i="266"/>
  <c r="Q9" i="266"/>
  <c r="P9" i="266"/>
  <c r="N9" i="266"/>
  <c r="E9" i="266"/>
  <c r="AF15" i="266" s="1"/>
  <c r="AJ8" i="266"/>
  <c r="AI8" i="266"/>
  <c r="AH8" i="266"/>
  <c r="AG8" i="266"/>
  <c r="U8" i="266"/>
  <c r="T8" i="266"/>
  <c r="R8" i="266"/>
  <c r="Q8" i="266"/>
  <c r="P8" i="266"/>
  <c r="N8" i="266"/>
  <c r="E8" i="266"/>
  <c r="AF24" i="266" s="1"/>
  <c r="AJ7" i="266"/>
  <c r="AI7" i="266"/>
  <c r="AH7" i="266"/>
  <c r="AG7" i="266"/>
  <c r="U7" i="266"/>
  <c r="T7" i="266"/>
  <c r="R7" i="266"/>
  <c r="Q7" i="266"/>
  <c r="P7" i="266"/>
  <c r="N7" i="266"/>
  <c r="E7" i="266"/>
  <c r="AF23" i="266" s="1"/>
  <c r="AJ6" i="266"/>
  <c r="AI6" i="266"/>
  <c r="AH6" i="266"/>
  <c r="AG6" i="266"/>
  <c r="U6" i="266"/>
  <c r="T6" i="266"/>
  <c r="R6" i="266"/>
  <c r="Q6" i="266"/>
  <c r="M6" i="266" s="1"/>
  <c r="AK14" i="266" s="1"/>
  <c r="P6" i="266"/>
  <c r="N6" i="266"/>
  <c r="E6" i="266"/>
  <c r="T46" i="265"/>
  <c r="R46" i="265"/>
  <c r="Q46" i="265"/>
  <c r="P46" i="265"/>
  <c r="N46" i="265"/>
  <c r="T45" i="265"/>
  <c r="R45" i="265"/>
  <c r="Q45" i="265"/>
  <c r="P45" i="265"/>
  <c r="N45" i="265"/>
  <c r="T44" i="265"/>
  <c r="R44" i="265"/>
  <c r="Q44" i="265"/>
  <c r="P44" i="265"/>
  <c r="N44" i="265"/>
  <c r="AJ31" i="265"/>
  <c r="AI31" i="265"/>
  <c r="AH31" i="265"/>
  <c r="AG31" i="265"/>
  <c r="U31" i="265"/>
  <c r="T31" i="265"/>
  <c r="R31" i="265"/>
  <c r="Q31" i="265"/>
  <c r="P31" i="265"/>
  <c r="N31" i="265"/>
  <c r="E31" i="265"/>
  <c r="AF22" i="265" s="1"/>
  <c r="AJ30" i="265"/>
  <c r="AI30" i="265"/>
  <c r="AH30" i="265"/>
  <c r="AG30" i="265"/>
  <c r="U30" i="265"/>
  <c r="T30" i="265"/>
  <c r="R30" i="265"/>
  <c r="Q30" i="265"/>
  <c r="P30" i="265"/>
  <c r="N30" i="265"/>
  <c r="E30" i="265"/>
  <c r="AJ29" i="265"/>
  <c r="AI29" i="265"/>
  <c r="AH29" i="265"/>
  <c r="AG29" i="265"/>
  <c r="U29" i="265"/>
  <c r="T29" i="265"/>
  <c r="R29" i="265"/>
  <c r="Q29" i="265"/>
  <c r="P29" i="265"/>
  <c r="N29" i="265"/>
  <c r="M29" i="265"/>
  <c r="AK21" i="265" s="1"/>
  <c r="E29" i="265"/>
  <c r="AF21" i="265" s="1"/>
  <c r="AJ28" i="265"/>
  <c r="AI28" i="265"/>
  <c r="AH28" i="265"/>
  <c r="AG28" i="265"/>
  <c r="U28" i="265"/>
  <c r="T28" i="265"/>
  <c r="R28" i="265"/>
  <c r="Q28" i="265"/>
  <c r="P28" i="265"/>
  <c r="N28" i="265"/>
  <c r="E28" i="265"/>
  <c r="AF31" i="265" s="1"/>
  <c r="AJ27" i="265"/>
  <c r="AI27" i="265"/>
  <c r="AH27" i="265"/>
  <c r="AG27" i="265"/>
  <c r="U27" i="265"/>
  <c r="T27" i="265"/>
  <c r="R27" i="265"/>
  <c r="Q27" i="265"/>
  <c r="P27" i="265"/>
  <c r="N27" i="265"/>
  <c r="E27" i="265"/>
  <c r="AJ26" i="265"/>
  <c r="AI26" i="265"/>
  <c r="AH26" i="265"/>
  <c r="AG26" i="265"/>
  <c r="U26" i="265"/>
  <c r="T26" i="265"/>
  <c r="R26" i="265"/>
  <c r="Q26" i="265"/>
  <c r="P26" i="265"/>
  <c r="N26" i="265"/>
  <c r="E26" i="265"/>
  <c r="AF30" i="265" s="1"/>
  <c r="AJ25" i="265"/>
  <c r="AI25" i="265"/>
  <c r="AH25" i="265"/>
  <c r="AG25" i="265"/>
  <c r="U25" i="265"/>
  <c r="T25" i="265"/>
  <c r="R25" i="265"/>
  <c r="Q25" i="265"/>
  <c r="P25" i="265"/>
  <c r="N25" i="265"/>
  <c r="E25" i="265"/>
  <c r="AF20" i="265" s="1"/>
  <c r="AJ24" i="265"/>
  <c r="AI24" i="265"/>
  <c r="AH24" i="265"/>
  <c r="AG24" i="265"/>
  <c r="U24" i="265"/>
  <c r="T24" i="265"/>
  <c r="R24" i="265"/>
  <c r="Q24" i="265"/>
  <c r="P24" i="265"/>
  <c r="N24" i="265"/>
  <c r="E24" i="265"/>
  <c r="AF11" i="265" s="1"/>
  <c r="AJ23" i="265"/>
  <c r="AI23" i="265"/>
  <c r="AH23" i="265"/>
  <c r="AG23" i="265"/>
  <c r="U23" i="265"/>
  <c r="T23" i="265"/>
  <c r="R23" i="265"/>
  <c r="Q23" i="265"/>
  <c r="P23" i="265"/>
  <c r="N23" i="265"/>
  <c r="E23" i="265"/>
  <c r="AF10" i="265" s="1"/>
  <c r="AJ22" i="265"/>
  <c r="AI22" i="265"/>
  <c r="AH22" i="265"/>
  <c r="AG22" i="265"/>
  <c r="U22" i="265"/>
  <c r="T22" i="265"/>
  <c r="R22" i="265"/>
  <c r="Q22" i="265"/>
  <c r="M22" i="265" s="1"/>
  <c r="AK9" i="265" s="1"/>
  <c r="P22" i="265"/>
  <c r="N22" i="265"/>
  <c r="E22" i="265"/>
  <c r="AF9" i="265" s="1"/>
  <c r="AJ21" i="265"/>
  <c r="AI21" i="265"/>
  <c r="AH21" i="265"/>
  <c r="AG21" i="265"/>
  <c r="U21" i="265"/>
  <c r="T21" i="265"/>
  <c r="R21" i="265"/>
  <c r="Q21" i="265"/>
  <c r="P21" i="265"/>
  <c r="N21" i="265"/>
  <c r="E21" i="265"/>
  <c r="AF29" i="265" s="1"/>
  <c r="AJ20" i="265"/>
  <c r="AI20" i="265"/>
  <c r="AH20" i="265"/>
  <c r="AG20" i="265"/>
  <c r="U20" i="265"/>
  <c r="T20" i="265"/>
  <c r="R20" i="265"/>
  <c r="Q20" i="265"/>
  <c r="M20" i="265" s="1"/>
  <c r="AK19" i="265" s="1"/>
  <c r="P20" i="265"/>
  <c r="N20" i="265"/>
  <c r="E20" i="265"/>
  <c r="AF19" i="265" s="1"/>
  <c r="AJ19" i="265"/>
  <c r="AI19" i="265"/>
  <c r="AH19" i="265"/>
  <c r="AG19" i="265"/>
  <c r="U19" i="265"/>
  <c r="T19" i="265"/>
  <c r="R19" i="265"/>
  <c r="Q19" i="265"/>
  <c r="P19" i="265"/>
  <c r="N19" i="265"/>
  <c r="E19" i="265"/>
  <c r="AF28" i="265" s="1"/>
  <c r="AJ18" i="265"/>
  <c r="AI18" i="265"/>
  <c r="AH18" i="265"/>
  <c r="AG18" i="265"/>
  <c r="U18" i="265"/>
  <c r="T18" i="265"/>
  <c r="R18" i="265"/>
  <c r="Q18" i="265"/>
  <c r="P18" i="265"/>
  <c r="N18" i="265"/>
  <c r="E18" i="265"/>
  <c r="AF8" i="265" s="1"/>
  <c r="AJ17" i="265"/>
  <c r="AI17" i="265"/>
  <c r="AH17" i="265"/>
  <c r="AG17" i="265"/>
  <c r="U17" i="265"/>
  <c r="T17" i="265"/>
  <c r="R17" i="265"/>
  <c r="Q17" i="265"/>
  <c r="P17" i="265"/>
  <c r="N17" i="265"/>
  <c r="E17" i="265"/>
  <c r="AF27" i="265" s="1"/>
  <c r="AJ16" i="265"/>
  <c r="AI16" i="265"/>
  <c r="AH16" i="265"/>
  <c r="AG16" i="265"/>
  <c r="U16" i="265"/>
  <c r="T16" i="265"/>
  <c r="R16" i="265"/>
  <c r="Q16" i="265"/>
  <c r="P16" i="265"/>
  <c r="N16" i="265"/>
  <c r="E16" i="265"/>
  <c r="AF26" i="265" s="1"/>
  <c r="AJ15" i="265"/>
  <c r="AI15" i="265"/>
  <c r="AH15" i="265"/>
  <c r="AG15" i="265"/>
  <c r="U15" i="265"/>
  <c r="T15" i="265"/>
  <c r="R15" i="265"/>
  <c r="Q15" i="265"/>
  <c r="P15" i="265"/>
  <c r="N15" i="265"/>
  <c r="E15" i="265"/>
  <c r="AF18" i="265" s="1"/>
  <c r="AJ14" i="265"/>
  <c r="AI14" i="265"/>
  <c r="AH14" i="265"/>
  <c r="AG14" i="265"/>
  <c r="U14" i="265"/>
  <c r="T14" i="265"/>
  <c r="R14" i="265"/>
  <c r="Q14" i="265"/>
  <c r="M14" i="265" s="1"/>
  <c r="AK17" i="265" s="1"/>
  <c r="P14" i="265"/>
  <c r="N14" i="265"/>
  <c r="E14" i="265"/>
  <c r="AF17" i="265" s="1"/>
  <c r="AJ13" i="265"/>
  <c r="AI13" i="265"/>
  <c r="AH13" i="265"/>
  <c r="AG13" i="265"/>
  <c r="AF13" i="265"/>
  <c r="U13" i="265"/>
  <c r="T13" i="265"/>
  <c r="R13" i="265"/>
  <c r="Q13" i="265"/>
  <c r="M13" i="265" s="1"/>
  <c r="AK16" i="265" s="1"/>
  <c r="P13" i="265"/>
  <c r="N13" i="265"/>
  <c r="E13" i="265"/>
  <c r="AF16" i="265" s="1"/>
  <c r="AJ12" i="265"/>
  <c r="AI12" i="265"/>
  <c r="AH12" i="265"/>
  <c r="AG12" i="265"/>
  <c r="AF12" i="265"/>
  <c r="U12" i="265"/>
  <c r="T12" i="265"/>
  <c r="R12" i="265"/>
  <c r="Q12" i="265"/>
  <c r="M12" i="265" s="1"/>
  <c r="AK7" i="265" s="1"/>
  <c r="P12" i="265"/>
  <c r="N12" i="265"/>
  <c r="E12" i="265"/>
  <c r="AF7" i="265" s="1"/>
  <c r="AJ11" i="265"/>
  <c r="AI11" i="265"/>
  <c r="AH11" i="265"/>
  <c r="AG11" i="265"/>
  <c r="U11" i="265"/>
  <c r="T11" i="265"/>
  <c r="R11" i="265"/>
  <c r="Q11" i="265"/>
  <c r="P11" i="265"/>
  <c r="N11" i="265"/>
  <c r="E11" i="265"/>
  <c r="AF25" i="265" s="1"/>
  <c r="AJ10" i="265"/>
  <c r="AI10" i="265"/>
  <c r="AH10" i="265"/>
  <c r="AG10" i="265"/>
  <c r="U10" i="265"/>
  <c r="T10" i="265"/>
  <c r="R10" i="265"/>
  <c r="Q10" i="265"/>
  <c r="P10" i="265"/>
  <c r="N10" i="265"/>
  <c r="E10" i="265"/>
  <c r="AJ9" i="265"/>
  <c r="AI9" i="265"/>
  <c r="AH9" i="265"/>
  <c r="AG9" i="265"/>
  <c r="U9" i="265"/>
  <c r="T9" i="265"/>
  <c r="R9" i="265"/>
  <c r="Q9" i="265"/>
  <c r="P9" i="265"/>
  <c r="N9" i="265"/>
  <c r="E9" i="265"/>
  <c r="AF15" i="265" s="1"/>
  <c r="AJ8" i="265"/>
  <c r="AI8" i="265"/>
  <c r="AH8" i="265"/>
  <c r="AG8" i="265"/>
  <c r="U8" i="265"/>
  <c r="T8" i="265"/>
  <c r="R8" i="265"/>
  <c r="Q8" i="265"/>
  <c r="P8" i="265"/>
  <c r="N8" i="265"/>
  <c r="E8" i="265"/>
  <c r="AF24" i="265" s="1"/>
  <c r="AJ7" i="265"/>
  <c r="AI7" i="265"/>
  <c r="AH7" i="265"/>
  <c r="AG7" i="265"/>
  <c r="U7" i="265"/>
  <c r="T7" i="265"/>
  <c r="R7" i="265"/>
  <c r="Q7" i="265"/>
  <c r="M7" i="265" s="1"/>
  <c r="AK23" i="265" s="1"/>
  <c r="P7" i="265"/>
  <c r="N7" i="265"/>
  <c r="E7" i="265"/>
  <c r="AF23" i="265" s="1"/>
  <c r="AJ6" i="265"/>
  <c r="AI6" i="265"/>
  <c r="AH6" i="265"/>
  <c r="AG6" i="265"/>
  <c r="AF6" i="265"/>
  <c r="U6" i="265"/>
  <c r="T6" i="265"/>
  <c r="R6" i="265"/>
  <c r="Q6" i="265"/>
  <c r="M6" i="265" s="1"/>
  <c r="AK14" i="265" s="1"/>
  <c r="P6" i="265"/>
  <c r="N6" i="265"/>
  <c r="E6" i="265"/>
  <c r="AF14" i="265" s="1"/>
  <c r="M21" i="265" l="1"/>
  <c r="AK29" i="265" s="1"/>
  <c r="M26" i="265"/>
  <c r="AK30" i="265" s="1"/>
  <c r="M18" i="266"/>
  <c r="AK8" i="266" s="1"/>
  <c r="M10" i="267"/>
  <c r="AK6" i="267" s="1"/>
  <c r="S8" i="265"/>
  <c r="M26" i="266"/>
  <c r="AK30" i="266" s="1"/>
  <c r="M21" i="267"/>
  <c r="AK29" i="267" s="1"/>
  <c r="M26" i="267"/>
  <c r="AK30" i="267" s="1"/>
  <c r="M25" i="265"/>
  <c r="AK20" i="265" s="1"/>
  <c r="M46" i="265"/>
  <c r="M14" i="266"/>
  <c r="AK17" i="266" s="1"/>
  <c r="AB16" i="266"/>
  <c r="M24" i="266"/>
  <c r="AK11" i="266" s="1"/>
  <c r="M8" i="265"/>
  <c r="AK24" i="265" s="1"/>
  <c r="M15" i="265"/>
  <c r="AK18" i="265" s="1"/>
  <c r="M17" i="267"/>
  <c r="AK27" i="267" s="1"/>
  <c r="M10" i="265"/>
  <c r="AK6" i="265" s="1"/>
  <c r="M17" i="265"/>
  <c r="AK27" i="265" s="1"/>
  <c r="M24" i="265"/>
  <c r="AK11" i="265" s="1"/>
  <c r="M18" i="265"/>
  <c r="AK8" i="265" s="1"/>
  <c r="AB19" i="265"/>
  <c r="M23" i="265"/>
  <c r="AK10" i="265" s="1"/>
  <c r="M16" i="265"/>
  <c r="AK26" i="265" s="1"/>
  <c r="M28" i="265"/>
  <c r="AK31" i="265" s="1"/>
  <c r="M12" i="266"/>
  <c r="AK7" i="266" s="1"/>
  <c r="O24" i="266"/>
  <c r="M28" i="266"/>
  <c r="AK31" i="266" s="1"/>
  <c r="M9" i="266"/>
  <c r="AK15" i="266" s="1"/>
  <c r="M16" i="266"/>
  <c r="AK26" i="266" s="1"/>
  <c r="M25" i="266"/>
  <c r="AK20" i="266" s="1"/>
  <c r="AB24" i="266"/>
  <c r="AB20" i="266"/>
  <c r="M21" i="266"/>
  <c r="AK29" i="266" s="1"/>
  <c r="M7" i="267"/>
  <c r="AK23" i="267" s="1"/>
  <c r="S13" i="267"/>
  <c r="S16" i="267"/>
  <c r="AF14" i="267"/>
  <c r="M13" i="267"/>
  <c r="AK16" i="267" s="1"/>
  <c r="M27" i="267"/>
  <c r="AK12" i="267" s="1"/>
  <c r="M6" i="267"/>
  <c r="AK14" i="267" s="1"/>
  <c r="M15" i="267"/>
  <c r="AK18" i="267" s="1"/>
  <c r="M12" i="267"/>
  <c r="AK7" i="267" s="1"/>
  <c r="M8" i="267"/>
  <c r="AK24" i="267" s="1"/>
  <c r="M30" i="267"/>
  <c r="AK13" i="267" s="1"/>
  <c r="M20" i="267"/>
  <c r="AK19" i="267" s="1"/>
  <c r="M28" i="267"/>
  <c r="AK31" i="267" s="1"/>
  <c r="M9" i="267"/>
  <c r="AK15" i="267" s="1"/>
  <c r="M11" i="267"/>
  <c r="AK25" i="267" s="1"/>
  <c r="M45" i="267"/>
  <c r="AC25" i="267"/>
  <c r="AD6" i="267"/>
  <c r="K44" i="267" s="1"/>
  <c r="O9" i="267"/>
  <c r="AB28" i="267"/>
  <c r="AF25" i="267"/>
  <c r="O25" i="267"/>
  <c r="AC22" i="267"/>
  <c r="AD22" i="267"/>
  <c r="AC30" i="267"/>
  <c r="AB25" i="267"/>
  <c r="AB27" i="267"/>
  <c r="AD11" i="267"/>
  <c r="AB13" i="267"/>
  <c r="AD17" i="267"/>
  <c r="AB24" i="267"/>
  <c r="AD30" i="267"/>
  <c r="AC12" i="267"/>
  <c r="AB28" i="266"/>
  <c r="AC13" i="266"/>
  <c r="AD31" i="266"/>
  <c r="O8" i="266"/>
  <c r="AD29" i="266"/>
  <c r="AB12" i="266"/>
  <c r="M8" i="266"/>
  <c r="AK24" i="266" s="1"/>
  <c r="M20" i="266"/>
  <c r="AK19" i="266" s="1"/>
  <c r="AB21" i="266"/>
  <c r="M9" i="265"/>
  <c r="AK15" i="265" s="1"/>
  <c r="AB7" i="265"/>
  <c r="AB15" i="265"/>
  <c r="M31" i="265"/>
  <c r="AK22" i="265" s="1"/>
  <c r="M45" i="265"/>
  <c r="M11" i="265"/>
  <c r="AK25" i="265" s="1"/>
  <c r="O30" i="265"/>
  <c r="O12" i="265"/>
  <c r="M19" i="265"/>
  <c r="AK28" i="265" s="1"/>
  <c r="M27" i="265"/>
  <c r="AK12" i="265" s="1"/>
  <c r="M30" i="265"/>
  <c r="AK13" i="265" s="1"/>
  <c r="M44" i="265"/>
  <c r="AB17" i="265"/>
  <c r="AC30" i="265"/>
  <c r="AD11" i="265"/>
  <c r="AB27" i="265"/>
  <c r="AB30" i="265"/>
  <c r="AD20" i="265"/>
  <c r="AD28" i="265"/>
  <c r="AB25" i="265"/>
  <c r="AD12" i="265"/>
  <c r="AC22" i="265"/>
  <c r="AB22" i="265"/>
  <c r="AB9" i="265"/>
  <c r="AB11" i="265"/>
  <c r="AB23" i="265"/>
  <c r="O17" i="267"/>
  <c r="AC18" i="266"/>
  <c r="AC16" i="266"/>
  <c r="AB17" i="266"/>
  <c r="AB19" i="266"/>
  <c r="O30" i="267"/>
  <c r="AF6" i="267"/>
  <c r="AC6" i="267"/>
  <c r="J44" i="267" s="1"/>
  <c r="AC9" i="267"/>
  <c r="AB12" i="267"/>
  <c r="S21" i="267"/>
  <c r="AD6" i="266"/>
  <c r="K44" i="266" s="1"/>
  <c r="S9" i="266"/>
  <c r="S12" i="266"/>
  <c r="O16" i="266"/>
  <c r="M23" i="266"/>
  <c r="AK10" i="266" s="1"/>
  <c r="AB29" i="266"/>
  <c r="AB31" i="266"/>
  <c r="S45" i="266"/>
  <c r="S8" i="267"/>
  <c r="AD9" i="267"/>
  <c r="AB17" i="267"/>
  <c r="AB19" i="267"/>
  <c r="AB23" i="267"/>
  <c r="AB29" i="267"/>
  <c r="S28" i="266"/>
  <c r="S25" i="266"/>
  <c r="O29" i="266"/>
  <c r="O12" i="267"/>
  <c r="AD18" i="267"/>
  <c r="AB16" i="267"/>
  <c r="AB14" i="267"/>
  <c r="AC21" i="267"/>
  <c r="AD20" i="267"/>
  <c r="AB18" i="267"/>
  <c r="AC15" i="267"/>
  <c r="AC20" i="267"/>
  <c r="M7" i="266"/>
  <c r="AK23" i="266" s="1"/>
  <c r="O13" i="266"/>
  <c r="S20" i="266"/>
  <c r="AD21" i="266"/>
  <c r="AC24" i="266"/>
  <c r="AB25" i="266"/>
  <c r="AB27" i="266"/>
  <c r="M31" i="266"/>
  <c r="AK22" i="266" s="1"/>
  <c r="M19" i="267"/>
  <c r="AK28" i="267" s="1"/>
  <c r="AB20" i="267"/>
  <c r="O45" i="267"/>
  <c r="AD13" i="266"/>
  <c r="AD18" i="266"/>
  <c r="AC21" i="266"/>
  <c r="AB8" i="266"/>
  <c r="AB13" i="266"/>
  <c r="AB22" i="266"/>
  <c r="S17" i="266"/>
  <c r="O21" i="266"/>
  <c r="AB9" i="267"/>
  <c r="AD14" i="267"/>
  <c r="K45" i="267" s="1"/>
  <c r="AB21" i="267"/>
  <c r="AD10" i="266"/>
  <c r="S11" i="267"/>
  <c r="O28" i="267"/>
  <c r="S24" i="267"/>
  <c r="O7" i="267"/>
  <c r="O20" i="267"/>
  <c r="AB15" i="267"/>
  <c r="S30" i="266"/>
  <c r="O26" i="266"/>
  <c r="S22" i="266"/>
  <c r="O18" i="266"/>
  <c r="S14" i="266"/>
  <c r="O10" i="266"/>
  <c r="S6" i="266"/>
  <c r="O45" i="266"/>
  <c r="S29" i="266"/>
  <c r="S21" i="266"/>
  <c r="S15" i="266"/>
  <c r="O46" i="266"/>
  <c r="S44" i="266"/>
  <c r="O31" i="266"/>
  <c r="S27" i="266"/>
  <c r="O23" i="266"/>
  <c r="S19" i="266"/>
  <c r="O15" i="266"/>
  <c r="S11" i="266"/>
  <c r="O7" i="266"/>
  <c r="O25" i="266"/>
  <c r="S31" i="266"/>
  <c r="S7" i="266"/>
  <c r="O28" i="266"/>
  <c r="S24" i="266"/>
  <c r="O20" i="266"/>
  <c r="S16" i="266"/>
  <c r="AF14" i="266"/>
  <c r="O12" i="266"/>
  <c r="S8" i="266"/>
  <c r="O17" i="266"/>
  <c r="S13" i="266"/>
  <c r="O9" i="266"/>
  <c r="O44" i="266"/>
  <c r="O30" i="266"/>
  <c r="S26" i="266"/>
  <c r="O22" i="266"/>
  <c r="S18" i="266"/>
  <c r="O14" i="266"/>
  <c r="S10" i="266"/>
  <c r="O6" i="266"/>
  <c r="S46" i="266"/>
  <c r="O27" i="266"/>
  <c r="S23" i="266"/>
  <c r="O19" i="266"/>
  <c r="O11" i="266"/>
  <c r="AC10" i="266"/>
  <c r="AC8" i="266"/>
  <c r="AB6" i="266"/>
  <c r="AB9" i="266"/>
  <c r="AB11" i="266"/>
  <c r="AD26" i="266"/>
  <c r="AC29" i="266"/>
  <c r="M46" i="266"/>
  <c r="AB7" i="267"/>
  <c r="AC13" i="267"/>
  <c r="AD10" i="267"/>
  <c r="AB10" i="267"/>
  <c r="AB6" i="267"/>
  <c r="AB8" i="267"/>
  <c r="AD12" i="267"/>
  <c r="AC7" i="267"/>
  <c r="AB11" i="267"/>
  <c r="AC14" i="267"/>
  <c r="J45" i="267" s="1"/>
  <c r="AC17" i="267"/>
  <c r="S29" i="267"/>
  <c r="AD8" i="266"/>
  <c r="AD24" i="266"/>
  <c r="O15" i="267"/>
  <c r="S19" i="267"/>
  <c r="O23" i="267"/>
  <c r="AC23" i="267"/>
  <c r="J46" i="267" s="1"/>
  <c r="AB26" i="267"/>
  <c r="S27" i="267"/>
  <c r="AD28" i="267"/>
  <c r="O31" i="267"/>
  <c r="AC31" i="267"/>
  <c r="S44" i="267"/>
  <c r="O46" i="267"/>
  <c r="AC6" i="266"/>
  <c r="J44" i="266" s="1"/>
  <c r="AD11" i="266"/>
  <c r="AC14" i="266"/>
  <c r="J45" i="266" s="1"/>
  <c r="AD19" i="266"/>
  <c r="AC22" i="266"/>
  <c r="AD27" i="266"/>
  <c r="AC30" i="266"/>
  <c r="S6" i="267"/>
  <c r="AD7" i="267"/>
  <c r="O10" i="267"/>
  <c r="AC10" i="267"/>
  <c r="S14" i="267"/>
  <c r="AD15" i="267"/>
  <c r="O18" i="267"/>
  <c r="AC18" i="267"/>
  <c r="S22" i="267"/>
  <c r="AD23" i="267"/>
  <c r="K46" i="267" s="1"/>
  <c r="O26" i="267"/>
  <c r="AC26" i="267"/>
  <c r="S30" i="267"/>
  <c r="AD31" i="267"/>
  <c r="AC9" i="266"/>
  <c r="AD14" i="266"/>
  <c r="K45" i="266" s="1"/>
  <c r="S9" i="267"/>
  <c r="AD26" i="267"/>
  <c r="O29" i="267"/>
  <c r="AB7" i="266"/>
  <c r="AD9" i="266"/>
  <c r="AC12" i="266"/>
  <c r="AB15" i="266"/>
  <c r="AD17" i="266"/>
  <c r="AC20" i="266"/>
  <c r="AB23" i="266"/>
  <c r="AD25" i="266"/>
  <c r="AC28" i="266"/>
  <c r="O8" i="267"/>
  <c r="AC8" i="267"/>
  <c r="S12" i="267"/>
  <c r="AD13" i="267"/>
  <c r="O16" i="267"/>
  <c r="AC16" i="267"/>
  <c r="S20" i="267"/>
  <c r="AD21" i="267"/>
  <c r="O24" i="267"/>
  <c r="AC24" i="267"/>
  <c r="S28" i="267"/>
  <c r="AD29" i="267"/>
  <c r="AB31" i="267"/>
  <c r="AC11" i="266"/>
  <c r="AB30" i="266"/>
  <c r="AC17" i="266"/>
  <c r="AD22" i="266"/>
  <c r="AD30" i="266"/>
  <c r="O13" i="267"/>
  <c r="AC29" i="267"/>
  <c r="AC7" i="266"/>
  <c r="AB10" i="266"/>
  <c r="AD12" i="266"/>
  <c r="AC15" i="266"/>
  <c r="AB18" i="266"/>
  <c r="AD20" i="266"/>
  <c r="AC23" i="266"/>
  <c r="J46" i="266" s="1"/>
  <c r="AB26" i="266"/>
  <c r="AD28" i="266"/>
  <c r="AC31" i="266"/>
  <c r="S7" i="267"/>
  <c r="AD8" i="267"/>
  <c r="O11" i="267"/>
  <c r="AC11" i="267"/>
  <c r="S15" i="267"/>
  <c r="AD16" i="267"/>
  <c r="O19" i="267"/>
  <c r="AC19" i="267"/>
  <c r="AB22" i="267"/>
  <c r="S23" i="267"/>
  <c r="AD24" i="267"/>
  <c r="O27" i="267"/>
  <c r="AC27" i="267"/>
  <c r="AB30" i="267"/>
  <c r="S31" i="267"/>
  <c r="O44" i="267"/>
  <c r="S46" i="267"/>
  <c r="AD25" i="267"/>
  <c r="AC28" i="267"/>
  <c r="AB14" i="266"/>
  <c r="AD16" i="266"/>
  <c r="AC19" i="266"/>
  <c r="AC27" i="266"/>
  <c r="AC25" i="266"/>
  <c r="S17" i="267"/>
  <c r="O21" i="267"/>
  <c r="S25" i="267"/>
  <c r="S45" i="267"/>
  <c r="AD7" i="266"/>
  <c r="AD15" i="266"/>
  <c r="AD23" i="266"/>
  <c r="K46" i="266" s="1"/>
  <c r="AC26" i="266"/>
  <c r="O6" i="267"/>
  <c r="S10" i="267"/>
  <c r="O14" i="267"/>
  <c r="S18" i="267"/>
  <c r="AD19" i="267"/>
  <c r="O22" i="267"/>
  <c r="S26" i="267"/>
  <c r="AD27" i="267"/>
  <c r="AD25" i="265"/>
  <c r="AC28" i="265"/>
  <c r="AB31" i="265"/>
  <c r="AC7" i="265"/>
  <c r="AC15" i="265"/>
  <c r="S44" i="265"/>
  <c r="O10" i="265"/>
  <c r="AC10" i="265"/>
  <c r="AD15" i="265"/>
  <c r="O26" i="265"/>
  <c r="AD31" i="265"/>
  <c r="S9" i="265"/>
  <c r="O13" i="265"/>
  <c r="AB16" i="265"/>
  <c r="S17" i="265"/>
  <c r="S7" i="265"/>
  <c r="AB14" i="265"/>
  <c r="S15" i="265"/>
  <c r="O19" i="265"/>
  <c r="AC19" i="265"/>
  <c r="S23" i="265"/>
  <c r="O27" i="265"/>
  <c r="AC27" i="265"/>
  <c r="O44" i="265"/>
  <c r="AD6" i="265"/>
  <c r="K44" i="265" s="1"/>
  <c r="O9" i="265"/>
  <c r="AC9" i="265"/>
  <c r="AB12" i="265"/>
  <c r="S13" i="265"/>
  <c r="AD14" i="265"/>
  <c r="K45" i="265" s="1"/>
  <c r="O17" i="265"/>
  <c r="AC17" i="265"/>
  <c r="AB20" i="265"/>
  <c r="S21" i="265"/>
  <c r="AD22" i="265"/>
  <c r="O25" i="265"/>
  <c r="AC25" i="265"/>
  <c r="AB28" i="265"/>
  <c r="S29" i="265"/>
  <c r="AD30" i="265"/>
  <c r="O45" i="265"/>
  <c r="S16" i="265"/>
  <c r="O20" i="265"/>
  <c r="S24" i="265"/>
  <c r="O28" i="265"/>
  <c r="O7" i="265"/>
  <c r="AB10" i="265"/>
  <c r="S11" i="265"/>
  <c r="S19" i="265"/>
  <c r="S27" i="265"/>
  <c r="AC31" i="265"/>
  <c r="O46" i="265"/>
  <c r="S6" i="265"/>
  <c r="AD7" i="265"/>
  <c r="AB13" i="265"/>
  <c r="S14" i="265"/>
  <c r="AB21" i="265"/>
  <c r="AD23" i="265"/>
  <c r="K46" i="265" s="1"/>
  <c r="AC26" i="265"/>
  <c r="AB29" i="265"/>
  <c r="S30" i="265"/>
  <c r="AB8" i="265"/>
  <c r="AD18" i="265"/>
  <c r="O21" i="265"/>
  <c r="AC21" i="265"/>
  <c r="AB24" i="265"/>
  <c r="S25" i="265"/>
  <c r="AD26" i="265"/>
  <c r="O29" i="265"/>
  <c r="AC29" i="265"/>
  <c r="S45" i="265"/>
  <c r="O8" i="265"/>
  <c r="AC8" i="265"/>
  <c r="S12" i="265"/>
  <c r="AD13" i="265"/>
  <c r="O16" i="265"/>
  <c r="AC16" i="265"/>
  <c r="S20" i="265"/>
  <c r="AD21" i="265"/>
  <c r="O24" i="265"/>
  <c r="AC24" i="265"/>
  <c r="S28" i="265"/>
  <c r="AD29" i="265"/>
  <c r="AD9" i="265"/>
  <c r="AC12" i="265"/>
  <c r="AD17" i="265"/>
  <c r="AC20" i="265"/>
  <c r="O15" i="265"/>
  <c r="AB18" i="265"/>
  <c r="O23" i="265"/>
  <c r="AC23" i="265"/>
  <c r="J46" i="265" s="1"/>
  <c r="AB26" i="265"/>
  <c r="O31" i="265"/>
  <c r="O18" i="265"/>
  <c r="AC18" i="265"/>
  <c r="S22" i="265"/>
  <c r="AD10" i="265"/>
  <c r="AC13" i="265"/>
  <c r="AB6" i="265"/>
  <c r="AD8" i="265"/>
  <c r="O11" i="265"/>
  <c r="AC11" i="265"/>
  <c r="AD16" i="265"/>
  <c r="AD24" i="265"/>
  <c r="S31" i="265"/>
  <c r="S46" i="265"/>
  <c r="O6" i="265"/>
  <c r="AC6" i="265"/>
  <c r="J44" i="265" s="1"/>
  <c r="S10" i="265"/>
  <c r="O14" i="265"/>
  <c r="AC14" i="265"/>
  <c r="J45" i="265" s="1"/>
  <c r="S18" i="265"/>
  <c r="AD19" i="265"/>
  <c r="O22" i="265"/>
  <c r="S26" i="265"/>
  <c r="AD27" i="265"/>
  <c r="T46" i="264" l="1"/>
  <c r="R46" i="264"/>
  <c r="Q46" i="264"/>
  <c r="P46" i="264"/>
  <c r="N46" i="264"/>
  <c r="M46" i="264"/>
  <c r="T45" i="264"/>
  <c r="R45" i="264"/>
  <c r="Q45" i="264"/>
  <c r="P45" i="264"/>
  <c r="N45" i="264"/>
  <c r="T44" i="264"/>
  <c r="R44" i="264"/>
  <c r="Q44" i="264"/>
  <c r="P44" i="264"/>
  <c r="N44" i="264"/>
  <c r="AJ31" i="264"/>
  <c r="AI31" i="264"/>
  <c r="AH31" i="264"/>
  <c r="AG31" i="264"/>
  <c r="U31" i="264"/>
  <c r="T31" i="264"/>
  <c r="R31" i="264"/>
  <c r="M31" i="264" s="1"/>
  <c r="AK22" i="264" s="1"/>
  <c r="Q31" i="264"/>
  <c r="P31" i="264"/>
  <c r="N31" i="264"/>
  <c r="E31" i="264"/>
  <c r="AF22" i="264" s="1"/>
  <c r="AJ30" i="264"/>
  <c r="AI30" i="264"/>
  <c r="AH30" i="264"/>
  <c r="AG30" i="264"/>
  <c r="U30" i="264"/>
  <c r="T30" i="264"/>
  <c r="R30" i="264"/>
  <c r="Q30" i="264"/>
  <c r="M30" i="264" s="1"/>
  <c r="AK13" i="264" s="1"/>
  <c r="P30" i="264"/>
  <c r="N30" i="264"/>
  <c r="E30" i="264"/>
  <c r="AF13" i="264" s="1"/>
  <c r="AJ29" i="264"/>
  <c r="AI29" i="264"/>
  <c r="AH29" i="264"/>
  <c r="AG29" i="264"/>
  <c r="U29" i="264"/>
  <c r="T29" i="264"/>
  <c r="R29" i="264"/>
  <c r="Q29" i="264"/>
  <c r="P29" i="264"/>
  <c r="N29" i="264"/>
  <c r="E29" i="264"/>
  <c r="AF21" i="264" s="1"/>
  <c r="AJ28" i="264"/>
  <c r="AI28" i="264"/>
  <c r="AH28" i="264"/>
  <c r="AG28" i="264"/>
  <c r="U28" i="264"/>
  <c r="T28" i="264"/>
  <c r="R28" i="264"/>
  <c r="Q28" i="264"/>
  <c r="M28" i="264" s="1"/>
  <c r="AK31" i="264" s="1"/>
  <c r="P28" i="264"/>
  <c r="N28" i="264"/>
  <c r="E28" i="264"/>
  <c r="AF31" i="264" s="1"/>
  <c r="AJ27" i="264"/>
  <c r="AI27" i="264"/>
  <c r="AH27" i="264"/>
  <c r="AG27" i="264"/>
  <c r="U27" i="264"/>
  <c r="T27" i="264"/>
  <c r="R27" i="264"/>
  <c r="Q27" i="264"/>
  <c r="P27" i="264"/>
  <c r="N27" i="264"/>
  <c r="E27" i="264"/>
  <c r="AF12" i="264" s="1"/>
  <c r="AJ26" i="264"/>
  <c r="AI26" i="264"/>
  <c r="AH26" i="264"/>
  <c r="AG26" i="264"/>
  <c r="U26" i="264"/>
  <c r="T26" i="264"/>
  <c r="R26" i="264"/>
  <c r="Q26" i="264"/>
  <c r="P26" i="264"/>
  <c r="N26" i="264"/>
  <c r="E26" i="264"/>
  <c r="AF30" i="264" s="1"/>
  <c r="AJ25" i="264"/>
  <c r="AI25" i="264"/>
  <c r="AH25" i="264"/>
  <c r="AG25" i="264"/>
  <c r="U25" i="264"/>
  <c r="T25" i="264"/>
  <c r="R25" i="264"/>
  <c r="Q25" i="264"/>
  <c r="M25" i="264" s="1"/>
  <c r="AK20" i="264" s="1"/>
  <c r="P25" i="264"/>
  <c r="N25" i="264"/>
  <c r="E25" i="264"/>
  <c r="AF20" i="264" s="1"/>
  <c r="AJ24" i="264"/>
  <c r="AI24" i="264"/>
  <c r="AH24" i="264"/>
  <c r="AG24" i="264"/>
  <c r="U24" i="264"/>
  <c r="T24" i="264"/>
  <c r="R24" i="264"/>
  <c r="Q24" i="264"/>
  <c r="P24" i="264"/>
  <c r="N24" i="264"/>
  <c r="E24" i="264"/>
  <c r="AF11" i="264" s="1"/>
  <c r="AJ23" i="264"/>
  <c r="AI23" i="264"/>
  <c r="AH23" i="264"/>
  <c r="AG23" i="264"/>
  <c r="U23" i="264"/>
  <c r="T23" i="264"/>
  <c r="R23" i="264"/>
  <c r="Q23" i="264"/>
  <c r="P23" i="264"/>
  <c r="N23" i="264"/>
  <c r="E23" i="264"/>
  <c r="AJ22" i="264"/>
  <c r="AI22" i="264"/>
  <c r="AH22" i="264"/>
  <c r="AG22" i="264"/>
  <c r="U22" i="264"/>
  <c r="T22" i="264"/>
  <c r="R22" i="264"/>
  <c r="Q22" i="264"/>
  <c r="M22" i="264" s="1"/>
  <c r="AK9" i="264" s="1"/>
  <c r="P22" i="264"/>
  <c r="N22" i="264"/>
  <c r="E22" i="264"/>
  <c r="AF9" i="264" s="1"/>
  <c r="AJ21" i="264"/>
  <c r="AI21" i="264"/>
  <c r="AH21" i="264"/>
  <c r="AG21" i="264"/>
  <c r="U21" i="264"/>
  <c r="T21" i="264"/>
  <c r="R21" i="264"/>
  <c r="Q21" i="264"/>
  <c r="P21" i="264"/>
  <c r="N21" i="264"/>
  <c r="E21" i="264"/>
  <c r="AF29" i="264" s="1"/>
  <c r="AJ20" i="264"/>
  <c r="AI20" i="264"/>
  <c r="AH20" i="264"/>
  <c r="AG20" i="264"/>
  <c r="U20" i="264"/>
  <c r="T20" i="264"/>
  <c r="R20" i="264"/>
  <c r="Q20" i="264"/>
  <c r="M20" i="264" s="1"/>
  <c r="AK19" i="264" s="1"/>
  <c r="P20" i="264"/>
  <c r="N20" i="264"/>
  <c r="E20" i="264"/>
  <c r="AF19" i="264" s="1"/>
  <c r="AJ19" i="264"/>
  <c r="AI19" i="264"/>
  <c r="AH19" i="264"/>
  <c r="AG19" i="264"/>
  <c r="U19" i="264"/>
  <c r="T19" i="264"/>
  <c r="R19" i="264"/>
  <c r="Q19" i="264"/>
  <c r="P19" i="264"/>
  <c r="N19" i="264"/>
  <c r="E19" i="264"/>
  <c r="AF28" i="264" s="1"/>
  <c r="AJ18" i="264"/>
  <c r="AI18" i="264"/>
  <c r="AH18" i="264"/>
  <c r="AG18" i="264"/>
  <c r="U18" i="264"/>
  <c r="T18" i="264"/>
  <c r="R18" i="264"/>
  <c r="Q18" i="264"/>
  <c r="P18" i="264"/>
  <c r="N18" i="264"/>
  <c r="E18" i="264"/>
  <c r="AF8" i="264" s="1"/>
  <c r="AJ17" i="264"/>
  <c r="AI17" i="264"/>
  <c r="AH17" i="264"/>
  <c r="AG17" i="264"/>
  <c r="U17" i="264"/>
  <c r="T17" i="264"/>
  <c r="R17" i="264"/>
  <c r="Q17" i="264"/>
  <c r="P17" i="264"/>
  <c r="N17" i="264"/>
  <c r="E17" i="264"/>
  <c r="AF27" i="264" s="1"/>
  <c r="AJ16" i="264"/>
  <c r="AI16" i="264"/>
  <c r="AH16" i="264"/>
  <c r="AG16" i="264"/>
  <c r="U16" i="264"/>
  <c r="T16" i="264"/>
  <c r="R16" i="264"/>
  <c r="Q16" i="264"/>
  <c r="P16" i="264"/>
  <c r="N16" i="264"/>
  <c r="E16" i="264"/>
  <c r="AF26" i="264" s="1"/>
  <c r="AJ15" i="264"/>
  <c r="AI15" i="264"/>
  <c r="AH15" i="264"/>
  <c r="AG15" i="264"/>
  <c r="AF15" i="264"/>
  <c r="U15" i="264"/>
  <c r="T15" i="264"/>
  <c r="R15" i="264"/>
  <c r="M15" i="264" s="1"/>
  <c r="AK18" i="264" s="1"/>
  <c r="Q15" i="264"/>
  <c r="P15" i="264"/>
  <c r="N15" i="264"/>
  <c r="E15" i="264"/>
  <c r="AF18" i="264" s="1"/>
  <c r="AJ14" i="264"/>
  <c r="AI14" i="264"/>
  <c r="AH14" i="264"/>
  <c r="AG14" i="264"/>
  <c r="U14" i="264"/>
  <c r="T14" i="264"/>
  <c r="R14" i="264"/>
  <c r="Q14" i="264"/>
  <c r="M14" i="264" s="1"/>
  <c r="AK17" i="264" s="1"/>
  <c r="P14" i="264"/>
  <c r="N14" i="264"/>
  <c r="E14" i="264"/>
  <c r="AF17" i="264" s="1"/>
  <c r="AJ13" i="264"/>
  <c r="AI13" i="264"/>
  <c r="AH13" i="264"/>
  <c r="AG13" i="264"/>
  <c r="U13" i="264"/>
  <c r="T13" i="264"/>
  <c r="R13" i="264"/>
  <c r="Q13" i="264"/>
  <c r="M13" i="264" s="1"/>
  <c r="AK16" i="264" s="1"/>
  <c r="P13" i="264"/>
  <c r="N13" i="264"/>
  <c r="E13" i="264"/>
  <c r="AF16" i="264" s="1"/>
  <c r="AJ12" i="264"/>
  <c r="AI12" i="264"/>
  <c r="AH12" i="264"/>
  <c r="AG12" i="264"/>
  <c r="U12" i="264"/>
  <c r="T12" i="264"/>
  <c r="R12" i="264"/>
  <c r="Q12" i="264"/>
  <c r="M12" i="264" s="1"/>
  <c r="AK7" i="264" s="1"/>
  <c r="P12" i="264"/>
  <c r="N12" i="264"/>
  <c r="E12" i="264"/>
  <c r="AF7" i="264" s="1"/>
  <c r="AJ11" i="264"/>
  <c r="AI11" i="264"/>
  <c r="AH11" i="264"/>
  <c r="AG11" i="264"/>
  <c r="U11" i="264"/>
  <c r="T11" i="264"/>
  <c r="R11" i="264"/>
  <c r="Q11" i="264"/>
  <c r="M11" i="264" s="1"/>
  <c r="AK25" i="264" s="1"/>
  <c r="P11" i="264"/>
  <c r="N11" i="264"/>
  <c r="E11" i="264"/>
  <c r="AF25" i="264" s="1"/>
  <c r="AJ10" i="264"/>
  <c r="AI10" i="264"/>
  <c r="AH10" i="264"/>
  <c r="AG10" i="264"/>
  <c r="AF10" i="264"/>
  <c r="U10" i="264"/>
  <c r="T10" i="264"/>
  <c r="R10" i="264"/>
  <c r="Q10" i="264"/>
  <c r="P10" i="264"/>
  <c r="N10" i="264"/>
  <c r="E10" i="264"/>
  <c r="AJ9" i="264"/>
  <c r="AI9" i="264"/>
  <c r="AH9" i="264"/>
  <c r="AG9" i="264"/>
  <c r="U9" i="264"/>
  <c r="T9" i="264"/>
  <c r="R9" i="264"/>
  <c r="Q9" i="264"/>
  <c r="P9" i="264"/>
  <c r="N9" i="264"/>
  <c r="E9" i="264"/>
  <c r="AJ8" i="264"/>
  <c r="AI8" i="264"/>
  <c r="AH8" i="264"/>
  <c r="AG8" i="264"/>
  <c r="U8" i="264"/>
  <c r="T8" i="264"/>
  <c r="R8" i="264"/>
  <c r="Q8" i="264"/>
  <c r="P8" i="264"/>
  <c r="N8" i="264"/>
  <c r="E8" i="264"/>
  <c r="AF24" i="264" s="1"/>
  <c r="AJ7" i="264"/>
  <c r="AI7" i="264"/>
  <c r="AH7" i="264"/>
  <c r="AG7" i="264"/>
  <c r="U7" i="264"/>
  <c r="T7" i="264"/>
  <c r="R7" i="264"/>
  <c r="Q7" i="264"/>
  <c r="M7" i="264" s="1"/>
  <c r="AK23" i="264" s="1"/>
  <c r="P7" i="264"/>
  <c r="N7" i="264"/>
  <c r="E7" i="264"/>
  <c r="AF23" i="264" s="1"/>
  <c r="AJ6" i="264"/>
  <c r="AI6" i="264"/>
  <c r="AH6" i="264"/>
  <c r="AG6" i="264"/>
  <c r="U6" i="264"/>
  <c r="T6" i="264"/>
  <c r="R6" i="264"/>
  <c r="Q6" i="264"/>
  <c r="M6" i="264" s="1"/>
  <c r="AK14" i="264" s="1"/>
  <c r="P6" i="264"/>
  <c r="N6" i="264"/>
  <c r="E6" i="264"/>
  <c r="M21" i="264" l="1"/>
  <c r="AK29" i="264" s="1"/>
  <c r="M26" i="264"/>
  <c r="AK30" i="264" s="1"/>
  <c r="M19" i="264"/>
  <c r="AK28" i="264" s="1"/>
  <c r="M10" i="264"/>
  <c r="AK6" i="264" s="1"/>
  <c r="M23" i="264"/>
  <c r="AK10" i="264" s="1"/>
  <c r="M29" i="264"/>
  <c r="AK21" i="264" s="1"/>
  <c r="M9" i="264"/>
  <c r="AK15" i="264" s="1"/>
  <c r="M18" i="264"/>
  <c r="AK8" i="264" s="1"/>
  <c r="AC25" i="264"/>
  <c r="M27" i="264"/>
  <c r="AK12" i="264" s="1"/>
  <c r="M44" i="264"/>
  <c r="O30" i="264"/>
  <c r="M17" i="264"/>
  <c r="AK27" i="264" s="1"/>
  <c r="M45" i="264"/>
  <c r="AD6" i="264"/>
  <c r="K44" i="264" s="1"/>
  <c r="M8" i="264"/>
  <c r="AK24" i="264" s="1"/>
  <c r="M16" i="264"/>
  <c r="AK26" i="264" s="1"/>
  <c r="M24" i="264"/>
  <c r="AK11" i="264" s="1"/>
  <c r="O18" i="264"/>
  <c r="O46" i="264"/>
  <c r="AF14" i="264"/>
  <c r="O15" i="264"/>
  <c r="O17" i="264"/>
  <c r="O10" i="264"/>
  <c r="O23" i="264"/>
  <c r="O25" i="264"/>
  <c r="S24" i="264"/>
  <c r="O20" i="264"/>
  <c r="O45" i="264"/>
  <c r="O12" i="264"/>
  <c r="AB12" i="264"/>
  <c r="O26" i="264"/>
  <c r="O28" i="264"/>
  <c r="AB27" i="264"/>
  <c r="AB20" i="264"/>
  <c r="O31" i="264"/>
  <c r="O7" i="264"/>
  <c r="O9" i="264"/>
  <c r="AB22" i="264"/>
  <c r="AB9" i="264"/>
  <c r="AD11" i="264"/>
  <c r="AB19" i="264"/>
  <c r="AB15" i="264"/>
  <c r="AB30" i="264"/>
  <c r="AB13" i="264"/>
  <c r="AB17" i="264"/>
  <c r="AD26" i="264"/>
  <c r="AB29" i="264"/>
  <c r="AC22" i="264"/>
  <c r="AC7" i="264"/>
  <c r="AB11" i="264"/>
  <c r="AD17" i="264"/>
  <c r="AB28" i="264"/>
  <c r="AC9" i="264"/>
  <c r="AC17" i="264"/>
  <c r="AC30" i="264"/>
  <c r="AD14" i="264"/>
  <c r="K45" i="264" s="1"/>
  <c r="AB25" i="264"/>
  <c r="S29" i="264"/>
  <c r="AF6" i="264"/>
  <c r="AB7" i="264"/>
  <c r="AD9" i="264"/>
  <c r="AC20" i="264"/>
  <c r="AD25" i="264"/>
  <c r="AD12" i="264"/>
  <c r="AB18" i="264"/>
  <c r="AC31" i="264"/>
  <c r="AC10" i="264"/>
  <c r="S14" i="264"/>
  <c r="AC26" i="264"/>
  <c r="AB16" i="264"/>
  <c r="S17" i="264"/>
  <c r="O21" i="264"/>
  <c r="AC21" i="264"/>
  <c r="AB24" i="264"/>
  <c r="S25" i="264"/>
  <c r="O29" i="264"/>
  <c r="AC29" i="264"/>
  <c r="S45" i="264"/>
  <c r="O8" i="264"/>
  <c r="AC8" i="264"/>
  <c r="S12" i="264"/>
  <c r="AD13" i="264"/>
  <c r="O16" i="264"/>
  <c r="AC16" i="264"/>
  <c r="S20" i="264"/>
  <c r="AD21" i="264"/>
  <c r="O24" i="264"/>
  <c r="AC24" i="264"/>
  <c r="S28" i="264"/>
  <c r="AD29" i="264"/>
  <c r="S13" i="264"/>
  <c r="AD22" i="264"/>
  <c r="S8" i="264"/>
  <c r="AC12" i="264"/>
  <c r="S16" i="264"/>
  <c r="AC28" i="264"/>
  <c r="AB31" i="264"/>
  <c r="AB10" i="264"/>
  <c r="AC15" i="264"/>
  <c r="S19" i="264"/>
  <c r="AD20" i="264"/>
  <c r="AC23" i="264"/>
  <c r="J46" i="264" s="1"/>
  <c r="S27" i="264"/>
  <c r="S6" i="264"/>
  <c r="AC18" i="264"/>
  <c r="AB21" i="264"/>
  <c r="AD23" i="264"/>
  <c r="K46" i="264" s="1"/>
  <c r="AD31" i="264"/>
  <c r="AB8" i="264"/>
  <c r="S9" i="264"/>
  <c r="O13" i="264"/>
  <c r="AC13" i="264"/>
  <c r="AB6" i="264"/>
  <c r="AD8" i="264"/>
  <c r="O11" i="264"/>
  <c r="AC11" i="264"/>
  <c r="AB14" i="264"/>
  <c r="S15" i="264"/>
  <c r="AD16" i="264"/>
  <c r="O19" i="264"/>
  <c r="AC19" i="264"/>
  <c r="S23" i="264"/>
  <c r="AD24" i="264"/>
  <c r="O27" i="264"/>
  <c r="AC27" i="264"/>
  <c r="S31" i="264"/>
  <c r="O44" i="264"/>
  <c r="S46" i="264"/>
  <c r="S21" i="264"/>
  <c r="AD30" i="264"/>
  <c r="AB23" i="264"/>
  <c r="S11" i="264"/>
  <c r="AB26" i="264"/>
  <c r="AD28" i="264"/>
  <c r="S44" i="264"/>
  <c r="AD7" i="264"/>
  <c r="AD15" i="264"/>
  <c r="S22" i="264"/>
  <c r="S30" i="264"/>
  <c r="AD10" i="264"/>
  <c r="AD18" i="264"/>
  <c r="S7" i="264"/>
  <c r="O6" i="264"/>
  <c r="AC6" i="264"/>
  <c r="J44" i="264" s="1"/>
  <c r="S10" i="264"/>
  <c r="O14" i="264"/>
  <c r="AC14" i="264"/>
  <c r="J45" i="264" s="1"/>
  <c r="S18" i="264"/>
  <c r="AD19" i="264"/>
  <c r="O22" i="264"/>
  <c r="S26" i="264"/>
  <c r="AD27" i="264"/>
  <c r="N31" i="263" l="1"/>
  <c r="P31" i="263"/>
  <c r="C33" i="116"/>
  <c r="D33" i="116"/>
  <c r="C33" i="81"/>
  <c r="D33" i="81"/>
  <c r="T46" i="263" l="1"/>
  <c r="R46" i="263"/>
  <c r="Q46" i="263"/>
  <c r="M46" i="263" s="1"/>
  <c r="P46" i="263"/>
  <c r="N46" i="263"/>
  <c r="T45" i="263"/>
  <c r="R45" i="263"/>
  <c r="Q45" i="263"/>
  <c r="M45" i="263" s="1"/>
  <c r="P45" i="263"/>
  <c r="N45" i="263"/>
  <c r="T44" i="263"/>
  <c r="R44" i="263"/>
  <c r="Q44" i="263"/>
  <c r="P44" i="263"/>
  <c r="N44" i="263"/>
  <c r="AJ31" i="263"/>
  <c r="AI31" i="263"/>
  <c r="AH31" i="263"/>
  <c r="AG31" i="263"/>
  <c r="U31" i="263"/>
  <c r="T31" i="263"/>
  <c r="R31" i="263"/>
  <c r="Q31" i="263"/>
  <c r="AK22" i="263"/>
  <c r="AF22" i="263"/>
  <c r="AJ30" i="263"/>
  <c r="AI30" i="263"/>
  <c r="AH30" i="263"/>
  <c r="AG30" i="263"/>
  <c r="U30" i="263"/>
  <c r="T30" i="263"/>
  <c r="R30" i="263"/>
  <c r="Q30" i="263"/>
  <c r="P30" i="263"/>
  <c r="N30" i="263"/>
  <c r="E30" i="263"/>
  <c r="AF13" i="263" s="1"/>
  <c r="AJ29" i="263"/>
  <c r="AI29" i="263"/>
  <c r="AH29" i="263"/>
  <c r="AG29" i="263"/>
  <c r="U29" i="263"/>
  <c r="T29" i="263"/>
  <c r="R29" i="263"/>
  <c r="Q29" i="263"/>
  <c r="M29" i="263" s="1"/>
  <c r="AK21" i="263" s="1"/>
  <c r="P29" i="263"/>
  <c r="N29" i="263"/>
  <c r="E29" i="263"/>
  <c r="AF21" i="263" s="1"/>
  <c r="AJ28" i="263"/>
  <c r="AI28" i="263"/>
  <c r="AH28" i="263"/>
  <c r="AG28" i="263"/>
  <c r="U28" i="263"/>
  <c r="T28" i="263"/>
  <c r="R28" i="263"/>
  <c r="Q28" i="263"/>
  <c r="M28" i="263" s="1"/>
  <c r="AK31" i="263" s="1"/>
  <c r="P28" i="263"/>
  <c r="N28" i="263"/>
  <c r="E28" i="263"/>
  <c r="AF31" i="263" s="1"/>
  <c r="AJ27" i="263"/>
  <c r="AI27" i="263"/>
  <c r="AH27" i="263"/>
  <c r="AG27" i="263"/>
  <c r="U27" i="263"/>
  <c r="T27" i="263"/>
  <c r="R27" i="263"/>
  <c r="Q27" i="263"/>
  <c r="M27" i="263" s="1"/>
  <c r="AK12" i="263" s="1"/>
  <c r="P27" i="263"/>
  <c r="N27" i="263"/>
  <c r="E27" i="263"/>
  <c r="AF12" i="263" s="1"/>
  <c r="AJ26" i="263"/>
  <c r="AI26" i="263"/>
  <c r="AH26" i="263"/>
  <c r="AG26" i="263"/>
  <c r="U26" i="263"/>
  <c r="T26" i="263"/>
  <c r="R26" i="263"/>
  <c r="Q26" i="263"/>
  <c r="M26" i="263" s="1"/>
  <c r="AK30" i="263" s="1"/>
  <c r="P26" i="263"/>
  <c r="N26" i="263"/>
  <c r="E26" i="263"/>
  <c r="AF30" i="263" s="1"/>
  <c r="AJ25" i="263"/>
  <c r="AI25" i="263"/>
  <c r="AH25" i="263"/>
  <c r="AG25" i="263"/>
  <c r="U25" i="263"/>
  <c r="T25" i="263"/>
  <c r="R25" i="263"/>
  <c r="Q25" i="263"/>
  <c r="P25" i="263"/>
  <c r="N25" i="263"/>
  <c r="E25" i="263"/>
  <c r="AF20" i="263" s="1"/>
  <c r="AJ24" i="263"/>
  <c r="AI24" i="263"/>
  <c r="AH24" i="263"/>
  <c r="AG24" i="263"/>
  <c r="U24" i="263"/>
  <c r="T24" i="263"/>
  <c r="R24" i="263"/>
  <c r="Q24" i="263"/>
  <c r="P24" i="263"/>
  <c r="N24" i="263"/>
  <c r="E24" i="263"/>
  <c r="AF11" i="263" s="1"/>
  <c r="AJ23" i="263"/>
  <c r="AI23" i="263"/>
  <c r="AH23" i="263"/>
  <c r="AG23" i="263"/>
  <c r="U23" i="263"/>
  <c r="T23" i="263"/>
  <c r="R23" i="263"/>
  <c r="Q23" i="263"/>
  <c r="P23" i="263"/>
  <c r="N23" i="263"/>
  <c r="E23" i="263"/>
  <c r="AF10" i="263" s="1"/>
  <c r="AJ22" i="263"/>
  <c r="AI22" i="263"/>
  <c r="AH22" i="263"/>
  <c r="AG22" i="263"/>
  <c r="U22" i="263"/>
  <c r="T22" i="263"/>
  <c r="R22" i="263"/>
  <c r="Q22" i="263"/>
  <c r="M22" i="263" s="1"/>
  <c r="AK9" i="263" s="1"/>
  <c r="P22" i="263"/>
  <c r="N22" i="263"/>
  <c r="E22" i="263"/>
  <c r="AF9" i="263" s="1"/>
  <c r="AJ21" i="263"/>
  <c r="AI21" i="263"/>
  <c r="AH21" i="263"/>
  <c r="AG21" i="263"/>
  <c r="U21" i="263"/>
  <c r="T21" i="263"/>
  <c r="R21" i="263"/>
  <c r="Q21" i="263"/>
  <c r="P21" i="263"/>
  <c r="N21" i="263"/>
  <c r="E21" i="263"/>
  <c r="AF29" i="263" s="1"/>
  <c r="AJ20" i="263"/>
  <c r="AI20" i="263"/>
  <c r="AH20" i="263"/>
  <c r="AG20" i="263"/>
  <c r="U20" i="263"/>
  <c r="T20" i="263"/>
  <c r="R20" i="263"/>
  <c r="Q20" i="263"/>
  <c r="M20" i="263" s="1"/>
  <c r="AK19" i="263" s="1"/>
  <c r="P20" i="263"/>
  <c r="N20" i="263"/>
  <c r="E20" i="263"/>
  <c r="AF19" i="263" s="1"/>
  <c r="AJ19" i="263"/>
  <c r="AI19" i="263"/>
  <c r="AH19" i="263"/>
  <c r="AG19" i="263"/>
  <c r="U19" i="263"/>
  <c r="T19" i="263"/>
  <c r="R19" i="263"/>
  <c r="Q19" i="263"/>
  <c r="M19" i="263" s="1"/>
  <c r="AK28" i="263" s="1"/>
  <c r="P19" i="263"/>
  <c r="N19" i="263"/>
  <c r="E19" i="263"/>
  <c r="AF28" i="263" s="1"/>
  <c r="AJ18" i="263"/>
  <c r="AI18" i="263"/>
  <c r="AH18" i="263"/>
  <c r="AG18" i="263"/>
  <c r="U18" i="263"/>
  <c r="T18" i="263"/>
  <c r="R18" i="263"/>
  <c r="Q18" i="263"/>
  <c r="P18" i="263"/>
  <c r="N18" i="263"/>
  <c r="E18" i="263"/>
  <c r="AF8" i="263" s="1"/>
  <c r="AJ17" i="263"/>
  <c r="AI17" i="263"/>
  <c r="AH17" i="263"/>
  <c r="AG17" i="263"/>
  <c r="U17" i="263"/>
  <c r="T17" i="263"/>
  <c r="R17" i="263"/>
  <c r="Q17" i="263"/>
  <c r="P17" i="263"/>
  <c r="N17" i="263"/>
  <c r="E17" i="263"/>
  <c r="AF27" i="263" s="1"/>
  <c r="AJ16" i="263"/>
  <c r="AI16" i="263"/>
  <c r="AH16" i="263"/>
  <c r="AG16" i="263"/>
  <c r="U16" i="263"/>
  <c r="T16" i="263"/>
  <c r="R16" i="263"/>
  <c r="Q16" i="263"/>
  <c r="M16" i="263" s="1"/>
  <c r="AK26" i="263" s="1"/>
  <c r="P16" i="263"/>
  <c r="N16" i="263"/>
  <c r="E16" i="263"/>
  <c r="AF26" i="263" s="1"/>
  <c r="AJ15" i="263"/>
  <c r="AI15" i="263"/>
  <c r="AH15" i="263"/>
  <c r="AG15" i="263"/>
  <c r="U15" i="263"/>
  <c r="T15" i="263"/>
  <c r="R15" i="263"/>
  <c r="Q15" i="263"/>
  <c r="M15" i="263" s="1"/>
  <c r="AK18" i="263" s="1"/>
  <c r="P15" i="263"/>
  <c r="N15" i="263"/>
  <c r="E15" i="263"/>
  <c r="AF18" i="263" s="1"/>
  <c r="AJ14" i="263"/>
  <c r="AI14" i="263"/>
  <c r="AH14" i="263"/>
  <c r="AG14" i="263"/>
  <c r="U14" i="263"/>
  <c r="T14" i="263"/>
  <c r="R14" i="263"/>
  <c r="Q14" i="263"/>
  <c r="M14" i="263" s="1"/>
  <c r="AK17" i="263" s="1"/>
  <c r="P14" i="263"/>
  <c r="N14" i="263"/>
  <c r="E14" i="263"/>
  <c r="AF17" i="263" s="1"/>
  <c r="AJ13" i="263"/>
  <c r="AI13" i="263"/>
  <c r="AH13" i="263"/>
  <c r="AG13" i="263"/>
  <c r="U13" i="263"/>
  <c r="T13" i="263"/>
  <c r="R13" i="263"/>
  <c r="Q13" i="263"/>
  <c r="P13" i="263"/>
  <c r="N13" i="263"/>
  <c r="AF16" i="263"/>
  <c r="AJ12" i="263"/>
  <c r="AI12" i="263"/>
  <c r="AH12" i="263"/>
  <c r="AG12" i="263"/>
  <c r="U12" i="263"/>
  <c r="T12" i="263"/>
  <c r="R12" i="263"/>
  <c r="Q12" i="263"/>
  <c r="P12" i="263"/>
  <c r="N12" i="263"/>
  <c r="E12" i="263"/>
  <c r="AF7" i="263" s="1"/>
  <c r="AJ11" i="263"/>
  <c r="AI11" i="263"/>
  <c r="AH11" i="263"/>
  <c r="AG11" i="263"/>
  <c r="U11" i="263"/>
  <c r="T11" i="263"/>
  <c r="R11" i="263"/>
  <c r="Q11" i="263"/>
  <c r="M11" i="263" s="1"/>
  <c r="AK25" i="263" s="1"/>
  <c r="P11" i="263"/>
  <c r="N11" i="263"/>
  <c r="E11" i="263"/>
  <c r="AF25" i="263" s="1"/>
  <c r="AJ10" i="263"/>
  <c r="AI10" i="263"/>
  <c r="AH10" i="263"/>
  <c r="AG10" i="263"/>
  <c r="U10" i="263"/>
  <c r="T10" i="263"/>
  <c r="R10" i="263"/>
  <c r="Q10" i="263"/>
  <c r="P10" i="263"/>
  <c r="N10" i="263"/>
  <c r="E10" i="263"/>
  <c r="AF6" i="263" s="1"/>
  <c r="AJ9" i="263"/>
  <c r="AI9" i="263"/>
  <c r="AH9" i="263"/>
  <c r="AG9" i="263"/>
  <c r="U9" i="263"/>
  <c r="T9" i="263"/>
  <c r="R9" i="263"/>
  <c r="Q9" i="263"/>
  <c r="M9" i="263" s="1"/>
  <c r="AK15" i="263" s="1"/>
  <c r="P9" i="263"/>
  <c r="N9" i="263"/>
  <c r="E9" i="263"/>
  <c r="AF15" i="263" s="1"/>
  <c r="AJ8" i="263"/>
  <c r="AI8" i="263"/>
  <c r="AH8" i="263"/>
  <c r="AG8" i="263"/>
  <c r="U8" i="263"/>
  <c r="T8" i="263"/>
  <c r="R8" i="263"/>
  <c r="Q8" i="263"/>
  <c r="P8" i="263"/>
  <c r="N8" i="263"/>
  <c r="E8" i="263"/>
  <c r="AF24" i="263" s="1"/>
  <c r="AJ7" i="263"/>
  <c r="AI7" i="263"/>
  <c r="AH7" i="263"/>
  <c r="AG7" i="263"/>
  <c r="U7" i="263"/>
  <c r="T7" i="263"/>
  <c r="R7" i="263"/>
  <c r="Q7" i="263"/>
  <c r="M7" i="263" s="1"/>
  <c r="AK23" i="263" s="1"/>
  <c r="P7" i="263"/>
  <c r="N7" i="263"/>
  <c r="E7" i="263"/>
  <c r="AJ6" i="263"/>
  <c r="AI6" i="263"/>
  <c r="AH6" i="263"/>
  <c r="AG6" i="263"/>
  <c r="U6" i="263"/>
  <c r="T6" i="263"/>
  <c r="R6" i="263"/>
  <c r="Q6" i="263"/>
  <c r="P6" i="263"/>
  <c r="N6" i="263"/>
  <c r="E6" i="263"/>
  <c r="M23" i="263" l="1"/>
  <c r="AK10" i="263" s="1"/>
  <c r="M8" i="263"/>
  <c r="AK24" i="263" s="1"/>
  <c r="M21" i="263"/>
  <c r="AK29" i="263" s="1"/>
  <c r="M24" i="263"/>
  <c r="AK11" i="263" s="1"/>
  <c r="M17" i="263"/>
  <c r="AK27" i="263" s="1"/>
  <c r="M12" i="263"/>
  <c r="AK7" i="263" s="1"/>
  <c r="S7" i="263"/>
  <c r="S15" i="263"/>
  <c r="S23" i="263"/>
  <c r="S31" i="263"/>
  <c r="O14" i="263"/>
  <c r="O22" i="263"/>
  <c r="O30" i="263"/>
  <c r="S8" i="263"/>
  <c r="S16" i="263"/>
  <c r="S24" i="263"/>
  <c r="O7" i="263"/>
  <c r="O15" i="263"/>
  <c r="O23" i="263"/>
  <c r="O31" i="263"/>
  <c r="S9" i="263"/>
  <c r="S17" i="263"/>
  <c r="O8" i="263"/>
  <c r="O16" i="263"/>
  <c r="O24" i="263"/>
  <c r="S6" i="263"/>
  <c r="S10" i="263"/>
  <c r="S18" i="263"/>
  <c r="S26" i="263"/>
  <c r="O9" i="263"/>
  <c r="O17" i="263"/>
  <c r="O25" i="263"/>
  <c r="O6" i="263"/>
  <c r="S14" i="263"/>
  <c r="O13" i="263"/>
  <c r="S25" i="263"/>
  <c r="O20" i="263"/>
  <c r="S22" i="263"/>
  <c r="O21" i="263"/>
  <c r="S11" i="263"/>
  <c r="S19" i="263"/>
  <c r="S27" i="263"/>
  <c r="O10" i="263"/>
  <c r="O18" i="263"/>
  <c r="O26" i="263"/>
  <c r="S12" i="263"/>
  <c r="S20" i="263"/>
  <c r="S28" i="263"/>
  <c r="O11" i="263"/>
  <c r="O19" i="263"/>
  <c r="O27" i="263"/>
  <c r="S13" i="263"/>
  <c r="S21" i="263"/>
  <c r="S29" i="263"/>
  <c r="O12" i="263"/>
  <c r="O28" i="263"/>
  <c r="S30" i="263"/>
  <c r="O29" i="263"/>
  <c r="M10" i="263"/>
  <c r="AK6" i="263" s="1"/>
  <c r="M18" i="263"/>
  <c r="AK8" i="263" s="1"/>
  <c r="M30" i="263"/>
  <c r="AK13" i="263" s="1"/>
  <c r="AC25" i="263"/>
  <c r="AB12" i="263"/>
  <c r="AD6" i="263"/>
  <c r="K44" i="263" s="1"/>
  <c r="AD14" i="263"/>
  <c r="K45" i="263" s="1"/>
  <c r="AF14" i="263"/>
  <c r="M6" i="263"/>
  <c r="AK14" i="263" s="1"/>
  <c r="AK16" i="263"/>
  <c r="M25" i="263"/>
  <c r="AK20" i="263" s="1"/>
  <c r="AC6" i="263"/>
  <c r="J44" i="263" s="1"/>
  <c r="M44" i="263"/>
  <c r="AB9" i="263"/>
  <c r="AD11" i="263"/>
  <c r="AB19" i="263"/>
  <c r="AC9" i="263"/>
  <c r="AB17" i="263"/>
  <c r="AC30" i="263"/>
  <c r="AB11" i="263"/>
  <c r="AD19" i="263"/>
  <c r="AB28" i="263"/>
  <c r="AB27" i="263"/>
  <c r="AB29" i="263"/>
  <c r="AC19" i="263"/>
  <c r="AC22" i="263"/>
  <c r="AC11" i="263"/>
  <c r="AC17" i="263"/>
  <c r="AB22" i="263"/>
  <c r="AD27" i="263"/>
  <c r="AB30" i="263"/>
  <c r="AB8" i="263"/>
  <c r="AB13" i="263"/>
  <c r="AD30" i="263"/>
  <c r="O45" i="263"/>
  <c r="AB31" i="263"/>
  <c r="AD22" i="263"/>
  <c r="AD9" i="263"/>
  <c r="AC12" i="263"/>
  <c r="AB15" i="263"/>
  <c r="AD17" i="263"/>
  <c r="AD25" i="263"/>
  <c r="AC28" i="263"/>
  <c r="AC7" i="263"/>
  <c r="AB10" i="263"/>
  <c r="AD12" i="263"/>
  <c r="AB20" i="263"/>
  <c r="AB7" i="263"/>
  <c r="AC20" i="263"/>
  <c r="AB23" i="263"/>
  <c r="AC15" i="263"/>
  <c r="AB18" i="263"/>
  <c r="AD20" i="263"/>
  <c r="AC31" i="263"/>
  <c r="O46" i="263"/>
  <c r="AD7" i="263"/>
  <c r="AC10" i="263"/>
  <c r="AD15" i="263"/>
  <c r="AC18" i="263"/>
  <c r="AB21" i="263"/>
  <c r="AD23" i="263"/>
  <c r="K46" i="263" s="1"/>
  <c r="AC26" i="263"/>
  <c r="AD31" i="263"/>
  <c r="AD10" i="263"/>
  <c r="AC13" i="263"/>
  <c r="AB16" i="263"/>
  <c r="AD18" i="263"/>
  <c r="AC21" i="263"/>
  <c r="AF23" i="263"/>
  <c r="AB24" i="263"/>
  <c r="AD26" i="263"/>
  <c r="AC29" i="263"/>
  <c r="S45" i="263"/>
  <c r="AC23" i="263"/>
  <c r="J46" i="263" s="1"/>
  <c r="S44" i="263"/>
  <c r="AB26" i="263"/>
  <c r="AD28" i="263"/>
  <c r="AC8" i="263"/>
  <c r="AD13" i="263"/>
  <c r="AC16" i="263"/>
  <c r="AD21" i="263"/>
  <c r="AC24" i="263"/>
  <c r="AD29" i="263"/>
  <c r="AB6" i="263"/>
  <c r="AD8" i="263"/>
  <c r="AB14" i="263"/>
  <c r="AD16" i="263"/>
  <c r="AD24" i="263"/>
  <c r="AC27" i="263"/>
  <c r="O44" i="263"/>
  <c r="S46" i="263"/>
  <c r="AC14" i="263"/>
  <c r="J45" i="263" s="1"/>
  <c r="AB25" i="263"/>
  <c r="C106" i="39" l="1"/>
  <c r="C107" i="39"/>
  <c r="B106" i="39"/>
  <c r="B107" i="39"/>
  <c r="B108" i="39"/>
  <c r="B109" i="39"/>
  <c r="B110" i="39"/>
  <c r="B111" i="39"/>
  <c r="B112" i="39"/>
  <c r="B113" i="39"/>
  <c r="B114" i="39"/>
  <c r="B115" i="39"/>
  <c r="B116" i="39"/>
  <c r="B117" i="39"/>
  <c r="B118" i="39"/>
  <c r="B119" i="39"/>
  <c r="B120" i="39"/>
  <c r="B121" i="39"/>
  <c r="B122" i="39"/>
  <c r="B123" i="39"/>
  <c r="B124" i="39"/>
  <c r="B125" i="39"/>
  <c r="B126" i="39"/>
  <c r="B127" i="39"/>
  <c r="B128" i="39"/>
  <c r="B129" i="39"/>
  <c r="B130" i="39"/>
  <c r="B131" i="39"/>
  <c r="B132" i="39"/>
  <c r="B133" i="39"/>
  <c r="B134" i="39"/>
  <c r="B135" i="39"/>
  <c r="B136" i="39"/>
  <c r="B137" i="39"/>
  <c r="B138" i="39"/>
  <c r="B139" i="39"/>
  <c r="B140" i="39"/>
  <c r="B141" i="39"/>
  <c r="B142" i="39"/>
  <c r="B143" i="39"/>
  <c r="B144" i="39"/>
  <c r="B145" i="39"/>
  <c r="B146" i="39"/>
  <c r="B147" i="39"/>
  <c r="B148" i="39"/>
  <c r="B149" i="39"/>
  <c r="B150" i="39"/>
  <c r="B151" i="39"/>
  <c r="B152" i="39"/>
  <c r="E29" i="39"/>
  <c r="E106" i="39"/>
  <c r="T46" i="262" l="1"/>
  <c r="R46" i="262"/>
  <c r="Q46" i="262"/>
  <c r="P46" i="262"/>
  <c r="N46" i="262"/>
  <c r="M46" i="262"/>
  <c r="T45" i="262"/>
  <c r="R45" i="262"/>
  <c r="Q45" i="262"/>
  <c r="P45" i="262"/>
  <c r="N45" i="262"/>
  <c r="T44" i="262"/>
  <c r="R44" i="262"/>
  <c r="Q44" i="262"/>
  <c r="P44" i="262"/>
  <c r="N44" i="262"/>
  <c r="AJ31" i="262"/>
  <c r="AI31" i="262"/>
  <c r="AH31" i="262"/>
  <c r="AG31" i="262"/>
  <c r="U31" i="262"/>
  <c r="T31" i="262"/>
  <c r="R31" i="262"/>
  <c r="Q31" i="262"/>
  <c r="P31" i="262"/>
  <c r="N31" i="262"/>
  <c r="E31" i="262"/>
  <c r="AF22" i="262" s="1"/>
  <c r="AJ30" i="262"/>
  <c r="AI30" i="262"/>
  <c r="AH30" i="262"/>
  <c r="AG30" i="262"/>
  <c r="U30" i="262"/>
  <c r="T30" i="262"/>
  <c r="R30" i="262"/>
  <c r="Q30" i="262"/>
  <c r="P30" i="262"/>
  <c r="N30" i="262"/>
  <c r="E30" i="262"/>
  <c r="AF13" i="262" s="1"/>
  <c r="AJ29" i="262"/>
  <c r="AI29" i="262"/>
  <c r="AH29" i="262"/>
  <c r="AG29" i="262"/>
  <c r="U29" i="262"/>
  <c r="T29" i="262"/>
  <c r="R29" i="262"/>
  <c r="Q29" i="262"/>
  <c r="M29" i="262" s="1"/>
  <c r="AK21" i="262" s="1"/>
  <c r="P29" i="262"/>
  <c r="N29" i="262"/>
  <c r="E29" i="262"/>
  <c r="AF21" i="262" s="1"/>
  <c r="AJ28" i="262"/>
  <c r="AI28" i="262"/>
  <c r="AH28" i="262"/>
  <c r="AG28" i="262"/>
  <c r="U28" i="262"/>
  <c r="T28" i="262"/>
  <c r="R28" i="262"/>
  <c r="M28" i="262" s="1"/>
  <c r="AK31" i="262" s="1"/>
  <c r="Q28" i="262"/>
  <c r="P28" i="262"/>
  <c r="N28" i="262"/>
  <c r="E28" i="262"/>
  <c r="AF31" i="262" s="1"/>
  <c r="AJ27" i="262"/>
  <c r="AI27" i="262"/>
  <c r="AH27" i="262"/>
  <c r="AG27" i="262"/>
  <c r="U27" i="262"/>
  <c r="T27" i="262"/>
  <c r="R27" i="262"/>
  <c r="Q27" i="262"/>
  <c r="M27" i="262" s="1"/>
  <c r="AK12" i="262" s="1"/>
  <c r="P27" i="262"/>
  <c r="N27" i="262"/>
  <c r="E27" i="262"/>
  <c r="AF12" i="262" s="1"/>
  <c r="AJ26" i="262"/>
  <c r="AI26" i="262"/>
  <c r="AH26" i="262"/>
  <c r="AG26" i="262"/>
  <c r="U26" i="262"/>
  <c r="T26" i="262"/>
  <c r="R26" i="262"/>
  <c r="Q26" i="262"/>
  <c r="P26" i="262"/>
  <c r="N26" i="262"/>
  <c r="E26" i="262"/>
  <c r="AF30" i="262" s="1"/>
  <c r="AJ25" i="262"/>
  <c r="AI25" i="262"/>
  <c r="AH25" i="262"/>
  <c r="AG25" i="262"/>
  <c r="U25" i="262"/>
  <c r="T25" i="262"/>
  <c r="R25" i="262"/>
  <c r="Q25" i="262"/>
  <c r="M25" i="262" s="1"/>
  <c r="P25" i="262"/>
  <c r="N25" i="262"/>
  <c r="E25" i="262"/>
  <c r="AF20" i="262" s="1"/>
  <c r="AJ24" i="262"/>
  <c r="AI24" i="262"/>
  <c r="AH24" i="262"/>
  <c r="AG24" i="262"/>
  <c r="U24" i="262"/>
  <c r="T24" i="262"/>
  <c r="R24" i="262"/>
  <c r="Q24" i="262"/>
  <c r="P24" i="262"/>
  <c r="N24" i="262"/>
  <c r="E24" i="262"/>
  <c r="AF11" i="262" s="1"/>
  <c r="AJ23" i="262"/>
  <c r="AI23" i="262"/>
  <c r="AH23" i="262"/>
  <c r="AG23" i="262"/>
  <c r="U23" i="262"/>
  <c r="T23" i="262"/>
  <c r="R23" i="262"/>
  <c r="Q23" i="262"/>
  <c r="M23" i="262" s="1"/>
  <c r="AK10" i="262" s="1"/>
  <c r="P23" i="262"/>
  <c r="N23" i="262"/>
  <c r="E23" i="262"/>
  <c r="AJ22" i="262"/>
  <c r="AI22" i="262"/>
  <c r="AH22" i="262"/>
  <c r="AG22" i="262"/>
  <c r="U22" i="262"/>
  <c r="T22" i="262"/>
  <c r="R22" i="262"/>
  <c r="Q22" i="262"/>
  <c r="P22" i="262"/>
  <c r="N22" i="262"/>
  <c r="E22" i="262"/>
  <c r="AF9" i="262" s="1"/>
  <c r="AJ21" i="262"/>
  <c r="AI21" i="262"/>
  <c r="AH21" i="262"/>
  <c r="AG21" i="262"/>
  <c r="U21" i="262"/>
  <c r="T21" i="262"/>
  <c r="R21" i="262"/>
  <c r="Q21" i="262"/>
  <c r="M21" i="262" s="1"/>
  <c r="AK29" i="262" s="1"/>
  <c r="P21" i="262"/>
  <c r="N21" i="262"/>
  <c r="E21" i="262"/>
  <c r="AF29" i="262" s="1"/>
  <c r="AK20" i="262"/>
  <c r="AJ20" i="262"/>
  <c r="AI20" i="262"/>
  <c r="AH20" i="262"/>
  <c r="AG20" i="262"/>
  <c r="U20" i="262"/>
  <c r="T20" i="262"/>
  <c r="R20" i="262"/>
  <c r="Q20" i="262"/>
  <c r="P20" i="262"/>
  <c r="N20" i="262"/>
  <c r="E20" i="262"/>
  <c r="AF19" i="262" s="1"/>
  <c r="AJ19" i="262"/>
  <c r="AI19" i="262"/>
  <c r="AH19" i="262"/>
  <c r="AG19" i="262"/>
  <c r="U19" i="262"/>
  <c r="T19" i="262"/>
  <c r="R19" i="262"/>
  <c r="Q19" i="262"/>
  <c r="P19" i="262"/>
  <c r="N19" i="262"/>
  <c r="E19" i="262"/>
  <c r="AF28" i="262" s="1"/>
  <c r="AJ18" i="262"/>
  <c r="AI18" i="262"/>
  <c r="AH18" i="262"/>
  <c r="AG18" i="262"/>
  <c r="U18" i="262"/>
  <c r="T18" i="262"/>
  <c r="R18" i="262"/>
  <c r="Q18" i="262"/>
  <c r="M18" i="262" s="1"/>
  <c r="AK8" i="262" s="1"/>
  <c r="P18" i="262"/>
  <c r="N18" i="262"/>
  <c r="E18" i="262"/>
  <c r="AF8" i="262" s="1"/>
  <c r="AJ17" i="262"/>
  <c r="AI17" i="262"/>
  <c r="AH17" i="262"/>
  <c r="AG17" i="262"/>
  <c r="U17" i="262"/>
  <c r="T17" i="262"/>
  <c r="R17" i="262"/>
  <c r="Q17" i="262"/>
  <c r="P17" i="262"/>
  <c r="N17" i="262"/>
  <c r="E17" i="262"/>
  <c r="AF27" i="262" s="1"/>
  <c r="AJ16" i="262"/>
  <c r="AI16" i="262"/>
  <c r="AH16" i="262"/>
  <c r="AG16" i="262"/>
  <c r="U16" i="262"/>
  <c r="T16" i="262"/>
  <c r="R16" i="262"/>
  <c r="Q16" i="262"/>
  <c r="P16" i="262"/>
  <c r="N16" i="262"/>
  <c r="E16" i="262"/>
  <c r="AF26" i="262" s="1"/>
  <c r="AJ15" i="262"/>
  <c r="AI15" i="262"/>
  <c r="AH15" i="262"/>
  <c r="AG15" i="262"/>
  <c r="U15" i="262"/>
  <c r="T15" i="262"/>
  <c r="R15" i="262"/>
  <c r="Q15" i="262"/>
  <c r="P15" i="262"/>
  <c r="N15" i="262"/>
  <c r="E15" i="262"/>
  <c r="AF18" i="262" s="1"/>
  <c r="AJ14" i="262"/>
  <c r="AI14" i="262"/>
  <c r="AH14" i="262"/>
  <c r="AG14" i="262"/>
  <c r="U14" i="262"/>
  <c r="T14" i="262"/>
  <c r="R14" i="262"/>
  <c r="Q14" i="262"/>
  <c r="M14" i="262" s="1"/>
  <c r="AK17" i="262" s="1"/>
  <c r="P14" i="262"/>
  <c r="N14" i="262"/>
  <c r="E14" i="262"/>
  <c r="AF17" i="262" s="1"/>
  <c r="AJ13" i="262"/>
  <c r="AI13" i="262"/>
  <c r="AH13" i="262"/>
  <c r="AG13" i="262"/>
  <c r="U13" i="262"/>
  <c r="T13" i="262"/>
  <c r="R13" i="262"/>
  <c r="Q13" i="262"/>
  <c r="M13" i="262" s="1"/>
  <c r="AK16" i="262" s="1"/>
  <c r="P13" i="262"/>
  <c r="N13" i="262"/>
  <c r="E13" i="262"/>
  <c r="AF16" i="262" s="1"/>
  <c r="AJ12" i="262"/>
  <c r="AI12" i="262"/>
  <c r="AH12" i="262"/>
  <c r="AG12" i="262"/>
  <c r="U12" i="262"/>
  <c r="T12" i="262"/>
  <c r="R12" i="262"/>
  <c r="M12" i="262" s="1"/>
  <c r="AK7" i="262" s="1"/>
  <c r="Q12" i="262"/>
  <c r="P12" i="262"/>
  <c r="N12" i="262"/>
  <c r="E12" i="262"/>
  <c r="AF7" i="262" s="1"/>
  <c r="AJ11" i="262"/>
  <c r="AI11" i="262"/>
  <c r="AH11" i="262"/>
  <c r="AG11" i="262"/>
  <c r="U11" i="262"/>
  <c r="T11" i="262"/>
  <c r="R11" i="262"/>
  <c r="Q11" i="262"/>
  <c r="P11" i="262"/>
  <c r="N11" i="262"/>
  <c r="E11" i="262"/>
  <c r="AF25" i="262" s="1"/>
  <c r="AJ10" i="262"/>
  <c r="AI10" i="262"/>
  <c r="AH10" i="262"/>
  <c r="AG10" i="262"/>
  <c r="AF10" i="262"/>
  <c r="U10" i="262"/>
  <c r="T10" i="262"/>
  <c r="R10" i="262"/>
  <c r="Q10" i="262"/>
  <c r="M10" i="262" s="1"/>
  <c r="AK6" i="262" s="1"/>
  <c r="P10" i="262"/>
  <c r="N10" i="262"/>
  <c r="E10" i="262"/>
  <c r="AJ9" i="262"/>
  <c r="AI9" i="262"/>
  <c r="AH9" i="262"/>
  <c r="AG9" i="262"/>
  <c r="U9" i="262"/>
  <c r="T9" i="262"/>
  <c r="R9" i="262"/>
  <c r="Q9" i="262"/>
  <c r="P9" i="262"/>
  <c r="N9" i="262"/>
  <c r="E9" i="262"/>
  <c r="AF15" i="262" s="1"/>
  <c r="AJ8" i="262"/>
  <c r="AI8" i="262"/>
  <c r="AH8" i="262"/>
  <c r="AG8" i="262"/>
  <c r="U8" i="262"/>
  <c r="T8" i="262"/>
  <c r="R8" i="262"/>
  <c r="Q8" i="262"/>
  <c r="M8" i="262" s="1"/>
  <c r="AK24" i="262" s="1"/>
  <c r="P8" i="262"/>
  <c r="N8" i="262"/>
  <c r="E8" i="262"/>
  <c r="AF24" i="262" s="1"/>
  <c r="AJ7" i="262"/>
  <c r="AI7" i="262"/>
  <c r="AH7" i="262"/>
  <c r="AG7" i="262"/>
  <c r="U7" i="262"/>
  <c r="T7" i="262"/>
  <c r="R7" i="262"/>
  <c r="Q7" i="262"/>
  <c r="M7" i="262" s="1"/>
  <c r="AK23" i="262" s="1"/>
  <c r="P7" i="262"/>
  <c r="N7" i="262"/>
  <c r="E7" i="262"/>
  <c r="AF23" i="262" s="1"/>
  <c r="AJ6" i="262"/>
  <c r="AI6" i="262"/>
  <c r="AH6" i="262"/>
  <c r="AG6" i="262"/>
  <c r="AF6" i="262"/>
  <c r="U6" i="262"/>
  <c r="T6" i="262"/>
  <c r="R6" i="262"/>
  <c r="Q6" i="262"/>
  <c r="M6" i="262" s="1"/>
  <c r="AK14" i="262" s="1"/>
  <c r="P6" i="262"/>
  <c r="N6" i="262"/>
  <c r="E6" i="262"/>
  <c r="T46" i="261"/>
  <c r="R46" i="261"/>
  <c r="Q46" i="261"/>
  <c r="M46" i="261" s="1"/>
  <c r="P46" i="261"/>
  <c r="N46" i="261"/>
  <c r="T45" i="261"/>
  <c r="R45" i="261"/>
  <c r="Q45" i="261"/>
  <c r="M45" i="261" s="1"/>
  <c r="P45" i="261"/>
  <c r="N45" i="261"/>
  <c r="T44" i="261"/>
  <c r="R44" i="261"/>
  <c r="Q44" i="261"/>
  <c r="M44" i="261" s="1"/>
  <c r="P44" i="261"/>
  <c r="N44" i="261"/>
  <c r="AJ31" i="261"/>
  <c r="AI31" i="261"/>
  <c r="AH31" i="261"/>
  <c r="AG31" i="261"/>
  <c r="U31" i="261"/>
  <c r="T31" i="261"/>
  <c r="R31" i="261"/>
  <c r="Q31" i="261"/>
  <c r="P31" i="261"/>
  <c r="N31" i="261"/>
  <c r="E31" i="261"/>
  <c r="AF22" i="261" s="1"/>
  <c r="AJ30" i="261"/>
  <c r="AI30" i="261"/>
  <c r="AH30" i="261"/>
  <c r="AG30" i="261"/>
  <c r="U30" i="261"/>
  <c r="T30" i="261"/>
  <c r="R30" i="261"/>
  <c r="Q30" i="261"/>
  <c r="M30" i="261" s="1"/>
  <c r="AK13" i="261" s="1"/>
  <c r="P30" i="261"/>
  <c r="N30" i="261"/>
  <c r="E30" i="261"/>
  <c r="AF13" i="261" s="1"/>
  <c r="AJ29" i="261"/>
  <c r="AI29" i="261"/>
  <c r="AH29" i="261"/>
  <c r="AG29" i="261"/>
  <c r="U29" i="261"/>
  <c r="T29" i="261"/>
  <c r="R29" i="261"/>
  <c r="Q29" i="261"/>
  <c r="P29" i="261"/>
  <c r="N29" i="261"/>
  <c r="E29" i="261"/>
  <c r="AF21" i="261" s="1"/>
  <c r="AJ28" i="261"/>
  <c r="AI28" i="261"/>
  <c r="AH28" i="261"/>
  <c r="AG28" i="261"/>
  <c r="U28" i="261"/>
  <c r="T28" i="261"/>
  <c r="R28" i="261"/>
  <c r="Q28" i="261"/>
  <c r="P28" i="261"/>
  <c r="N28" i="261"/>
  <c r="E28" i="261"/>
  <c r="AF31" i="261" s="1"/>
  <c r="AJ27" i="261"/>
  <c r="AI27" i="261"/>
  <c r="AH27" i="261"/>
  <c r="AG27" i="261"/>
  <c r="U27" i="261"/>
  <c r="T27" i="261"/>
  <c r="R27" i="261"/>
  <c r="Q27" i="261"/>
  <c r="P27" i="261"/>
  <c r="N27" i="261"/>
  <c r="E27" i="261"/>
  <c r="AF12" i="261" s="1"/>
  <c r="AJ26" i="261"/>
  <c r="AI26" i="261"/>
  <c r="AH26" i="261"/>
  <c r="AG26" i="261"/>
  <c r="U26" i="261"/>
  <c r="T26" i="261"/>
  <c r="R26" i="261"/>
  <c r="Q26" i="261"/>
  <c r="M26" i="261" s="1"/>
  <c r="AK30" i="261" s="1"/>
  <c r="P26" i="261"/>
  <c r="N26" i="261"/>
  <c r="E26" i="261"/>
  <c r="AF30" i="261" s="1"/>
  <c r="AJ25" i="261"/>
  <c r="AI25" i="261"/>
  <c r="AH25" i="261"/>
  <c r="AG25" i="261"/>
  <c r="U25" i="261"/>
  <c r="T25" i="261"/>
  <c r="R25" i="261"/>
  <c r="Q25" i="261"/>
  <c r="M25" i="261" s="1"/>
  <c r="AK20" i="261" s="1"/>
  <c r="P25" i="261"/>
  <c r="N25" i="261"/>
  <c r="E25" i="261"/>
  <c r="AF20" i="261" s="1"/>
  <c r="AJ24" i="261"/>
  <c r="AI24" i="261"/>
  <c r="AH24" i="261"/>
  <c r="AG24" i="261"/>
  <c r="U24" i="261"/>
  <c r="T24" i="261"/>
  <c r="R24" i="261"/>
  <c r="Q24" i="261"/>
  <c r="P24" i="261"/>
  <c r="N24" i="261"/>
  <c r="E24" i="261"/>
  <c r="AF11" i="261" s="1"/>
  <c r="AJ23" i="261"/>
  <c r="AI23" i="261"/>
  <c r="AH23" i="261"/>
  <c r="AG23" i="261"/>
  <c r="AF23" i="261"/>
  <c r="U23" i="261"/>
  <c r="T23" i="261"/>
  <c r="R23" i="261"/>
  <c r="Q23" i="261"/>
  <c r="P23" i="261"/>
  <c r="N23" i="261"/>
  <c r="E23" i="261"/>
  <c r="AF10" i="261" s="1"/>
  <c r="AJ22" i="261"/>
  <c r="AI22" i="261"/>
  <c r="AH22" i="261"/>
  <c r="AG22" i="261"/>
  <c r="U22" i="261"/>
  <c r="T22" i="261"/>
  <c r="R22" i="261"/>
  <c r="Q22" i="261"/>
  <c r="P22" i="261"/>
  <c r="N22" i="261"/>
  <c r="E22" i="261"/>
  <c r="AF9" i="261" s="1"/>
  <c r="AJ21" i="261"/>
  <c r="AI21" i="261"/>
  <c r="AH21" i="261"/>
  <c r="AG21" i="261"/>
  <c r="U21" i="261"/>
  <c r="T21" i="261"/>
  <c r="R21" i="261"/>
  <c r="Q21" i="261"/>
  <c r="M21" i="261" s="1"/>
  <c r="AK29" i="261" s="1"/>
  <c r="P21" i="261"/>
  <c r="N21" i="261"/>
  <c r="E21" i="261"/>
  <c r="AF29" i="261" s="1"/>
  <c r="AJ20" i="261"/>
  <c r="AI20" i="261"/>
  <c r="AH20" i="261"/>
  <c r="AG20" i="261"/>
  <c r="U20" i="261"/>
  <c r="T20" i="261"/>
  <c r="R20" i="261"/>
  <c r="Q20" i="261"/>
  <c r="M20" i="261" s="1"/>
  <c r="AK19" i="261" s="1"/>
  <c r="P20" i="261"/>
  <c r="N20" i="261"/>
  <c r="E20" i="261"/>
  <c r="AF19" i="261" s="1"/>
  <c r="AJ19" i="261"/>
  <c r="AI19" i="261"/>
  <c r="AH19" i="261"/>
  <c r="AG19" i="261"/>
  <c r="U19" i="261"/>
  <c r="T19" i="261"/>
  <c r="R19" i="261"/>
  <c r="Q19" i="261"/>
  <c r="P19" i="261"/>
  <c r="N19" i="261"/>
  <c r="E19" i="261"/>
  <c r="AF28" i="261" s="1"/>
  <c r="AJ18" i="261"/>
  <c r="AI18" i="261"/>
  <c r="AH18" i="261"/>
  <c r="AG18" i="261"/>
  <c r="U18" i="261"/>
  <c r="T18" i="261"/>
  <c r="R18" i="261"/>
  <c r="Q18" i="261"/>
  <c r="P18" i="261"/>
  <c r="N18" i="261"/>
  <c r="E18" i="261"/>
  <c r="AF8" i="261" s="1"/>
  <c r="AJ17" i="261"/>
  <c r="AI17" i="261"/>
  <c r="AH17" i="261"/>
  <c r="AG17" i="261"/>
  <c r="U17" i="261"/>
  <c r="T17" i="261"/>
  <c r="R17" i="261"/>
  <c r="Q17" i="261"/>
  <c r="M17" i="261" s="1"/>
  <c r="AK27" i="261" s="1"/>
  <c r="P17" i="261"/>
  <c r="N17" i="261"/>
  <c r="E17" i="261"/>
  <c r="AF27" i="261" s="1"/>
  <c r="AJ16" i="261"/>
  <c r="AI16" i="261"/>
  <c r="AH16" i="261"/>
  <c r="AG16" i="261"/>
  <c r="U16" i="261"/>
  <c r="T16" i="261"/>
  <c r="R16" i="261"/>
  <c r="Q16" i="261"/>
  <c r="P16" i="261"/>
  <c r="N16" i="261"/>
  <c r="E16" i="261"/>
  <c r="AF26" i="261" s="1"/>
  <c r="AJ15" i="261"/>
  <c r="AI15" i="261"/>
  <c r="AH15" i="261"/>
  <c r="AG15" i="261"/>
  <c r="U15" i="261"/>
  <c r="T15" i="261"/>
  <c r="R15" i="261"/>
  <c r="Q15" i="261"/>
  <c r="P15" i="261"/>
  <c r="N15" i="261"/>
  <c r="E15" i="261"/>
  <c r="AF18" i="261" s="1"/>
  <c r="AJ14" i="261"/>
  <c r="AI14" i="261"/>
  <c r="AH14" i="261"/>
  <c r="AG14" i="261"/>
  <c r="U14" i="261"/>
  <c r="T14" i="261"/>
  <c r="R14" i="261"/>
  <c r="Q14" i="261"/>
  <c r="M14" i="261" s="1"/>
  <c r="AK17" i="261" s="1"/>
  <c r="P14" i="261"/>
  <c r="N14" i="261"/>
  <c r="E14" i="261"/>
  <c r="AF17" i="261" s="1"/>
  <c r="AJ13" i="261"/>
  <c r="AI13" i="261"/>
  <c r="AH13" i="261"/>
  <c r="AG13" i="261"/>
  <c r="U13" i="261"/>
  <c r="T13" i="261"/>
  <c r="R13" i="261"/>
  <c r="Q13" i="261"/>
  <c r="P13" i="261"/>
  <c r="N13" i="261"/>
  <c r="E13" i="261"/>
  <c r="AF16" i="261" s="1"/>
  <c r="AJ12" i="261"/>
  <c r="AI12" i="261"/>
  <c r="AH12" i="261"/>
  <c r="AG12" i="261"/>
  <c r="U12" i="261"/>
  <c r="T12" i="261"/>
  <c r="R12" i="261"/>
  <c r="Q12" i="261"/>
  <c r="P12" i="261"/>
  <c r="N12" i="261"/>
  <c r="E12" i="261"/>
  <c r="AF7" i="261" s="1"/>
  <c r="AJ11" i="261"/>
  <c r="AI11" i="261"/>
  <c r="AH11" i="261"/>
  <c r="AG11" i="261"/>
  <c r="U11" i="261"/>
  <c r="T11" i="261"/>
  <c r="R11" i="261"/>
  <c r="Q11" i="261"/>
  <c r="P11" i="261"/>
  <c r="N11" i="261"/>
  <c r="E11" i="261"/>
  <c r="AF25" i="261" s="1"/>
  <c r="AJ10" i="261"/>
  <c r="AI10" i="261"/>
  <c r="AH10" i="261"/>
  <c r="AG10" i="261"/>
  <c r="U10" i="261"/>
  <c r="T10" i="261"/>
  <c r="R10" i="261"/>
  <c r="Q10" i="261"/>
  <c r="M10" i="261" s="1"/>
  <c r="AK6" i="261" s="1"/>
  <c r="P10" i="261"/>
  <c r="N10" i="261"/>
  <c r="E10" i="261"/>
  <c r="AF6" i="261" s="1"/>
  <c r="AJ9" i="261"/>
  <c r="AI9" i="261"/>
  <c r="AH9" i="261"/>
  <c r="AG9" i="261"/>
  <c r="U9" i="261"/>
  <c r="T9" i="261"/>
  <c r="R9" i="261"/>
  <c r="Q9" i="261"/>
  <c r="P9" i="261"/>
  <c r="N9" i="261"/>
  <c r="E9" i="261"/>
  <c r="AF15" i="261" s="1"/>
  <c r="AJ8" i="261"/>
  <c r="AI8" i="261"/>
  <c r="AH8" i="261"/>
  <c r="AG8" i="261"/>
  <c r="U8" i="261"/>
  <c r="T8" i="261"/>
  <c r="R8" i="261"/>
  <c r="Q8" i="261"/>
  <c r="P8" i="261"/>
  <c r="N8" i="261"/>
  <c r="E8" i="261"/>
  <c r="AF24" i="261" s="1"/>
  <c r="AJ7" i="261"/>
  <c r="AI7" i="261"/>
  <c r="AH7" i="261"/>
  <c r="AG7" i="261"/>
  <c r="U7" i="261"/>
  <c r="T7" i="261"/>
  <c r="R7" i="261"/>
  <c r="Q7" i="261"/>
  <c r="P7" i="261"/>
  <c r="N7" i="261"/>
  <c r="E7" i="261"/>
  <c r="AJ6" i="261"/>
  <c r="AI6" i="261"/>
  <c r="AH6" i="261"/>
  <c r="AG6" i="261"/>
  <c r="U6" i="261"/>
  <c r="T6" i="261"/>
  <c r="R6" i="261"/>
  <c r="Q6" i="261"/>
  <c r="P6" i="261"/>
  <c r="N6" i="261"/>
  <c r="E6" i="261"/>
  <c r="O27" i="261" s="1"/>
  <c r="T46" i="260"/>
  <c r="R46" i="260"/>
  <c r="Q46" i="260"/>
  <c r="M46" i="260" s="1"/>
  <c r="P46" i="260"/>
  <c r="N46" i="260"/>
  <c r="T45" i="260"/>
  <c r="R45" i="260"/>
  <c r="Q45" i="260"/>
  <c r="P45" i="260"/>
  <c r="N45" i="260"/>
  <c r="T44" i="260"/>
  <c r="R44" i="260"/>
  <c r="Q44" i="260"/>
  <c r="M44" i="260" s="1"/>
  <c r="P44" i="260"/>
  <c r="N44" i="260"/>
  <c r="AJ31" i="260"/>
  <c r="AI31" i="260"/>
  <c r="AH31" i="260"/>
  <c r="AG31" i="260"/>
  <c r="AF31" i="260"/>
  <c r="U31" i="260"/>
  <c r="T31" i="260"/>
  <c r="R31" i="260"/>
  <c r="Q31" i="260"/>
  <c r="P31" i="260"/>
  <c r="N31" i="260"/>
  <c r="M31" i="260"/>
  <c r="AK22" i="260" s="1"/>
  <c r="E31" i="260"/>
  <c r="AF22" i="260" s="1"/>
  <c r="AJ30" i="260"/>
  <c r="AI30" i="260"/>
  <c r="AH30" i="260"/>
  <c r="AG30" i="260"/>
  <c r="U30" i="260"/>
  <c r="T30" i="260"/>
  <c r="R30" i="260"/>
  <c r="Q30" i="260"/>
  <c r="M30" i="260" s="1"/>
  <c r="AK13" i="260" s="1"/>
  <c r="P30" i="260"/>
  <c r="N30" i="260"/>
  <c r="E30" i="260"/>
  <c r="AF13" i="260" s="1"/>
  <c r="AJ29" i="260"/>
  <c r="AI29" i="260"/>
  <c r="AH29" i="260"/>
  <c r="AG29" i="260"/>
  <c r="U29" i="260"/>
  <c r="T29" i="260"/>
  <c r="R29" i="260"/>
  <c r="Q29" i="260"/>
  <c r="P29" i="260"/>
  <c r="N29" i="260"/>
  <c r="M29" i="260"/>
  <c r="AK21" i="260" s="1"/>
  <c r="E29" i="260"/>
  <c r="AF21" i="260" s="1"/>
  <c r="AJ28" i="260"/>
  <c r="AI28" i="260"/>
  <c r="AH28" i="260"/>
  <c r="AG28" i="260"/>
  <c r="U28" i="260"/>
  <c r="T28" i="260"/>
  <c r="R28" i="260"/>
  <c r="Q28" i="260"/>
  <c r="P28" i="260"/>
  <c r="N28" i="260"/>
  <c r="E28" i="260"/>
  <c r="AJ27" i="260"/>
  <c r="AI27" i="260"/>
  <c r="AH27" i="260"/>
  <c r="AG27" i="260"/>
  <c r="AF27" i="260"/>
  <c r="U27" i="260"/>
  <c r="T27" i="260"/>
  <c r="R27" i="260"/>
  <c r="Q27" i="260"/>
  <c r="M27" i="260" s="1"/>
  <c r="AK12" i="260" s="1"/>
  <c r="P27" i="260"/>
  <c r="N27" i="260"/>
  <c r="E27" i="260"/>
  <c r="AJ26" i="260"/>
  <c r="AI26" i="260"/>
  <c r="AH26" i="260"/>
  <c r="AG26" i="260"/>
  <c r="U26" i="260"/>
  <c r="T26" i="260"/>
  <c r="R26" i="260"/>
  <c r="Q26" i="260"/>
  <c r="M26" i="260" s="1"/>
  <c r="AK30" i="260" s="1"/>
  <c r="P26" i="260"/>
  <c r="N26" i="260"/>
  <c r="E26" i="260"/>
  <c r="AF30" i="260" s="1"/>
  <c r="AJ25" i="260"/>
  <c r="AI25" i="260"/>
  <c r="AH25" i="260"/>
  <c r="AG25" i="260"/>
  <c r="U25" i="260"/>
  <c r="T25" i="260"/>
  <c r="R25" i="260"/>
  <c r="Q25" i="260"/>
  <c r="P25" i="260"/>
  <c r="N25" i="260"/>
  <c r="E25" i="260"/>
  <c r="AF20" i="260" s="1"/>
  <c r="AJ24" i="260"/>
  <c r="AI24" i="260"/>
  <c r="AH24" i="260"/>
  <c r="AG24" i="260"/>
  <c r="U24" i="260"/>
  <c r="T24" i="260"/>
  <c r="R24" i="260"/>
  <c r="Q24" i="260"/>
  <c r="P24" i="260"/>
  <c r="N24" i="260"/>
  <c r="E24" i="260"/>
  <c r="AF11" i="260" s="1"/>
  <c r="AJ23" i="260"/>
  <c r="AI23" i="260"/>
  <c r="AH23" i="260"/>
  <c r="AG23" i="260"/>
  <c r="U23" i="260"/>
  <c r="T23" i="260"/>
  <c r="R23" i="260"/>
  <c r="Q23" i="260"/>
  <c r="M23" i="260" s="1"/>
  <c r="AK10" i="260" s="1"/>
  <c r="P23" i="260"/>
  <c r="N23" i="260"/>
  <c r="E23" i="260"/>
  <c r="AF10" i="260" s="1"/>
  <c r="AJ22" i="260"/>
  <c r="AI22" i="260"/>
  <c r="AH22" i="260"/>
  <c r="AG22" i="260"/>
  <c r="U22" i="260"/>
  <c r="T22" i="260"/>
  <c r="R22" i="260"/>
  <c r="Q22" i="260"/>
  <c r="M22" i="260" s="1"/>
  <c r="AK9" i="260" s="1"/>
  <c r="P22" i="260"/>
  <c r="N22" i="260"/>
  <c r="E22" i="260"/>
  <c r="AJ21" i="260"/>
  <c r="AI21" i="260"/>
  <c r="AH21" i="260"/>
  <c r="AG21" i="260"/>
  <c r="U21" i="260"/>
  <c r="T21" i="260"/>
  <c r="R21" i="260"/>
  <c r="Q21" i="260"/>
  <c r="M21" i="260" s="1"/>
  <c r="AK29" i="260" s="1"/>
  <c r="P21" i="260"/>
  <c r="N21" i="260"/>
  <c r="E21" i="260"/>
  <c r="AF29" i="260" s="1"/>
  <c r="AJ20" i="260"/>
  <c r="AI20" i="260"/>
  <c r="AH20" i="260"/>
  <c r="AG20" i="260"/>
  <c r="U20" i="260"/>
  <c r="T20" i="260"/>
  <c r="R20" i="260"/>
  <c r="Q20" i="260"/>
  <c r="P20" i="260"/>
  <c r="N20" i="260"/>
  <c r="E20" i="260"/>
  <c r="AJ19" i="260"/>
  <c r="AI19" i="260"/>
  <c r="AH19" i="260"/>
  <c r="AG19" i="260"/>
  <c r="AF19" i="260"/>
  <c r="U19" i="260"/>
  <c r="T19" i="260"/>
  <c r="R19" i="260"/>
  <c r="Q19" i="260"/>
  <c r="M19" i="260" s="1"/>
  <c r="AK28" i="260" s="1"/>
  <c r="P19" i="260"/>
  <c r="N19" i="260"/>
  <c r="E19" i="260"/>
  <c r="AF28" i="260" s="1"/>
  <c r="AJ18" i="260"/>
  <c r="AI18" i="260"/>
  <c r="AH18" i="260"/>
  <c r="AG18" i="260"/>
  <c r="U18" i="260"/>
  <c r="T18" i="260"/>
  <c r="R18" i="260"/>
  <c r="Q18" i="260"/>
  <c r="M18" i="260" s="1"/>
  <c r="AK8" i="260" s="1"/>
  <c r="P18" i="260"/>
  <c r="N18" i="260"/>
  <c r="E18" i="260"/>
  <c r="AF8" i="260" s="1"/>
  <c r="AJ17" i="260"/>
  <c r="AI17" i="260"/>
  <c r="AH17" i="260"/>
  <c r="AG17" i="260"/>
  <c r="U17" i="260"/>
  <c r="T17" i="260"/>
  <c r="R17" i="260"/>
  <c r="Q17" i="260"/>
  <c r="P17" i="260"/>
  <c r="N17" i="260"/>
  <c r="E17" i="260"/>
  <c r="AJ16" i="260"/>
  <c r="AI16" i="260"/>
  <c r="AH16" i="260"/>
  <c r="AG16" i="260"/>
  <c r="U16" i="260"/>
  <c r="T16" i="260"/>
  <c r="R16" i="260"/>
  <c r="Q16" i="260"/>
  <c r="P16" i="260"/>
  <c r="N16" i="260"/>
  <c r="E16" i="260"/>
  <c r="AF26" i="260" s="1"/>
  <c r="AJ15" i="260"/>
  <c r="AI15" i="260"/>
  <c r="AH15" i="260"/>
  <c r="AG15" i="260"/>
  <c r="U15" i="260"/>
  <c r="T15" i="260"/>
  <c r="R15" i="260"/>
  <c r="Q15" i="260"/>
  <c r="P15" i="260"/>
  <c r="N15" i="260"/>
  <c r="M15" i="260"/>
  <c r="AK18" i="260" s="1"/>
  <c r="E15" i="260"/>
  <c r="AF18" i="260" s="1"/>
  <c r="AJ14" i="260"/>
  <c r="AI14" i="260"/>
  <c r="AH14" i="260"/>
  <c r="AG14" i="260"/>
  <c r="U14" i="260"/>
  <c r="T14" i="260"/>
  <c r="R14" i="260"/>
  <c r="Q14" i="260"/>
  <c r="P14" i="260"/>
  <c r="N14" i="260"/>
  <c r="E14" i="260"/>
  <c r="AF17" i="260" s="1"/>
  <c r="AJ13" i="260"/>
  <c r="AI13" i="260"/>
  <c r="AH13" i="260"/>
  <c r="AG13" i="260"/>
  <c r="U13" i="260"/>
  <c r="T13" i="260"/>
  <c r="R13" i="260"/>
  <c r="M13" i="260" s="1"/>
  <c r="AK16" i="260" s="1"/>
  <c r="Q13" i="260"/>
  <c r="P13" i="260"/>
  <c r="N13" i="260"/>
  <c r="E13" i="260"/>
  <c r="AF16" i="260" s="1"/>
  <c r="AJ12" i="260"/>
  <c r="AI12" i="260"/>
  <c r="AH12" i="260"/>
  <c r="AG12" i="260"/>
  <c r="AF12" i="260"/>
  <c r="U12" i="260"/>
  <c r="T12" i="260"/>
  <c r="R12" i="260"/>
  <c r="M12" i="260" s="1"/>
  <c r="AK7" i="260" s="1"/>
  <c r="Q12" i="260"/>
  <c r="P12" i="260"/>
  <c r="N12" i="260"/>
  <c r="E12" i="260"/>
  <c r="AF7" i="260" s="1"/>
  <c r="AJ11" i="260"/>
  <c r="AI11" i="260"/>
  <c r="AH11" i="260"/>
  <c r="AG11" i="260"/>
  <c r="U11" i="260"/>
  <c r="T11" i="260"/>
  <c r="R11" i="260"/>
  <c r="Q11" i="260"/>
  <c r="M11" i="260" s="1"/>
  <c r="AK25" i="260" s="1"/>
  <c r="P11" i="260"/>
  <c r="N11" i="260"/>
  <c r="E11" i="260"/>
  <c r="AF25" i="260" s="1"/>
  <c r="AJ10" i="260"/>
  <c r="AI10" i="260"/>
  <c r="AH10" i="260"/>
  <c r="AG10" i="260"/>
  <c r="U10" i="260"/>
  <c r="T10" i="260"/>
  <c r="R10" i="260"/>
  <c r="Q10" i="260"/>
  <c r="M10" i="260" s="1"/>
  <c r="AK6" i="260" s="1"/>
  <c r="P10" i="260"/>
  <c r="N10" i="260"/>
  <c r="E10" i="260"/>
  <c r="AJ9" i="260"/>
  <c r="AI9" i="260"/>
  <c r="AH9" i="260"/>
  <c r="AG9" i="260"/>
  <c r="AF9" i="260"/>
  <c r="U9" i="260"/>
  <c r="T9" i="260"/>
  <c r="R9" i="260"/>
  <c r="Q9" i="260"/>
  <c r="P9" i="260"/>
  <c r="N9" i="260"/>
  <c r="E9" i="260"/>
  <c r="AF15" i="260" s="1"/>
  <c r="AJ8" i="260"/>
  <c r="AI8" i="260"/>
  <c r="AH8" i="260"/>
  <c r="AG8" i="260"/>
  <c r="U8" i="260"/>
  <c r="T8" i="260"/>
  <c r="R8" i="260"/>
  <c r="Q8" i="260"/>
  <c r="M8" i="260" s="1"/>
  <c r="AK24" i="260" s="1"/>
  <c r="P8" i="260"/>
  <c r="N8" i="260"/>
  <c r="E8" i="260"/>
  <c r="AF24" i="260" s="1"/>
  <c r="AJ7" i="260"/>
  <c r="AI7" i="260"/>
  <c r="AH7" i="260"/>
  <c r="AG7" i="260"/>
  <c r="U7" i="260"/>
  <c r="T7" i="260"/>
  <c r="R7" i="260"/>
  <c r="Q7" i="260"/>
  <c r="M7" i="260" s="1"/>
  <c r="AK23" i="260" s="1"/>
  <c r="P7" i="260"/>
  <c r="N7" i="260"/>
  <c r="E7" i="260"/>
  <c r="AF23" i="260" s="1"/>
  <c r="AJ6" i="260"/>
  <c r="AI6" i="260"/>
  <c r="AH6" i="260"/>
  <c r="AG6" i="260"/>
  <c r="U6" i="260"/>
  <c r="T6" i="260"/>
  <c r="R6" i="260"/>
  <c r="Q6" i="260"/>
  <c r="P6" i="260"/>
  <c r="N6" i="260"/>
  <c r="E6" i="260"/>
  <c r="M20" i="260" l="1"/>
  <c r="AK19" i="260" s="1"/>
  <c r="M7" i="261"/>
  <c r="AK23" i="261" s="1"/>
  <c r="M22" i="261"/>
  <c r="AK9" i="261" s="1"/>
  <c r="M11" i="262"/>
  <c r="AK25" i="262" s="1"/>
  <c r="M22" i="262"/>
  <c r="AK9" i="262" s="1"/>
  <c r="M8" i="261"/>
  <c r="AK24" i="261" s="1"/>
  <c r="M9" i="260"/>
  <c r="AK15" i="260" s="1"/>
  <c r="M15" i="262"/>
  <c r="AK18" i="262" s="1"/>
  <c r="M6" i="260"/>
  <c r="AK14" i="260" s="1"/>
  <c r="M17" i="260"/>
  <c r="AK27" i="260" s="1"/>
  <c r="M24" i="260"/>
  <c r="AK11" i="260" s="1"/>
  <c r="M29" i="261"/>
  <c r="AK21" i="261" s="1"/>
  <c r="M9" i="261"/>
  <c r="AK15" i="261" s="1"/>
  <c r="M11" i="261"/>
  <c r="AK25" i="261" s="1"/>
  <c r="M27" i="261"/>
  <c r="AK12" i="261" s="1"/>
  <c r="M26" i="262"/>
  <c r="AK30" i="262" s="1"/>
  <c r="M24" i="262"/>
  <c r="AK11" i="262" s="1"/>
  <c r="M30" i="262"/>
  <c r="AK13" i="262" s="1"/>
  <c r="M9" i="262"/>
  <c r="AK15" i="262" s="1"/>
  <c r="M16" i="262"/>
  <c r="AK26" i="262" s="1"/>
  <c r="M45" i="262"/>
  <c r="AB20" i="262"/>
  <c r="AD17" i="262"/>
  <c r="AB28" i="262"/>
  <c r="AB7" i="262"/>
  <c r="AC25" i="260"/>
  <c r="AC9" i="260"/>
  <c r="AD14" i="260"/>
  <c r="K45" i="260" s="1"/>
  <c r="M17" i="262"/>
  <c r="AK27" i="262" s="1"/>
  <c r="M19" i="262"/>
  <c r="AK28" i="262" s="1"/>
  <c r="M31" i="262"/>
  <c r="AK22" i="262" s="1"/>
  <c r="M20" i="262"/>
  <c r="AK19" i="262" s="1"/>
  <c r="M44" i="262"/>
  <c r="AC20" i="262"/>
  <c r="AB15" i="262"/>
  <c r="O45" i="262"/>
  <c r="AD12" i="262"/>
  <c r="AD25" i="262"/>
  <c r="AB25" i="262"/>
  <c r="AB16" i="262"/>
  <c r="AC29" i="262"/>
  <c r="AC21" i="262"/>
  <c r="AB13" i="262"/>
  <c r="AB23" i="262"/>
  <c r="AB8" i="262"/>
  <c r="AC25" i="262"/>
  <c r="AC28" i="262"/>
  <c r="AB11" i="262"/>
  <c r="AC7" i="262"/>
  <c r="AD6" i="262"/>
  <c r="K44" i="262" s="1"/>
  <c r="AB24" i="262"/>
  <c r="AD9" i="262"/>
  <c r="AD14" i="262"/>
  <c r="K45" i="262" s="1"/>
  <c r="AD26" i="262"/>
  <c r="M12" i="261"/>
  <c r="AK7" i="261" s="1"/>
  <c r="M19" i="261"/>
  <c r="AK28" i="261" s="1"/>
  <c r="M23" i="261"/>
  <c r="AK10" i="261" s="1"/>
  <c r="M6" i="261"/>
  <c r="AK14" i="261" s="1"/>
  <c r="M15" i="261"/>
  <c r="AK18" i="261" s="1"/>
  <c r="M28" i="261"/>
  <c r="AK31" i="261" s="1"/>
  <c r="M16" i="261"/>
  <c r="AK26" i="261" s="1"/>
  <c r="M31" i="261"/>
  <c r="AK22" i="261" s="1"/>
  <c r="M13" i="261"/>
  <c r="AK16" i="261" s="1"/>
  <c r="M18" i="261"/>
  <c r="AK8" i="261" s="1"/>
  <c r="M24" i="261"/>
  <c r="AK11" i="261" s="1"/>
  <c r="S7" i="261"/>
  <c r="O44" i="261"/>
  <c r="S46" i="261"/>
  <c r="S45" i="261"/>
  <c r="S13" i="261"/>
  <c r="S8" i="261"/>
  <c r="S21" i="261"/>
  <c r="S20" i="261"/>
  <c r="O24" i="261"/>
  <c r="AC17" i="261"/>
  <c r="S31" i="261"/>
  <c r="S16" i="261"/>
  <c r="AD16" i="261"/>
  <c r="S28" i="261"/>
  <c r="O17" i="261"/>
  <c r="S25" i="261"/>
  <c r="S15" i="261"/>
  <c r="S29" i="261"/>
  <c r="O9" i="261"/>
  <c r="S12" i="261"/>
  <c r="S23" i="261"/>
  <c r="AB21" i="261"/>
  <c r="AD13" i="261"/>
  <c r="AB16" i="261"/>
  <c r="AB30" i="261"/>
  <c r="AB28" i="261"/>
  <c r="AB12" i="261"/>
  <c r="AC10" i="261"/>
  <c r="AD22" i="261"/>
  <c r="AB8" i="261"/>
  <c r="M28" i="260"/>
  <c r="AK31" i="260" s="1"/>
  <c r="M45" i="260"/>
  <c r="M14" i="260"/>
  <c r="AK17" i="260" s="1"/>
  <c r="M16" i="260"/>
  <c r="AK26" i="260" s="1"/>
  <c r="M25" i="260"/>
  <c r="AK20" i="260" s="1"/>
  <c r="O30" i="260"/>
  <c r="O28" i="260"/>
  <c r="AB12" i="260"/>
  <c r="AC14" i="260"/>
  <c r="J45" i="260" s="1"/>
  <c r="AC30" i="260"/>
  <c r="AF14" i="260"/>
  <c r="O9" i="260"/>
  <c r="AB19" i="260"/>
  <c r="AC6" i="260"/>
  <c r="J44" i="260" s="1"/>
  <c r="AB9" i="260"/>
  <c r="AB28" i="260"/>
  <c r="AB25" i="260"/>
  <c r="AB27" i="260"/>
  <c r="AB23" i="260"/>
  <c r="AD6" i="260"/>
  <c r="K44" i="260" s="1"/>
  <c r="AB11" i="260"/>
  <c r="AC24" i="260"/>
  <c r="AB17" i="260"/>
  <c r="AB21" i="260"/>
  <c r="AC22" i="260"/>
  <c r="AC16" i="260"/>
  <c r="AB20" i="260"/>
  <c r="AD11" i="260"/>
  <c r="AB6" i="260"/>
  <c r="AB7" i="260"/>
  <c r="AC17" i="260"/>
  <c r="O9" i="262"/>
  <c r="O13" i="262"/>
  <c r="S29" i="262"/>
  <c r="AB9" i="261"/>
  <c r="AB17" i="262"/>
  <c r="O21" i="262"/>
  <c r="O25" i="262"/>
  <c r="AB17" i="261"/>
  <c r="AB22" i="261"/>
  <c r="AB9" i="262"/>
  <c r="AB21" i="262"/>
  <c r="S30" i="261"/>
  <c r="O26" i="261"/>
  <c r="S22" i="261"/>
  <c r="O18" i="261"/>
  <c r="S14" i="261"/>
  <c r="O10" i="261"/>
  <c r="S6" i="261"/>
  <c r="O46" i="261"/>
  <c r="S44" i="261"/>
  <c r="O31" i="261"/>
  <c r="S27" i="261"/>
  <c r="O23" i="261"/>
  <c r="S19" i="261"/>
  <c r="O15" i="261"/>
  <c r="S11" i="261"/>
  <c r="O7" i="261"/>
  <c r="O28" i="261"/>
  <c r="S24" i="261"/>
  <c r="O20" i="261"/>
  <c r="O30" i="261"/>
  <c r="S26" i="261"/>
  <c r="O22" i="261"/>
  <c r="S18" i="261"/>
  <c r="O14" i="261"/>
  <c r="S10" i="261"/>
  <c r="O6" i="261"/>
  <c r="AB6" i="261"/>
  <c r="S9" i="261"/>
  <c r="AB11" i="261"/>
  <c r="AC21" i="261"/>
  <c r="O25" i="261"/>
  <c r="O45" i="261"/>
  <c r="AD11" i="262"/>
  <c r="S9" i="262"/>
  <c r="S11" i="262"/>
  <c r="AB12" i="262"/>
  <c r="S13" i="262"/>
  <c r="AF14" i="262"/>
  <c r="S17" i="262"/>
  <c r="AD29" i="262"/>
  <c r="AC24" i="262"/>
  <c r="AC31" i="262"/>
  <c r="AD28" i="262"/>
  <c r="AB26" i="262"/>
  <c r="AC23" i="262"/>
  <c r="J46" i="262" s="1"/>
  <c r="O28" i="262"/>
  <c r="O29" i="262"/>
  <c r="AC20" i="261"/>
  <c r="AD17" i="261"/>
  <c r="AB24" i="261"/>
  <c r="AB29" i="261"/>
  <c r="AC24" i="261"/>
  <c r="O30" i="262"/>
  <c r="S26" i="262"/>
  <c r="O22" i="262"/>
  <c r="S18" i="262"/>
  <c r="O14" i="262"/>
  <c r="S10" i="262"/>
  <c r="O6" i="262"/>
  <c r="O24" i="262"/>
  <c r="S12" i="262"/>
  <c r="S46" i="262"/>
  <c r="O44" i="262"/>
  <c r="S31" i="262"/>
  <c r="O27" i="262"/>
  <c r="S23" i="262"/>
  <c r="O19" i="262"/>
  <c r="S15" i="262"/>
  <c r="O11" i="262"/>
  <c r="S7" i="262"/>
  <c r="S28" i="262"/>
  <c r="S20" i="262"/>
  <c r="O16" i="262"/>
  <c r="O8" i="262"/>
  <c r="S30" i="262"/>
  <c r="O26" i="262"/>
  <c r="S22" i="262"/>
  <c r="O18" i="262"/>
  <c r="S14" i="262"/>
  <c r="O10" i="262"/>
  <c r="S6" i="262"/>
  <c r="O46" i="262"/>
  <c r="S44" i="262"/>
  <c r="O31" i="262"/>
  <c r="S27" i="262"/>
  <c r="O23" i="262"/>
  <c r="S19" i="262"/>
  <c r="O15" i="262"/>
  <c r="AC14" i="262"/>
  <c r="J45" i="262" s="1"/>
  <c r="AB14" i="262"/>
  <c r="AD21" i="262"/>
  <c r="AC16" i="262"/>
  <c r="AD20" i="262"/>
  <c r="AB18" i="262"/>
  <c r="AC15" i="262"/>
  <c r="AD24" i="261"/>
  <c r="AC25" i="261"/>
  <c r="AD6" i="261"/>
  <c r="K44" i="261" s="1"/>
  <c r="AD10" i="261"/>
  <c r="AC11" i="261"/>
  <c r="AB14" i="261"/>
  <c r="S17" i="261"/>
  <c r="O21" i="261"/>
  <c r="AD21" i="261"/>
  <c r="AB25" i="261"/>
  <c r="AC29" i="261"/>
  <c r="AD30" i="261"/>
  <c r="S8" i="262"/>
  <c r="AC12" i="262"/>
  <c r="AD18" i="262"/>
  <c r="AB19" i="262"/>
  <c r="AB29" i="262"/>
  <c r="AB31" i="262"/>
  <c r="O8" i="261"/>
  <c r="AC8" i="261"/>
  <c r="O11" i="261"/>
  <c r="O12" i="261"/>
  <c r="AC12" i="261"/>
  <c r="AC13" i="261"/>
  <c r="AD14" i="261"/>
  <c r="K45" i="261" s="1"/>
  <c r="AB15" i="261"/>
  <c r="AD18" i="261"/>
  <c r="AC19" i="261"/>
  <c r="AD31" i="261"/>
  <c r="AC26" i="261"/>
  <c r="AD23" i="261"/>
  <c r="K46" i="261" s="1"/>
  <c r="AB23" i="261"/>
  <c r="AC31" i="261"/>
  <c r="AD28" i="261"/>
  <c r="AB26" i="261"/>
  <c r="AC23" i="261"/>
  <c r="J46" i="261" s="1"/>
  <c r="AC28" i="261"/>
  <c r="AD25" i="261"/>
  <c r="AC30" i="261"/>
  <c r="AD27" i="261"/>
  <c r="AB27" i="261"/>
  <c r="O29" i="261"/>
  <c r="AD29" i="261"/>
  <c r="AB31" i="261"/>
  <c r="AB10" i="262"/>
  <c r="O12" i="262"/>
  <c r="AC22" i="262"/>
  <c r="S21" i="262"/>
  <c r="AC30" i="262"/>
  <c r="S25" i="262"/>
  <c r="AD9" i="261"/>
  <c r="O17" i="262"/>
  <c r="S45" i="262"/>
  <c r="AC18" i="261"/>
  <c r="AB13" i="261"/>
  <c r="O7" i="262"/>
  <c r="AC6" i="262"/>
  <c r="J44" i="262" s="1"/>
  <c r="AB6" i="262"/>
  <c r="AD13" i="262"/>
  <c r="AC8" i="262"/>
  <c r="O20" i="262"/>
  <c r="AB7" i="261"/>
  <c r="AB19" i="261"/>
  <c r="AB20" i="261"/>
  <c r="S16" i="262"/>
  <c r="AD22" i="262"/>
  <c r="AD8" i="261"/>
  <c r="AC9" i="261"/>
  <c r="O13" i="261"/>
  <c r="AF14" i="261"/>
  <c r="O16" i="261"/>
  <c r="AC16" i="261"/>
  <c r="O19" i="261"/>
  <c r="AD26" i="261"/>
  <c r="AC27" i="261"/>
  <c r="AC9" i="262"/>
  <c r="AD10" i="262"/>
  <c r="AC13" i="262"/>
  <c r="AC17" i="262"/>
  <c r="S24" i="262"/>
  <c r="AB27" i="262"/>
  <c r="AD30" i="262"/>
  <c r="AC6" i="261"/>
  <c r="J44" i="261" s="1"/>
  <c r="AD11" i="261"/>
  <c r="AC14" i="261"/>
  <c r="J45" i="261" s="1"/>
  <c r="AD19" i="261"/>
  <c r="AC22" i="261"/>
  <c r="AD7" i="262"/>
  <c r="AC10" i="262"/>
  <c r="AD15" i="262"/>
  <c r="AC18" i="262"/>
  <c r="AD23" i="262"/>
  <c r="K46" i="262" s="1"/>
  <c r="AC26" i="262"/>
  <c r="AD31" i="262"/>
  <c r="AC7" i="261"/>
  <c r="AB10" i="261"/>
  <c r="AD12" i="261"/>
  <c r="AC15" i="261"/>
  <c r="AB18" i="261"/>
  <c r="AD20" i="261"/>
  <c r="AD8" i="262"/>
  <c r="AC11" i="262"/>
  <c r="AD16" i="262"/>
  <c r="AC19" i="262"/>
  <c r="AB22" i="262"/>
  <c r="AD24" i="262"/>
  <c r="AC27" i="262"/>
  <c r="AB30" i="262"/>
  <c r="AD7" i="261"/>
  <c r="AD15" i="261"/>
  <c r="AD19" i="262"/>
  <c r="AD27" i="262"/>
  <c r="AD22" i="260"/>
  <c r="AF6" i="260"/>
  <c r="S8" i="260"/>
  <c r="AD9" i="260"/>
  <c r="AB15" i="260"/>
  <c r="S16" i="260"/>
  <c r="AD17" i="260"/>
  <c r="AC20" i="260"/>
  <c r="AD25" i="260"/>
  <c r="AB31" i="260"/>
  <c r="O7" i="260"/>
  <c r="AC7" i="260"/>
  <c r="AB10" i="260"/>
  <c r="S11" i="260"/>
  <c r="AD12" i="260"/>
  <c r="O15" i="260"/>
  <c r="AC15" i="260"/>
  <c r="AB18" i="260"/>
  <c r="S19" i="260"/>
  <c r="AD20" i="260"/>
  <c r="O23" i="260"/>
  <c r="AC23" i="260"/>
  <c r="J46" i="260" s="1"/>
  <c r="AB26" i="260"/>
  <c r="S27" i="260"/>
  <c r="AD28" i="260"/>
  <c r="O31" i="260"/>
  <c r="AC31" i="260"/>
  <c r="S44" i="260"/>
  <c r="O46" i="260"/>
  <c r="S6" i="260"/>
  <c r="AD7" i="260"/>
  <c r="O10" i="260"/>
  <c r="AC10" i="260"/>
  <c r="AB13" i="260"/>
  <c r="S14" i="260"/>
  <c r="AD15" i="260"/>
  <c r="O18" i="260"/>
  <c r="AC18" i="260"/>
  <c r="S22" i="260"/>
  <c r="AD23" i="260"/>
  <c r="K46" i="260" s="1"/>
  <c r="O26" i="260"/>
  <c r="AC26" i="260"/>
  <c r="AB29" i="260"/>
  <c r="S30" i="260"/>
  <c r="AD31" i="260"/>
  <c r="S13" i="260"/>
  <c r="O17" i="260"/>
  <c r="S21" i="260"/>
  <c r="O25" i="260"/>
  <c r="S29" i="260"/>
  <c r="O12" i="260"/>
  <c r="O20" i="260"/>
  <c r="AC28" i="260"/>
  <c r="S9" i="260"/>
  <c r="AB16" i="260"/>
  <c r="AC21" i="260"/>
  <c r="S25" i="260"/>
  <c r="S45" i="260"/>
  <c r="O8" i="260"/>
  <c r="AC8" i="260"/>
  <c r="S12" i="260"/>
  <c r="AD13" i="260"/>
  <c r="AD21" i="260"/>
  <c r="AD29" i="260"/>
  <c r="S7" i="260"/>
  <c r="AD8" i="260"/>
  <c r="O11" i="260"/>
  <c r="AC11" i="260"/>
  <c r="AB14" i="260"/>
  <c r="S15" i="260"/>
  <c r="AD16" i="260"/>
  <c r="O19" i="260"/>
  <c r="AC19" i="260"/>
  <c r="AB22" i="260"/>
  <c r="S23" i="260"/>
  <c r="AD24" i="260"/>
  <c r="O27" i="260"/>
  <c r="AC27" i="260"/>
  <c r="AB30" i="260"/>
  <c r="S31" i="260"/>
  <c r="O44" i="260"/>
  <c r="S46" i="260"/>
  <c r="AD30" i="260"/>
  <c r="O45" i="260"/>
  <c r="AC12" i="260"/>
  <c r="S24" i="260"/>
  <c r="AB8" i="260"/>
  <c r="AD10" i="260"/>
  <c r="O13" i="260"/>
  <c r="AC13" i="260"/>
  <c r="S17" i="260"/>
  <c r="AD18" i="260"/>
  <c r="O21" i="260"/>
  <c r="AB24" i="260"/>
  <c r="AD26" i="260"/>
  <c r="O29" i="260"/>
  <c r="AC29" i="260"/>
  <c r="O16" i="260"/>
  <c r="S20" i="260"/>
  <c r="O24" i="260"/>
  <c r="S28" i="260"/>
  <c r="O6" i="260"/>
  <c r="S10" i="260"/>
  <c r="O14" i="260"/>
  <c r="S18" i="260"/>
  <c r="AD19" i="260"/>
  <c r="O22" i="260"/>
  <c r="S26" i="260"/>
  <c r="AD27" i="260"/>
  <c r="T46" i="259" l="1"/>
  <c r="R46" i="259"/>
  <c r="Q46" i="259"/>
  <c r="P46" i="259"/>
  <c r="N46" i="259"/>
  <c r="T45" i="259"/>
  <c r="R45" i="259"/>
  <c r="Q45" i="259"/>
  <c r="P45" i="259"/>
  <c r="N45" i="259"/>
  <c r="T44" i="259"/>
  <c r="R44" i="259"/>
  <c r="Q44" i="259"/>
  <c r="M44" i="259" s="1"/>
  <c r="P44" i="259"/>
  <c r="N44" i="259"/>
  <c r="AJ31" i="259"/>
  <c r="AI31" i="259"/>
  <c r="AH31" i="259"/>
  <c r="AG31" i="259"/>
  <c r="U31" i="259"/>
  <c r="T31" i="259"/>
  <c r="R31" i="259"/>
  <c r="Q31" i="259"/>
  <c r="M31" i="259" s="1"/>
  <c r="AK22" i="259" s="1"/>
  <c r="P31" i="259"/>
  <c r="N31" i="259"/>
  <c r="E31" i="259"/>
  <c r="AJ30" i="259"/>
  <c r="AI30" i="259"/>
  <c r="AH30" i="259"/>
  <c r="AG30" i="259"/>
  <c r="U30" i="259"/>
  <c r="T30" i="259"/>
  <c r="R30" i="259"/>
  <c r="Q30" i="259"/>
  <c r="P30" i="259"/>
  <c r="N30" i="259"/>
  <c r="E30" i="259"/>
  <c r="AF13" i="259" s="1"/>
  <c r="AJ29" i="259"/>
  <c r="AI29" i="259"/>
  <c r="AH29" i="259"/>
  <c r="AG29" i="259"/>
  <c r="U29" i="259"/>
  <c r="T29" i="259"/>
  <c r="R29" i="259"/>
  <c r="Q29" i="259"/>
  <c r="M29" i="259" s="1"/>
  <c r="AK21" i="259" s="1"/>
  <c r="P29" i="259"/>
  <c r="N29" i="259"/>
  <c r="E29" i="259"/>
  <c r="AF21" i="259" s="1"/>
  <c r="AJ28" i="259"/>
  <c r="AI28" i="259"/>
  <c r="AH28" i="259"/>
  <c r="AG28" i="259"/>
  <c r="U28" i="259"/>
  <c r="T28" i="259"/>
  <c r="R28" i="259"/>
  <c r="Q28" i="259"/>
  <c r="P28" i="259"/>
  <c r="N28" i="259"/>
  <c r="E28" i="259"/>
  <c r="AF31" i="259" s="1"/>
  <c r="AJ27" i="259"/>
  <c r="AI27" i="259"/>
  <c r="AH27" i="259"/>
  <c r="AG27" i="259"/>
  <c r="U27" i="259"/>
  <c r="T27" i="259"/>
  <c r="R27" i="259"/>
  <c r="Q27" i="259"/>
  <c r="M27" i="259" s="1"/>
  <c r="AK12" i="259" s="1"/>
  <c r="P27" i="259"/>
  <c r="N27" i="259"/>
  <c r="E27" i="259"/>
  <c r="AJ26" i="259"/>
  <c r="AI26" i="259"/>
  <c r="AH26" i="259"/>
  <c r="AG26" i="259"/>
  <c r="U26" i="259"/>
  <c r="T26" i="259"/>
  <c r="R26" i="259"/>
  <c r="Q26" i="259"/>
  <c r="P26" i="259"/>
  <c r="N26" i="259"/>
  <c r="E26" i="259"/>
  <c r="AF30" i="259" s="1"/>
  <c r="AJ25" i="259"/>
  <c r="AI25" i="259"/>
  <c r="AH25" i="259"/>
  <c r="AG25" i="259"/>
  <c r="U25" i="259"/>
  <c r="T25" i="259"/>
  <c r="R25" i="259"/>
  <c r="Q25" i="259"/>
  <c r="P25" i="259"/>
  <c r="N25" i="259"/>
  <c r="E25" i="259"/>
  <c r="AF20" i="259" s="1"/>
  <c r="AJ24" i="259"/>
  <c r="AI24" i="259"/>
  <c r="AH24" i="259"/>
  <c r="AG24" i="259"/>
  <c r="U24" i="259"/>
  <c r="T24" i="259"/>
  <c r="R24" i="259"/>
  <c r="Q24" i="259"/>
  <c r="P24" i="259"/>
  <c r="N24" i="259"/>
  <c r="E24" i="259"/>
  <c r="AF11" i="259" s="1"/>
  <c r="AJ23" i="259"/>
  <c r="AI23" i="259"/>
  <c r="AH23" i="259"/>
  <c r="AG23" i="259"/>
  <c r="U23" i="259"/>
  <c r="T23" i="259"/>
  <c r="R23" i="259"/>
  <c r="Q23" i="259"/>
  <c r="M23" i="259" s="1"/>
  <c r="AK10" i="259" s="1"/>
  <c r="P23" i="259"/>
  <c r="N23" i="259"/>
  <c r="E23" i="259"/>
  <c r="AF10" i="259" s="1"/>
  <c r="AJ22" i="259"/>
  <c r="AI22" i="259"/>
  <c r="AH22" i="259"/>
  <c r="AG22" i="259"/>
  <c r="AF22" i="259"/>
  <c r="U22" i="259"/>
  <c r="T22" i="259"/>
  <c r="R22" i="259"/>
  <c r="Q22" i="259"/>
  <c r="P22" i="259"/>
  <c r="N22" i="259"/>
  <c r="E22" i="259"/>
  <c r="AF9" i="259" s="1"/>
  <c r="AJ21" i="259"/>
  <c r="AI21" i="259"/>
  <c r="AH21" i="259"/>
  <c r="AG21" i="259"/>
  <c r="U21" i="259"/>
  <c r="T21" i="259"/>
  <c r="R21" i="259"/>
  <c r="M21" i="259" s="1"/>
  <c r="AK29" i="259" s="1"/>
  <c r="Q21" i="259"/>
  <c r="P21" i="259"/>
  <c r="N21" i="259"/>
  <c r="E21" i="259"/>
  <c r="AF29" i="259" s="1"/>
  <c r="AJ20" i="259"/>
  <c r="AI20" i="259"/>
  <c r="AH20" i="259"/>
  <c r="AG20" i="259"/>
  <c r="U20" i="259"/>
  <c r="T20" i="259"/>
  <c r="R20" i="259"/>
  <c r="Q20" i="259"/>
  <c r="P20" i="259"/>
  <c r="N20" i="259"/>
  <c r="E20" i="259"/>
  <c r="AF19" i="259" s="1"/>
  <c r="AJ19" i="259"/>
  <c r="AI19" i="259"/>
  <c r="AH19" i="259"/>
  <c r="AG19" i="259"/>
  <c r="U19" i="259"/>
  <c r="T19" i="259"/>
  <c r="R19" i="259"/>
  <c r="Q19" i="259"/>
  <c r="P19" i="259"/>
  <c r="N19" i="259"/>
  <c r="E19" i="259"/>
  <c r="AF28" i="259" s="1"/>
  <c r="AJ18" i="259"/>
  <c r="AI18" i="259"/>
  <c r="AH18" i="259"/>
  <c r="AG18" i="259"/>
  <c r="U18" i="259"/>
  <c r="T18" i="259"/>
  <c r="R18" i="259"/>
  <c r="Q18" i="259"/>
  <c r="P18" i="259"/>
  <c r="N18" i="259"/>
  <c r="E18" i="259"/>
  <c r="AF8" i="259" s="1"/>
  <c r="AJ17" i="259"/>
  <c r="AI17" i="259"/>
  <c r="AH17" i="259"/>
  <c r="AG17" i="259"/>
  <c r="U17" i="259"/>
  <c r="T17" i="259"/>
  <c r="R17" i="259"/>
  <c r="Q17" i="259"/>
  <c r="P17" i="259"/>
  <c r="N17" i="259"/>
  <c r="E17" i="259"/>
  <c r="AF27" i="259" s="1"/>
  <c r="AJ16" i="259"/>
  <c r="AI16" i="259"/>
  <c r="AH16" i="259"/>
  <c r="AG16" i="259"/>
  <c r="U16" i="259"/>
  <c r="T16" i="259"/>
  <c r="R16" i="259"/>
  <c r="Q16" i="259"/>
  <c r="M16" i="259" s="1"/>
  <c r="AK26" i="259" s="1"/>
  <c r="P16" i="259"/>
  <c r="N16" i="259"/>
  <c r="E16" i="259"/>
  <c r="AF26" i="259" s="1"/>
  <c r="AJ15" i="259"/>
  <c r="AI15" i="259"/>
  <c r="AH15" i="259"/>
  <c r="AG15" i="259"/>
  <c r="U15" i="259"/>
  <c r="T15" i="259"/>
  <c r="R15" i="259"/>
  <c r="Q15" i="259"/>
  <c r="P15" i="259"/>
  <c r="N15" i="259"/>
  <c r="E15" i="259"/>
  <c r="AF18" i="259" s="1"/>
  <c r="AJ14" i="259"/>
  <c r="AI14" i="259"/>
  <c r="AH14" i="259"/>
  <c r="AG14" i="259"/>
  <c r="U14" i="259"/>
  <c r="T14" i="259"/>
  <c r="R14" i="259"/>
  <c r="Q14" i="259"/>
  <c r="P14" i="259"/>
  <c r="N14" i="259"/>
  <c r="E14" i="259"/>
  <c r="AF17" i="259" s="1"/>
  <c r="AJ13" i="259"/>
  <c r="AI13" i="259"/>
  <c r="AH13" i="259"/>
  <c r="AG13" i="259"/>
  <c r="U13" i="259"/>
  <c r="T13" i="259"/>
  <c r="R13" i="259"/>
  <c r="M13" i="259" s="1"/>
  <c r="AK16" i="259" s="1"/>
  <c r="Q13" i="259"/>
  <c r="P13" i="259"/>
  <c r="N13" i="259"/>
  <c r="E13" i="259"/>
  <c r="AF16" i="259" s="1"/>
  <c r="AJ12" i="259"/>
  <c r="AI12" i="259"/>
  <c r="AH12" i="259"/>
  <c r="AG12" i="259"/>
  <c r="AF12" i="259"/>
  <c r="U12" i="259"/>
  <c r="T12" i="259"/>
  <c r="R12" i="259"/>
  <c r="Q12" i="259"/>
  <c r="M12" i="259" s="1"/>
  <c r="AK7" i="259" s="1"/>
  <c r="P12" i="259"/>
  <c r="N12" i="259"/>
  <c r="E12" i="259"/>
  <c r="AF7" i="259" s="1"/>
  <c r="AJ11" i="259"/>
  <c r="AI11" i="259"/>
  <c r="AH11" i="259"/>
  <c r="AG11" i="259"/>
  <c r="U11" i="259"/>
  <c r="T11" i="259"/>
  <c r="R11" i="259"/>
  <c r="Q11" i="259"/>
  <c r="P11" i="259"/>
  <c r="N11" i="259"/>
  <c r="E11" i="259"/>
  <c r="AF25" i="259" s="1"/>
  <c r="AJ10" i="259"/>
  <c r="AI10" i="259"/>
  <c r="AH10" i="259"/>
  <c r="AG10" i="259"/>
  <c r="U10" i="259"/>
  <c r="T10" i="259"/>
  <c r="R10" i="259"/>
  <c r="Q10" i="259"/>
  <c r="P10" i="259"/>
  <c r="N10" i="259"/>
  <c r="E10" i="259"/>
  <c r="AF6" i="259" s="1"/>
  <c r="AJ9" i="259"/>
  <c r="AI9" i="259"/>
  <c r="AH9" i="259"/>
  <c r="AG9" i="259"/>
  <c r="U9" i="259"/>
  <c r="T9" i="259"/>
  <c r="R9" i="259"/>
  <c r="Q9" i="259"/>
  <c r="P9" i="259"/>
  <c r="N9" i="259"/>
  <c r="E9" i="259"/>
  <c r="AF15" i="259" s="1"/>
  <c r="AJ8" i="259"/>
  <c r="AI8" i="259"/>
  <c r="AH8" i="259"/>
  <c r="AG8" i="259"/>
  <c r="U8" i="259"/>
  <c r="T8" i="259"/>
  <c r="R8" i="259"/>
  <c r="M8" i="259" s="1"/>
  <c r="AK24" i="259" s="1"/>
  <c r="Q8" i="259"/>
  <c r="P8" i="259"/>
  <c r="N8" i="259"/>
  <c r="E8" i="259"/>
  <c r="AJ7" i="259"/>
  <c r="AI7" i="259"/>
  <c r="AH7" i="259"/>
  <c r="AG7" i="259"/>
  <c r="U7" i="259"/>
  <c r="T7" i="259"/>
  <c r="R7" i="259"/>
  <c r="Q7" i="259"/>
  <c r="M7" i="259" s="1"/>
  <c r="AK23" i="259" s="1"/>
  <c r="P7" i="259"/>
  <c r="N7" i="259"/>
  <c r="E7" i="259"/>
  <c r="AF23" i="259" s="1"/>
  <c r="AJ6" i="259"/>
  <c r="AI6" i="259"/>
  <c r="AH6" i="259"/>
  <c r="AG6" i="259"/>
  <c r="U6" i="259"/>
  <c r="T6" i="259"/>
  <c r="R6" i="259"/>
  <c r="Q6" i="259"/>
  <c r="P6" i="259"/>
  <c r="N6" i="259"/>
  <c r="E6" i="259"/>
  <c r="T46" i="258"/>
  <c r="R46" i="258"/>
  <c r="Q46" i="258"/>
  <c r="M46" i="258" s="1"/>
  <c r="P46" i="258"/>
  <c r="N46" i="258"/>
  <c r="T45" i="258"/>
  <c r="R45" i="258"/>
  <c r="Q45" i="258"/>
  <c r="M45" i="258" s="1"/>
  <c r="P45" i="258"/>
  <c r="N45" i="258"/>
  <c r="T44" i="258"/>
  <c r="R44" i="258"/>
  <c r="Q44" i="258"/>
  <c r="P44" i="258"/>
  <c r="N44" i="258"/>
  <c r="AJ31" i="258"/>
  <c r="AI31" i="258"/>
  <c r="AH31" i="258"/>
  <c r="AG31" i="258"/>
  <c r="U31" i="258"/>
  <c r="T31" i="258"/>
  <c r="R31" i="258"/>
  <c r="Q31" i="258"/>
  <c r="P31" i="258"/>
  <c r="N31" i="258"/>
  <c r="E31" i="258"/>
  <c r="AF22" i="258" s="1"/>
  <c r="AJ30" i="258"/>
  <c r="AI30" i="258"/>
  <c r="AH30" i="258"/>
  <c r="AG30" i="258"/>
  <c r="U30" i="258"/>
  <c r="T30" i="258"/>
  <c r="R30" i="258"/>
  <c r="Q30" i="258"/>
  <c r="M30" i="258" s="1"/>
  <c r="AK13" i="258" s="1"/>
  <c r="P30" i="258"/>
  <c r="N30" i="258"/>
  <c r="E30" i="258"/>
  <c r="AF13" i="258" s="1"/>
  <c r="AJ29" i="258"/>
  <c r="AI29" i="258"/>
  <c r="AH29" i="258"/>
  <c r="AG29" i="258"/>
  <c r="U29" i="258"/>
  <c r="T29" i="258"/>
  <c r="R29" i="258"/>
  <c r="Q29" i="258"/>
  <c r="P29" i="258"/>
  <c r="N29" i="258"/>
  <c r="E29" i="258"/>
  <c r="AJ28" i="258"/>
  <c r="AI28" i="258"/>
  <c r="AH28" i="258"/>
  <c r="AG28" i="258"/>
  <c r="U28" i="258"/>
  <c r="T28" i="258"/>
  <c r="R28" i="258"/>
  <c r="Q28" i="258"/>
  <c r="P28" i="258"/>
  <c r="N28" i="258"/>
  <c r="E28" i="258"/>
  <c r="AF31" i="258" s="1"/>
  <c r="AJ27" i="258"/>
  <c r="AI27" i="258"/>
  <c r="AH27" i="258"/>
  <c r="AG27" i="258"/>
  <c r="U27" i="258"/>
  <c r="T27" i="258"/>
  <c r="R27" i="258"/>
  <c r="Q27" i="258"/>
  <c r="M27" i="258" s="1"/>
  <c r="AK12" i="258" s="1"/>
  <c r="P27" i="258"/>
  <c r="N27" i="258"/>
  <c r="E27" i="258"/>
  <c r="AF12" i="258" s="1"/>
  <c r="AJ26" i="258"/>
  <c r="AI26" i="258"/>
  <c r="AH26" i="258"/>
  <c r="AG26" i="258"/>
  <c r="U26" i="258"/>
  <c r="T26" i="258"/>
  <c r="R26" i="258"/>
  <c r="Q26" i="258"/>
  <c r="P26" i="258"/>
  <c r="N26" i="258"/>
  <c r="E26" i="258"/>
  <c r="AF30" i="258" s="1"/>
  <c r="AJ25" i="258"/>
  <c r="AI25" i="258"/>
  <c r="AH25" i="258"/>
  <c r="AG25" i="258"/>
  <c r="U25" i="258"/>
  <c r="T25" i="258"/>
  <c r="R25" i="258"/>
  <c r="Q25" i="258"/>
  <c r="P25" i="258"/>
  <c r="N25" i="258"/>
  <c r="M25" i="258"/>
  <c r="AK20" i="258" s="1"/>
  <c r="E25" i="258"/>
  <c r="AF20" i="258" s="1"/>
  <c r="AJ24" i="258"/>
  <c r="AI24" i="258"/>
  <c r="AH24" i="258"/>
  <c r="AG24" i="258"/>
  <c r="U24" i="258"/>
  <c r="T24" i="258"/>
  <c r="R24" i="258"/>
  <c r="Q24" i="258"/>
  <c r="P24" i="258"/>
  <c r="N24" i="258"/>
  <c r="E24" i="258"/>
  <c r="AJ23" i="258"/>
  <c r="AI23" i="258"/>
  <c r="AH23" i="258"/>
  <c r="AG23" i="258"/>
  <c r="U23" i="258"/>
  <c r="T23" i="258"/>
  <c r="R23" i="258"/>
  <c r="Q23" i="258"/>
  <c r="P23" i="258"/>
  <c r="N23" i="258"/>
  <c r="E23" i="258"/>
  <c r="AF10" i="258" s="1"/>
  <c r="AJ22" i="258"/>
  <c r="AI22" i="258"/>
  <c r="AH22" i="258"/>
  <c r="AG22" i="258"/>
  <c r="U22" i="258"/>
  <c r="T22" i="258"/>
  <c r="R22" i="258"/>
  <c r="Q22" i="258"/>
  <c r="M22" i="258" s="1"/>
  <c r="AK9" i="258" s="1"/>
  <c r="P22" i="258"/>
  <c r="N22" i="258"/>
  <c r="E22" i="258"/>
  <c r="AF9" i="258" s="1"/>
  <c r="AJ21" i="258"/>
  <c r="AI21" i="258"/>
  <c r="AH21" i="258"/>
  <c r="AG21" i="258"/>
  <c r="AF21" i="258"/>
  <c r="U21" i="258"/>
  <c r="T21" i="258"/>
  <c r="R21" i="258"/>
  <c r="Q21" i="258"/>
  <c r="P21" i="258"/>
  <c r="N21" i="258"/>
  <c r="E21" i="258"/>
  <c r="AF29" i="258" s="1"/>
  <c r="AJ20" i="258"/>
  <c r="AI20" i="258"/>
  <c r="AH20" i="258"/>
  <c r="AG20" i="258"/>
  <c r="U20" i="258"/>
  <c r="T20" i="258"/>
  <c r="R20" i="258"/>
  <c r="Q20" i="258"/>
  <c r="P20" i="258"/>
  <c r="N20" i="258"/>
  <c r="E20" i="258"/>
  <c r="AF19" i="258" s="1"/>
  <c r="AJ19" i="258"/>
  <c r="AI19" i="258"/>
  <c r="AH19" i="258"/>
  <c r="AG19" i="258"/>
  <c r="U19" i="258"/>
  <c r="T19" i="258"/>
  <c r="R19" i="258"/>
  <c r="Q19" i="258"/>
  <c r="P19" i="258"/>
  <c r="N19" i="258"/>
  <c r="E19" i="258"/>
  <c r="AF28" i="258" s="1"/>
  <c r="AJ18" i="258"/>
  <c r="AI18" i="258"/>
  <c r="AH18" i="258"/>
  <c r="AG18" i="258"/>
  <c r="U18" i="258"/>
  <c r="T18" i="258"/>
  <c r="R18" i="258"/>
  <c r="Q18" i="258"/>
  <c r="P18" i="258"/>
  <c r="N18" i="258"/>
  <c r="E18" i="258"/>
  <c r="AF8" i="258" s="1"/>
  <c r="AJ17" i="258"/>
  <c r="AI17" i="258"/>
  <c r="AH17" i="258"/>
  <c r="AG17" i="258"/>
  <c r="U17" i="258"/>
  <c r="T17" i="258"/>
  <c r="R17" i="258"/>
  <c r="Q17" i="258"/>
  <c r="M17" i="258" s="1"/>
  <c r="AK27" i="258" s="1"/>
  <c r="P17" i="258"/>
  <c r="N17" i="258"/>
  <c r="E17" i="258"/>
  <c r="AF27" i="258" s="1"/>
  <c r="AJ16" i="258"/>
  <c r="AI16" i="258"/>
  <c r="AH16" i="258"/>
  <c r="AG16" i="258"/>
  <c r="U16" i="258"/>
  <c r="T16" i="258"/>
  <c r="R16" i="258"/>
  <c r="Q16" i="258"/>
  <c r="P16" i="258"/>
  <c r="N16" i="258"/>
  <c r="E16" i="258"/>
  <c r="AF26" i="258" s="1"/>
  <c r="AJ15" i="258"/>
  <c r="AI15" i="258"/>
  <c r="AH15" i="258"/>
  <c r="AG15" i="258"/>
  <c r="U15" i="258"/>
  <c r="T15" i="258"/>
  <c r="R15" i="258"/>
  <c r="Q15" i="258"/>
  <c r="M15" i="258" s="1"/>
  <c r="AK18" i="258" s="1"/>
  <c r="P15" i="258"/>
  <c r="N15" i="258"/>
  <c r="E15" i="258"/>
  <c r="AF18" i="258" s="1"/>
  <c r="AJ14" i="258"/>
  <c r="AI14" i="258"/>
  <c r="AH14" i="258"/>
  <c r="AG14" i="258"/>
  <c r="U14" i="258"/>
  <c r="T14" i="258"/>
  <c r="R14" i="258"/>
  <c r="Q14" i="258"/>
  <c r="M14" i="258" s="1"/>
  <c r="AK17" i="258" s="1"/>
  <c r="P14" i="258"/>
  <c r="N14" i="258"/>
  <c r="E14" i="258"/>
  <c r="AF17" i="258" s="1"/>
  <c r="AJ13" i="258"/>
  <c r="AI13" i="258"/>
  <c r="AH13" i="258"/>
  <c r="AG13" i="258"/>
  <c r="U13" i="258"/>
  <c r="T13" i="258"/>
  <c r="R13" i="258"/>
  <c r="Q13" i="258"/>
  <c r="P13" i="258"/>
  <c r="N13" i="258"/>
  <c r="E13" i="258"/>
  <c r="AF16" i="258" s="1"/>
  <c r="AJ12" i="258"/>
  <c r="AI12" i="258"/>
  <c r="AH12" i="258"/>
  <c r="AG12" i="258"/>
  <c r="U12" i="258"/>
  <c r="T12" i="258"/>
  <c r="R12" i="258"/>
  <c r="Q12" i="258"/>
  <c r="P12" i="258"/>
  <c r="N12" i="258"/>
  <c r="E12" i="258"/>
  <c r="AJ11" i="258"/>
  <c r="AI11" i="258"/>
  <c r="AH11" i="258"/>
  <c r="AG11" i="258"/>
  <c r="AF11" i="258"/>
  <c r="U11" i="258"/>
  <c r="T11" i="258"/>
  <c r="R11" i="258"/>
  <c r="Q11" i="258"/>
  <c r="M11" i="258" s="1"/>
  <c r="AK25" i="258" s="1"/>
  <c r="P11" i="258"/>
  <c r="N11" i="258"/>
  <c r="E11" i="258"/>
  <c r="AF25" i="258" s="1"/>
  <c r="AJ10" i="258"/>
  <c r="AI10" i="258"/>
  <c r="AH10" i="258"/>
  <c r="AG10" i="258"/>
  <c r="U10" i="258"/>
  <c r="T10" i="258"/>
  <c r="R10" i="258"/>
  <c r="Q10" i="258"/>
  <c r="P10" i="258"/>
  <c r="N10" i="258"/>
  <c r="E10" i="258"/>
  <c r="AF6" i="258" s="1"/>
  <c r="AJ9" i="258"/>
  <c r="AI9" i="258"/>
  <c r="AH9" i="258"/>
  <c r="AG9" i="258"/>
  <c r="U9" i="258"/>
  <c r="T9" i="258"/>
  <c r="R9" i="258"/>
  <c r="Q9" i="258"/>
  <c r="P9" i="258"/>
  <c r="N9" i="258"/>
  <c r="E9" i="258"/>
  <c r="AF15" i="258" s="1"/>
  <c r="AJ8" i="258"/>
  <c r="AI8" i="258"/>
  <c r="AH8" i="258"/>
  <c r="AB8" i="258" s="1"/>
  <c r="AG8" i="258"/>
  <c r="U8" i="258"/>
  <c r="T8" i="258"/>
  <c r="R8" i="258"/>
  <c r="Q8" i="258"/>
  <c r="P8" i="258"/>
  <c r="N8" i="258"/>
  <c r="E8" i="258"/>
  <c r="AF24" i="258" s="1"/>
  <c r="AJ7" i="258"/>
  <c r="AI7" i="258"/>
  <c r="AH7" i="258"/>
  <c r="AG7" i="258"/>
  <c r="AF7" i="258"/>
  <c r="U7" i="258"/>
  <c r="T7" i="258"/>
  <c r="R7" i="258"/>
  <c r="Q7" i="258"/>
  <c r="M7" i="258" s="1"/>
  <c r="AK23" i="258" s="1"/>
  <c r="P7" i="258"/>
  <c r="N7" i="258"/>
  <c r="E7" i="258"/>
  <c r="AF23" i="258" s="1"/>
  <c r="AJ6" i="258"/>
  <c r="AI6" i="258"/>
  <c r="AH6" i="258"/>
  <c r="AG6" i="258"/>
  <c r="U6" i="258"/>
  <c r="T6" i="258"/>
  <c r="R6" i="258"/>
  <c r="Q6" i="258"/>
  <c r="P6" i="258"/>
  <c r="N6" i="258"/>
  <c r="E6" i="258"/>
  <c r="M16" i="258" l="1"/>
  <c r="AK26" i="258" s="1"/>
  <c r="M10" i="259"/>
  <c r="AK6" i="259" s="1"/>
  <c r="M15" i="259"/>
  <c r="AK18" i="259" s="1"/>
  <c r="M9" i="258"/>
  <c r="AK15" i="258" s="1"/>
  <c r="M19" i="258"/>
  <c r="AK28" i="258" s="1"/>
  <c r="M24" i="258"/>
  <c r="AK11" i="258" s="1"/>
  <c r="M31" i="258"/>
  <c r="AK22" i="258" s="1"/>
  <c r="M24" i="259"/>
  <c r="AK11" i="259" s="1"/>
  <c r="M8" i="258"/>
  <c r="AK24" i="258" s="1"/>
  <c r="M10" i="258"/>
  <c r="AK6" i="258" s="1"/>
  <c r="M13" i="258"/>
  <c r="AK16" i="258" s="1"/>
  <c r="O11" i="258"/>
  <c r="M29" i="258"/>
  <c r="AK21" i="258" s="1"/>
  <c r="M44" i="258"/>
  <c r="M6" i="258"/>
  <c r="AK14" i="258" s="1"/>
  <c r="M12" i="258"/>
  <c r="AK7" i="258" s="1"/>
  <c r="M23" i="258"/>
  <c r="AK10" i="258" s="1"/>
  <c r="AB16" i="258"/>
  <c r="AB31" i="258"/>
  <c r="M28" i="258"/>
  <c r="AK31" i="258" s="1"/>
  <c r="AC23" i="259"/>
  <c r="J46" i="259" s="1"/>
  <c r="M9" i="259"/>
  <c r="AK15" i="259" s="1"/>
  <c r="M11" i="259"/>
  <c r="AK25" i="259" s="1"/>
  <c r="M20" i="259"/>
  <c r="AK19" i="259" s="1"/>
  <c r="M26" i="259"/>
  <c r="AK30" i="259" s="1"/>
  <c r="M14" i="259"/>
  <c r="AK17" i="259" s="1"/>
  <c r="M17" i="259"/>
  <c r="AK27" i="259" s="1"/>
  <c r="AC15" i="259"/>
  <c r="AB10" i="259"/>
  <c r="AB26" i="259"/>
  <c r="M19" i="259"/>
  <c r="AK28" i="259" s="1"/>
  <c r="M28" i="259"/>
  <c r="AK31" i="259" s="1"/>
  <c r="M30" i="259"/>
  <c r="AK13" i="259" s="1"/>
  <c r="M46" i="259"/>
  <c r="M22" i="259"/>
  <c r="AK9" i="259" s="1"/>
  <c r="AD20" i="259"/>
  <c r="AD28" i="259"/>
  <c r="M6" i="259"/>
  <c r="AK14" i="259" s="1"/>
  <c r="AB30" i="259"/>
  <c r="S11" i="259"/>
  <c r="AB18" i="259"/>
  <c r="M18" i="259"/>
  <c r="AK8" i="259" s="1"/>
  <c r="M25" i="259"/>
  <c r="AK20" i="259" s="1"/>
  <c r="M45" i="259"/>
  <c r="AB11" i="259"/>
  <c r="AB31" i="259"/>
  <c r="AB19" i="259"/>
  <c r="O6" i="258"/>
  <c r="AB17" i="258"/>
  <c r="M18" i="258"/>
  <c r="AK8" i="258" s="1"/>
  <c r="M26" i="258"/>
  <c r="AK30" i="258" s="1"/>
  <c r="M20" i="258"/>
  <c r="AK19" i="258" s="1"/>
  <c r="AC10" i="258"/>
  <c r="AC19" i="258"/>
  <c r="AB6" i="258"/>
  <c r="AB25" i="258"/>
  <c r="AC6" i="258"/>
  <c r="J44" i="258" s="1"/>
  <c r="AC11" i="258"/>
  <c r="AB22" i="258"/>
  <c r="AB10" i="258"/>
  <c r="AB14" i="258"/>
  <c r="AD8" i="258"/>
  <c r="AD10" i="258"/>
  <c r="S30" i="258"/>
  <c r="O26" i="258"/>
  <c r="S22" i="258"/>
  <c r="O18" i="258"/>
  <c r="S14" i="258"/>
  <c r="O10" i="258"/>
  <c r="S6" i="258"/>
  <c r="S29" i="258"/>
  <c r="O25" i="258"/>
  <c r="S13" i="258"/>
  <c r="O46" i="258"/>
  <c r="S44" i="258"/>
  <c r="O31" i="258"/>
  <c r="S27" i="258"/>
  <c r="O23" i="258"/>
  <c r="S19" i="258"/>
  <c r="O15" i="258"/>
  <c r="S11" i="258"/>
  <c r="O7" i="258"/>
  <c r="O17" i="258"/>
  <c r="O30" i="258"/>
  <c r="O28" i="258"/>
  <c r="S24" i="258"/>
  <c r="O20" i="258"/>
  <c r="S16" i="258"/>
  <c r="AF14" i="258"/>
  <c r="O12" i="258"/>
  <c r="S8" i="258"/>
  <c r="O45" i="258"/>
  <c r="S21" i="258"/>
  <c r="O9" i="258"/>
  <c r="S28" i="258"/>
  <c r="O24" i="258"/>
  <c r="S20" i="258"/>
  <c r="O16" i="258"/>
  <c r="S12" i="258"/>
  <c r="O8" i="258"/>
  <c r="S45" i="258"/>
  <c r="O29" i="258"/>
  <c r="S25" i="258"/>
  <c r="AB9" i="259"/>
  <c r="AB12" i="258"/>
  <c r="AD6" i="258"/>
  <c r="K44" i="258" s="1"/>
  <c r="AC9" i="258"/>
  <c r="AD9" i="258"/>
  <c r="AB7" i="258"/>
  <c r="S9" i="258"/>
  <c r="AD11" i="258"/>
  <c r="S18" i="258"/>
  <c r="M21" i="258"/>
  <c r="AK29" i="258" s="1"/>
  <c r="AB26" i="258"/>
  <c r="AB29" i="258"/>
  <c r="O30" i="259"/>
  <c r="AD11" i="259"/>
  <c r="AB29" i="259"/>
  <c r="AD23" i="259"/>
  <c r="K46" i="259" s="1"/>
  <c r="AB24" i="259"/>
  <c r="AD31" i="259"/>
  <c r="AB27" i="259"/>
  <c r="AC26" i="259"/>
  <c r="AC25" i="259"/>
  <c r="O31" i="259"/>
  <c r="AD31" i="258"/>
  <c r="AC26" i="258"/>
  <c r="AD23" i="258"/>
  <c r="K46" i="258" s="1"/>
  <c r="AB28" i="258"/>
  <c r="AC31" i="258"/>
  <c r="AD28" i="258"/>
  <c r="AC23" i="258"/>
  <c r="J46" i="258" s="1"/>
  <c r="AD30" i="258"/>
  <c r="AC30" i="258"/>
  <c r="AC28" i="258"/>
  <c r="AD25" i="258"/>
  <c r="AB23" i="258"/>
  <c r="AC25" i="258"/>
  <c r="AD29" i="258"/>
  <c r="AB27" i="258"/>
  <c r="AC24" i="258"/>
  <c r="AC29" i="258"/>
  <c r="AD26" i="258"/>
  <c r="AB24" i="258"/>
  <c r="AC14" i="258"/>
  <c r="J45" i="258" s="1"/>
  <c r="AB30" i="258"/>
  <c r="O46" i="259"/>
  <c r="S7" i="258"/>
  <c r="AC13" i="258"/>
  <c r="O14" i="258"/>
  <c r="AD18" i="258"/>
  <c r="O19" i="258"/>
  <c r="O22" i="258"/>
  <c r="AC18" i="258"/>
  <c r="S26" i="258"/>
  <c r="AC27" i="258"/>
  <c r="AC7" i="259"/>
  <c r="O15" i="259"/>
  <c r="O23" i="259"/>
  <c r="AD22" i="258"/>
  <c r="AC17" i="258"/>
  <c r="AD14" i="258"/>
  <c r="K45" i="258" s="1"/>
  <c r="AD17" i="258"/>
  <c r="AB15" i="258"/>
  <c r="AB20" i="258"/>
  <c r="AC21" i="258"/>
  <c r="AD19" i="258"/>
  <c r="AC22" i="258"/>
  <c r="S19" i="259"/>
  <c r="AB18" i="258"/>
  <c r="S23" i="258"/>
  <c r="AD27" i="258"/>
  <c r="S31" i="258"/>
  <c r="AB17" i="259"/>
  <c r="AC30" i="259"/>
  <c r="AB25" i="259"/>
  <c r="S17" i="258"/>
  <c r="AF24" i="259"/>
  <c r="O26" i="259"/>
  <c r="S22" i="259"/>
  <c r="S30" i="259"/>
  <c r="O10" i="259"/>
  <c r="O18" i="259"/>
  <c r="S14" i="259"/>
  <c r="S6" i="259"/>
  <c r="O17" i="259"/>
  <c r="S13" i="259"/>
  <c r="O9" i="259"/>
  <c r="S44" i="259"/>
  <c r="AB9" i="258"/>
  <c r="AB11" i="258"/>
  <c r="AD24" i="258"/>
  <c r="AD12" i="259"/>
  <c r="S27" i="259"/>
  <c r="O13" i="258"/>
  <c r="S15" i="258"/>
  <c r="AD16" i="258"/>
  <c r="S10" i="258"/>
  <c r="AB13" i="258"/>
  <c r="O21" i="258"/>
  <c r="AB21" i="258"/>
  <c r="O27" i="258"/>
  <c r="O44" i="258"/>
  <c r="S46" i="258"/>
  <c r="O7" i="259"/>
  <c r="AC22" i="259"/>
  <c r="AB22" i="259"/>
  <c r="AC31" i="259"/>
  <c r="AD6" i="259"/>
  <c r="K44" i="259" s="1"/>
  <c r="AC9" i="259"/>
  <c r="AB12" i="259"/>
  <c r="AD14" i="259"/>
  <c r="K45" i="259" s="1"/>
  <c r="AC17" i="259"/>
  <c r="AB20" i="259"/>
  <c r="S21" i="259"/>
  <c r="AD22" i="259"/>
  <c r="O25" i="259"/>
  <c r="AB28" i="259"/>
  <c r="S29" i="259"/>
  <c r="AD30" i="259"/>
  <c r="O45" i="259"/>
  <c r="AC8" i="258"/>
  <c r="AD13" i="258"/>
  <c r="AC16" i="258"/>
  <c r="AB19" i="258"/>
  <c r="AD21" i="258"/>
  <c r="AB7" i="259"/>
  <c r="S8" i="259"/>
  <c r="AD9" i="259"/>
  <c r="O12" i="259"/>
  <c r="AC12" i="259"/>
  <c r="AF14" i="259"/>
  <c r="AB15" i="259"/>
  <c r="S16" i="259"/>
  <c r="AD17" i="259"/>
  <c r="O20" i="259"/>
  <c r="AC20" i="259"/>
  <c r="AB23" i="259"/>
  <c r="S24" i="259"/>
  <c r="AD25" i="259"/>
  <c r="O28" i="259"/>
  <c r="AC28" i="259"/>
  <c r="AB21" i="259"/>
  <c r="O21" i="259"/>
  <c r="S25" i="259"/>
  <c r="AD26" i="259"/>
  <c r="S45" i="259"/>
  <c r="AC12" i="258"/>
  <c r="AC20" i="258"/>
  <c r="O8" i="259"/>
  <c r="AC8" i="259"/>
  <c r="S12" i="259"/>
  <c r="AD13" i="259"/>
  <c r="O16" i="259"/>
  <c r="AC16" i="259"/>
  <c r="S20" i="259"/>
  <c r="AD21" i="259"/>
  <c r="O24" i="259"/>
  <c r="AC24" i="259"/>
  <c r="S28" i="259"/>
  <c r="AD29" i="259"/>
  <c r="AD7" i="259"/>
  <c r="AC10" i="259"/>
  <c r="AB13" i="259"/>
  <c r="AD15" i="259"/>
  <c r="AC7" i="258"/>
  <c r="AD12" i="258"/>
  <c r="AC15" i="258"/>
  <c r="AD20" i="258"/>
  <c r="AB6" i="259"/>
  <c r="S7" i="259"/>
  <c r="AD8" i="259"/>
  <c r="O11" i="259"/>
  <c r="AC11" i="259"/>
  <c r="AB14" i="259"/>
  <c r="S15" i="259"/>
  <c r="AD16" i="259"/>
  <c r="O19" i="259"/>
  <c r="AC19" i="259"/>
  <c r="S23" i="259"/>
  <c r="AD24" i="259"/>
  <c r="O27" i="259"/>
  <c r="AC27" i="259"/>
  <c r="S31" i="259"/>
  <c r="O44" i="259"/>
  <c r="S46" i="259"/>
  <c r="AC18" i="259"/>
  <c r="AB8" i="259"/>
  <c r="S9" i="259"/>
  <c r="AD10" i="259"/>
  <c r="O13" i="259"/>
  <c r="AC13" i="259"/>
  <c r="AB16" i="259"/>
  <c r="S17" i="259"/>
  <c r="AD18" i="259"/>
  <c r="AC21" i="259"/>
  <c r="O29" i="259"/>
  <c r="AC29" i="259"/>
  <c r="AD7" i="258"/>
  <c r="AD15" i="258"/>
  <c r="O6" i="259"/>
  <c r="AC6" i="259"/>
  <c r="J44" i="259" s="1"/>
  <c r="S10" i="259"/>
  <c r="O14" i="259"/>
  <c r="AC14" i="259"/>
  <c r="J45" i="259" s="1"/>
  <c r="S18" i="259"/>
  <c r="AD19" i="259"/>
  <c r="O22" i="259"/>
  <c r="S26" i="259"/>
  <c r="AD27" i="259"/>
  <c r="C119" i="39" l="1"/>
  <c r="T46" i="257" l="1"/>
  <c r="R46" i="257"/>
  <c r="Q46" i="257"/>
  <c r="P46" i="257"/>
  <c r="N46" i="257"/>
  <c r="M46" i="257"/>
  <c r="T45" i="257"/>
  <c r="R45" i="257"/>
  <c r="Q45" i="257"/>
  <c r="P45" i="257"/>
  <c r="N45" i="257"/>
  <c r="T44" i="257"/>
  <c r="R44" i="257"/>
  <c r="Q44" i="257"/>
  <c r="M44" i="257" s="1"/>
  <c r="P44" i="257"/>
  <c r="N44" i="257"/>
  <c r="AJ31" i="257"/>
  <c r="AI31" i="257"/>
  <c r="AH31" i="257"/>
  <c r="AG31" i="257"/>
  <c r="U31" i="257"/>
  <c r="T31" i="257"/>
  <c r="R31" i="257"/>
  <c r="Q31" i="257"/>
  <c r="M31" i="257" s="1"/>
  <c r="AK22" i="257" s="1"/>
  <c r="P31" i="257"/>
  <c r="N31" i="257"/>
  <c r="E31" i="257"/>
  <c r="AJ30" i="257"/>
  <c r="AI30" i="257"/>
  <c r="AH30" i="257"/>
  <c r="AG30" i="257"/>
  <c r="U30" i="257"/>
  <c r="T30" i="257"/>
  <c r="R30" i="257"/>
  <c r="Q30" i="257"/>
  <c r="P30" i="257"/>
  <c r="N30" i="257"/>
  <c r="E30" i="257"/>
  <c r="AF13" i="257" s="1"/>
  <c r="AJ29" i="257"/>
  <c r="AI29" i="257"/>
  <c r="AH29" i="257"/>
  <c r="AG29" i="257"/>
  <c r="U29" i="257"/>
  <c r="T29" i="257"/>
  <c r="R29" i="257"/>
  <c r="Q29" i="257"/>
  <c r="M29" i="257" s="1"/>
  <c r="AK21" i="257" s="1"/>
  <c r="P29" i="257"/>
  <c r="N29" i="257"/>
  <c r="E29" i="257"/>
  <c r="AF21" i="257" s="1"/>
  <c r="AJ28" i="257"/>
  <c r="AI28" i="257"/>
  <c r="AH28" i="257"/>
  <c r="AG28" i="257"/>
  <c r="U28" i="257"/>
  <c r="T28" i="257"/>
  <c r="R28" i="257"/>
  <c r="Q28" i="257"/>
  <c r="P28" i="257"/>
  <c r="N28" i="257"/>
  <c r="E28" i="257"/>
  <c r="AF31" i="257" s="1"/>
  <c r="AJ27" i="257"/>
  <c r="AI27" i="257"/>
  <c r="AH27" i="257"/>
  <c r="AG27" i="257"/>
  <c r="U27" i="257"/>
  <c r="T27" i="257"/>
  <c r="R27" i="257"/>
  <c r="Q27" i="257"/>
  <c r="P27" i="257"/>
  <c r="N27" i="257"/>
  <c r="E27" i="257"/>
  <c r="AF12" i="257" s="1"/>
  <c r="AJ26" i="257"/>
  <c r="AI26" i="257"/>
  <c r="AH26" i="257"/>
  <c r="AG26" i="257"/>
  <c r="U26" i="257"/>
  <c r="T26" i="257"/>
  <c r="R26" i="257"/>
  <c r="Q26" i="257"/>
  <c r="M26" i="257" s="1"/>
  <c r="AK30" i="257" s="1"/>
  <c r="P26" i="257"/>
  <c r="N26" i="257"/>
  <c r="E26" i="257"/>
  <c r="AF30" i="257" s="1"/>
  <c r="AJ25" i="257"/>
  <c r="AI25" i="257"/>
  <c r="AH25" i="257"/>
  <c r="AG25" i="257"/>
  <c r="AF25" i="257"/>
  <c r="U25" i="257"/>
  <c r="T25" i="257"/>
  <c r="R25" i="257"/>
  <c r="Q25" i="257"/>
  <c r="M25" i="257" s="1"/>
  <c r="AK20" i="257" s="1"/>
  <c r="P25" i="257"/>
  <c r="N25" i="257"/>
  <c r="E25" i="257"/>
  <c r="AF20" i="257" s="1"/>
  <c r="AJ24" i="257"/>
  <c r="AI24" i="257"/>
  <c r="AH24" i="257"/>
  <c r="AG24" i="257"/>
  <c r="U24" i="257"/>
  <c r="T24" i="257"/>
  <c r="R24" i="257"/>
  <c r="Q24" i="257"/>
  <c r="P24" i="257"/>
  <c r="N24" i="257"/>
  <c r="E24" i="257"/>
  <c r="AJ23" i="257"/>
  <c r="AI23" i="257"/>
  <c r="AH23" i="257"/>
  <c r="AG23" i="257"/>
  <c r="U23" i="257"/>
  <c r="T23" i="257"/>
  <c r="R23" i="257"/>
  <c r="M23" i="257" s="1"/>
  <c r="AK10" i="257" s="1"/>
  <c r="Q23" i="257"/>
  <c r="P23" i="257"/>
  <c r="N23" i="257"/>
  <c r="E23" i="257"/>
  <c r="AJ22" i="257"/>
  <c r="AI22" i="257"/>
  <c r="AH22" i="257"/>
  <c r="AG22" i="257"/>
  <c r="AF22" i="257"/>
  <c r="U22" i="257"/>
  <c r="T22" i="257"/>
  <c r="R22" i="257"/>
  <c r="Q22" i="257"/>
  <c r="P22" i="257"/>
  <c r="N22" i="257"/>
  <c r="E22" i="257"/>
  <c r="AJ21" i="257"/>
  <c r="AI21" i="257"/>
  <c r="AH21" i="257"/>
  <c r="AG21" i="257"/>
  <c r="U21" i="257"/>
  <c r="T21" i="257"/>
  <c r="R21" i="257"/>
  <c r="M21" i="257" s="1"/>
  <c r="AK29" i="257" s="1"/>
  <c r="Q21" i="257"/>
  <c r="P21" i="257"/>
  <c r="N21" i="257"/>
  <c r="E21" i="257"/>
  <c r="AF29" i="257" s="1"/>
  <c r="AJ20" i="257"/>
  <c r="AI20" i="257"/>
  <c r="AH20" i="257"/>
  <c r="AG20" i="257"/>
  <c r="U20" i="257"/>
  <c r="T20" i="257"/>
  <c r="R20" i="257"/>
  <c r="Q20" i="257"/>
  <c r="P20" i="257"/>
  <c r="N20" i="257"/>
  <c r="E20" i="257"/>
  <c r="AF19" i="257" s="1"/>
  <c r="AJ19" i="257"/>
  <c r="AI19" i="257"/>
  <c r="AH19" i="257"/>
  <c r="AG19" i="257"/>
  <c r="U19" i="257"/>
  <c r="T19" i="257"/>
  <c r="R19" i="257"/>
  <c r="Q19" i="257"/>
  <c r="P19" i="257"/>
  <c r="N19" i="257"/>
  <c r="E19" i="257"/>
  <c r="AF28" i="257" s="1"/>
  <c r="AJ18" i="257"/>
  <c r="AI18" i="257"/>
  <c r="AH18" i="257"/>
  <c r="AG18" i="257"/>
  <c r="U18" i="257"/>
  <c r="T18" i="257"/>
  <c r="R18" i="257"/>
  <c r="Q18" i="257"/>
  <c r="M18" i="257" s="1"/>
  <c r="AK8" i="257" s="1"/>
  <c r="P18" i="257"/>
  <c r="N18" i="257"/>
  <c r="E18" i="257"/>
  <c r="AF8" i="257" s="1"/>
  <c r="AJ17" i="257"/>
  <c r="AI17" i="257"/>
  <c r="AH17" i="257"/>
  <c r="AG17" i="257"/>
  <c r="U17" i="257"/>
  <c r="T17" i="257"/>
  <c r="R17" i="257"/>
  <c r="Q17" i="257"/>
  <c r="P17" i="257"/>
  <c r="N17" i="257"/>
  <c r="E17" i="257"/>
  <c r="AF27" i="257" s="1"/>
  <c r="AJ16" i="257"/>
  <c r="AI16" i="257"/>
  <c r="AH16" i="257"/>
  <c r="AG16" i="257"/>
  <c r="U16" i="257"/>
  <c r="T16" i="257"/>
  <c r="R16" i="257"/>
  <c r="Q16" i="257"/>
  <c r="P16" i="257"/>
  <c r="N16" i="257"/>
  <c r="E16" i="257"/>
  <c r="AF26" i="257" s="1"/>
  <c r="AJ15" i="257"/>
  <c r="AI15" i="257"/>
  <c r="AH15" i="257"/>
  <c r="AG15" i="257"/>
  <c r="U15" i="257"/>
  <c r="T15" i="257"/>
  <c r="R15" i="257"/>
  <c r="Q15" i="257"/>
  <c r="M15" i="257" s="1"/>
  <c r="AK18" i="257" s="1"/>
  <c r="P15" i="257"/>
  <c r="N15" i="257"/>
  <c r="E15" i="257"/>
  <c r="AF18" i="257" s="1"/>
  <c r="AJ14" i="257"/>
  <c r="AI14" i="257"/>
  <c r="AH14" i="257"/>
  <c r="AG14" i="257"/>
  <c r="U14" i="257"/>
  <c r="T14" i="257"/>
  <c r="R14" i="257"/>
  <c r="Q14" i="257"/>
  <c r="P14" i="257"/>
  <c r="N14" i="257"/>
  <c r="E14" i="257"/>
  <c r="AF17" i="257" s="1"/>
  <c r="AJ13" i="257"/>
  <c r="AI13" i="257"/>
  <c r="AH13" i="257"/>
  <c r="AG13" i="257"/>
  <c r="U13" i="257"/>
  <c r="T13" i="257"/>
  <c r="R13" i="257"/>
  <c r="Q13" i="257"/>
  <c r="M13" i="257" s="1"/>
  <c r="AK16" i="257" s="1"/>
  <c r="P13" i="257"/>
  <c r="N13" i="257"/>
  <c r="E13" i="257"/>
  <c r="AF16" i="257" s="1"/>
  <c r="AJ12" i="257"/>
  <c r="AI12" i="257"/>
  <c r="AH12" i="257"/>
  <c r="AG12" i="257"/>
  <c r="U12" i="257"/>
  <c r="T12" i="257"/>
  <c r="R12" i="257"/>
  <c r="Q12" i="257"/>
  <c r="P12" i="257"/>
  <c r="N12" i="257"/>
  <c r="E12" i="257"/>
  <c r="AF7" i="257" s="1"/>
  <c r="AJ11" i="257"/>
  <c r="AI11" i="257"/>
  <c r="AH11" i="257"/>
  <c r="AG11" i="257"/>
  <c r="AF11" i="257"/>
  <c r="U11" i="257"/>
  <c r="T11" i="257"/>
  <c r="R11" i="257"/>
  <c r="Q11" i="257"/>
  <c r="M11" i="257" s="1"/>
  <c r="AK25" i="257" s="1"/>
  <c r="P11" i="257"/>
  <c r="N11" i="257"/>
  <c r="E11" i="257"/>
  <c r="AJ10" i="257"/>
  <c r="AI10" i="257"/>
  <c r="AH10" i="257"/>
  <c r="AG10" i="257"/>
  <c r="AF10" i="257"/>
  <c r="U10" i="257"/>
  <c r="T10" i="257"/>
  <c r="R10" i="257"/>
  <c r="Q10" i="257"/>
  <c r="P10" i="257"/>
  <c r="N10" i="257"/>
  <c r="E10" i="257"/>
  <c r="AJ9" i="257"/>
  <c r="AI9" i="257"/>
  <c r="AH9" i="257"/>
  <c r="AG9" i="257"/>
  <c r="AF9" i="257"/>
  <c r="U9" i="257"/>
  <c r="T9" i="257"/>
  <c r="R9" i="257"/>
  <c r="Q9" i="257"/>
  <c r="M9" i="257" s="1"/>
  <c r="AK15" i="257" s="1"/>
  <c r="P9" i="257"/>
  <c r="N9" i="257"/>
  <c r="E9" i="257"/>
  <c r="AF15" i="257" s="1"/>
  <c r="AJ8" i="257"/>
  <c r="AI8" i="257"/>
  <c r="AH8" i="257"/>
  <c r="AG8" i="257"/>
  <c r="U8" i="257"/>
  <c r="T8" i="257"/>
  <c r="R8" i="257"/>
  <c r="Q8" i="257"/>
  <c r="P8" i="257"/>
  <c r="N8" i="257"/>
  <c r="E8" i="257"/>
  <c r="AF24" i="257" s="1"/>
  <c r="AJ7" i="257"/>
  <c r="AI7" i="257"/>
  <c r="AH7" i="257"/>
  <c r="AG7" i="257"/>
  <c r="U7" i="257"/>
  <c r="T7" i="257"/>
  <c r="R7" i="257"/>
  <c r="Q7" i="257"/>
  <c r="P7" i="257"/>
  <c r="N7" i="257"/>
  <c r="E7" i="257"/>
  <c r="AF23" i="257" s="1"/>
  <c r="AJ6" i="257"/>
  <c r="AI6" i="257"/>
  <c r="AH6" i="257"/>
  <c r="AG6" i="257"/>
  <c r="U6" i="257"/>
  <c r="T6" i="257"/>
  <c r="R6" i="257"/>
  <c r="Q6" i="257"/>
  <c r="P6" i="257"/>
  <c r="N6" i="257"/>
  <c r="E6" i="257"/>
  <c r="AF14" i="257" s="1"/>
  <c r="D46" i="116"/>
  <c r="AO12" i="39"/>
  <c r="AO13" i="39" s="1"/>
  <c r="AO14" i="39" s="1"/>
  <c r="AO15" i="39" s="1"/>
  <c r="AO16" i="39" s="1"/>
  <c r="AO17" i="39" s="1"/>
  <c r="AO18" i="39" s="1"/>
  <c r="AO19" i="39" s="1"/>
  <c r="AO20" i="39" s="1"/>
  <c r="AO21" i="39" s="1"/>
  <c r="AO22" i="39" s="1"/>
  <c r="AO23" i="39" s="1"/>
  <c r="AO24" i="39" s="1"/>
  <c r="AO25" i="39" s="1"/>
  <c r="AO26" i="39" s="1"/>
  <c r="AO27" i="39" s="1"/>
  <c r="AO28" i="39" s="1"/>
  <c r="AO29" i="39" s="1"/>
  <c r="AO30" i="39" s="1"/>
  <c r="AO31" i="39" s="1"/>
  <c r="AO32" i="39" s="1"/>
  <c r="AO33" i="39" s="1"/>
  <c r="AO34" i="39" s="1"/>
  <c r="AO35" i="39" s="1"/>
  <c r="AO36" i="39" s="1"/>
  <c r="AO37" i="39" s="1"/>
  <c r="AO38" i="39" s="1"/>
  <c r="AO39" i="39" s="1"/>
  <c r="AO40" i="39" s="1"/>
  <c r="AO41" i="39" s="1"/>
  <c r="AO42" i="39" s="1"/>
  <c r="AO43" i="39" s="1"/>
  <c r="AO44" i="39" s="1"/>
  <c r="AO45" i="39" s="1"/>
  <c r="AO46" i="39" s="1"/>
  <c r="AO47" i="39" s="1"/>
  <c r="AO48" i="39" s="1"/>
  <c r="AO49" i="39" s="1"/>
  <c r="AO50" i="39" s="1"/>
  <c r="AO51" i="39" s="1"/>
  <c r="AO52" i="39" s="1"/>
  <c r="AO53" i="39" s="1"/>
  <c r="AO54" i="39" s="1"/>
  <c r="AO55" i="39" s="1"/>
  <c r="AO56" i="39" s="1"/>
  <c r="AO57" i="39" s="1"/>
  <c r="AO58" i="39" s="1"/>
  <c r="AO59" i="39" s="1"/>
  <c r="AO60" i="39" s="1"/>
  <c r="AO61" i="39" s="1"/>
  <c r="AO62" i="39" s="1"/>
  <c r="AO63" i="39" s="1"/>
  <c r="AO64" i="39" s="1"/>
  <c r="AO65" i="39" s="1"/>
  <c r="AO66" i="39" s="1"/>
  <c r="AO67" i="39" s="1"/>
  <c r="AO68" i="39" s="1"/>
  <c r="AO69" i="39" s="1"/>
  <c r="AO70" i="39" s="1"/>
  <c r="AO71" i="39" s="1"/>
  <c r="AO72" i="39" s="1"/>
  <c r="AO73" i="39" s="1"/>
  <c r="AO74" i="39" s="1"/>
  <c r="AO75" i="39" s="1"/>
  <c r="C46" i="81"/>
  <c r="D46" i="81"/>
  <c r="E46" i="81"/>
  <c r="E42" i="39"/>
  <c r="E119" i="39"/>
  <c r="M19" i="257" l="1"/>
  <c r="AK28" i="257" s="1"/>
  <c r="M7" i="257"/>
  <c r="AK23" i="257" s="1"/>
  <c r="M27" i="257"/>
  <c r="AK12" i="257" s="1"/>
  <c r="M10" i="257"/>
  <c r="AK6" i="257" s="1"/>
  <c r="M24" i="257"/>
  <c r="AK11" i="257" s="1"/>
  <c r="M16" i="257"/>
  <c r="AK26" i="257" s="1"/>
  <c r="M17" i="257"/>
  <c r="AK27" i="257" s="1"/>
  <c r="M28" i="257"/>
  <c r="AK31" i="257" s="1"/>
  <c r="AB28" i="257"/>
  <c r="AD25" i="257"/>
  <c r="O30" i="257"/>
  <c r="AB20" i="257"/>
  <c r="M30" i="257"/>
  <c r="AK13" i="257" s="1"/>
  <c r="O28" i="257"/>
  <c r="AC22" i="257"/>
  <c r="M6" i="257"/>
  <c r="AK14" i="257" s="1"/>
  <c r="M8" i="257"/>
  <c r="AK24" i="257" s="1"/>
  <c r="M12" i="257"/>
  <c r="AK7" i="257" s="1"/>
  <c r="M20" i="257"/>
  <c r="AK19" i="257" s="1"/>
  <c r="M22" i="257"/>
  <c r="AK9" i="257" s="1"/>
  <c r="O9" i="257"/>
  <c r="AD6" i="257"/>
  <c r="K44" i="257" s="1"/>
  <c r="M14" i="257"/>
  <c r="AK17" i="257" s="1"/>
  <c r="M45" i="257"/>
  <c r="AC11" i="257"/>
  <c r="AB14" i="257"/>
  <c r="AC17" i="257"/>
  <c r="AC25" i="257"/>
  <c r="AD11" i="257"/>
  <c r="AB12" i="257"/>
  <c r="AB13" i="257"/>
  <c r="AB11" i="257"/>
  <c r="AB6" i="257"/>
  <c r="AB22" i="257"/>
  <c r="AC9" i="257"/>
  <c r="AD14" i="257"/>
  <c r="K45" i="257" s="1"/>
  <c r="AB15" i="257"/>
  <c r="AC30" i="257"/>
  <c r="AB27" i="257"/>
  <c r="AD30" i="257"/>
  <c r="AB19" i="257"/>
  <c r="S13" i="257"/>
  <c r="S21" i="257"/>
  <c r="AD22" i="257"/>
  <c r="S29" i="257"/>
  <c r="S8" i="257"/>
  <c r="S16" i="257"/>
  <c r="O20" i="257"/>
  <c r="AB23" i="257"/>
  <c r="S24" i="257"/>
  <c r="AC7" i="257"/>
  <c r="AD12" i="257"/>
  <c r="O15" i="257"/>
  <c r="AC15" i="257"/>
  <c r="AB18" i="257"/>
  <c r="S19" i="257"/>
  <c r="AD20" i="257"/>
  <c r="O23" i="257"/>
  <c r="AC23" i="257"/>
  <c r="J46" i="257" s="1"/>
  <c r="AB26" i="257"/>
  <c r="O31" i="257"/>
  <c r="S6" i="257"/>
  <c r="O10" i="257"/>
  <c r="AD15" i="257"/>
  <c r="O18" i="257"/>
  <c r="AC18" i="257"/>
  <c r="AB21" i="257"/>
  <c r="S22" i="257"/>
  <c r="AD23" i="257"/>
  <c r="K46" i="257" s="1"/>
  <c r="O26" i="257"/>
  <c r="AC26" i="257"/>
  <c r="S30" i="257"/>
  <c r="AB8" i="257"/>
  <c r="S9" i="257"/>
  <c r="AD10" i="257"/>
  <c r="O13" i="257"/>
  <c r="AC13" i="257"/>
  <c r="AB16" i="257"/>
  <c r="S17" i="257"/>
  <c r="AD18" i="257"/>
  <c r="O21" i="257"/>
  <c r="AC21" i="257"/>
  <c r="AB24" i="257"/>
  <c r="S25" i="257"/>
  <c r="AD26" i="257"/>
  <c r="O29" i="257"/>
  <c r="AC29" i="257"/>
  <c r="S45" i="257"/>
  <c r="AF6" i="257"/>
  <c r="AB7" i="257"/>
  <c r="AD9" i="257"/>
  <c r="AC28" i="257"/>
  <c r="AB31" i="257"/>
  <c r="O7" i="257"/>
  <c r="AB10" i="257"/>
  <c r="S11" i="257"/>
  <c r="S27" i="257"/>
  <c r="AD28" i="257"/>
  <c r="AC31" i="257"/>
  <c r="S44" i="257"/>
  <c r="O46" i="257"/>
  <c r="AD7" i="257"/>
  <c r="AC10" i="257"/>
  <c r="S14" i="257"/>
  <c r="AB29" i="257"/>
  <c r="AD31" i="257"/>
  <c r="O8" i="257"/>
  <c r="AC8" i="257"/>
  <c r="S12" i="257"/>
  <c r="AD13" i="257"/>
  <c r="O16" i="257"/>
  <c r="AC16" i="257"/>
  <c r="S20" i="257"/>
  <c r="AD21" i="257"/>
  <c r="O24" i="257"/>
  <c r="AC24" i="257"/>
  <c r="S28" i="257"/>
  <c r="AD29" i="257"/>
  <c r="O17" i="257"/>
  <c r="O25" i="257"/>
  <c r="O45" i="257"/>
  <c r="O12" i="257"/>
  <c r="AC12" i="257"/>
  <c r="AD17" i="257"/>
  <c r="AC20" i="257"/>
  <c r="S7" i="257"/>
  <c r="AD8" i="257"/>
  <c r="O11" i="257"/>
  <c r="S15" i="257"/>
  <c r="AD16" i="257"/>
  <c r="O19" i="257"/>
  <c r="AC19" i="257"/>
  <c r="S23" i="257"/>
  <c r="AD24" i="257"/>
  <c r="O27" i="257"/>
  <c r="AC27" i="257"/>
  <c r="AB30" i="257"/>
  <c r="S31" i="257"/>
  <c r="O44" i="257"/>
  <c r="S46" i="257"/>
  <c r="O6" i="257"/>
  <c r="AC6" i="257"/>
  <c r="J44" i="257" s="1"/>
  <c r="AB9" i="257"/>
  <c r="S10" i="257"/>
  <c r="O14" i="257"/>
  <c r="AC14" i="257"/>
  <c r="J45" i="257" s="1"/>
  <c r="AB17" i="257"/>
  <c r="S18" i="257"/>
  <c r="AD19" i="257"/>
  <c r="O22" i="257"/>
  <c r="AB25" i="257"/>
  <c r="S26" i="257"/>
  <c r="AD27" i="257"/>
  <c r="T46" i="256" l="1"/>
  <c r="R46" i="256"/>
  <c r="Q46" i="256"/>
  <c r="P46" i="256"/>
  <c r="N46" i="256"/>
  <c r="T45" i="256"/>
  <c r="R45" i="256"/>
  <c r="Q45" i="256"/>
  <c r="P45" i="256"/>
  <c r="N45" i="256"/>
  <c r="T44" i="256"/>
  <c r="R44" i="256"/>
  <c r="Q44" i="256"/>
  <c r="M44" i="256" s="1"/>
  <c r="P44" i="256"/>
  <c r="N44" i="256"/>
  <c r="AJ31" i="256"/>
  <c r="AI31" i="256"/>
  <c r="AH31" i="256"/>
  <c r="AG31" i="256"/>
  <c r="U31" i="256"/>
  <c r="T31" i="256"/>
  <c r="R31" i="256"/>
  <c r="Q31" i="256"/>
  <c r="M31" i="256" s="1"/>
  <c r="AK22" i="256" s="1"/>
  <c r="P31" i="256"/>
  <c r="N31" i="256"/>
  <c r="E31" i="256"/>
  <c r="AF22" i="256" s="1"/>
  <c r="AJ30" i="256"/>
  <c r="AI30" i="256"/>
  <c r="AH30" i="256"/>
  <c r="AG30" i="256"/>
  <c r="U30" i="256"/>
  <c r="T30" i="256"/>
  <c r="R30" i="256"/>
  <c r="Q30" i="256"/>
  <c r="M30" i="256" s="1"/>
  <c r="AK13" i="256" s="1"/>
  <c r="P30" i="256"/>
  <c r="N30" i="256"/>
  <c r="E30" i="256"/>
  <c r="AJ29" i="256"/>
  <c r="AI29" i="256"/>
  <c r="AH29" i="256"/>
  <c r="AG29" i="256"/>
  <c r="U29" i="256"/>
  <c r="T29" i="256"/>
  <c r="R29" i="256"/>
  <c r="Q29" i="256"/>
  <c r="P29" i="256"/>
  <c r="N29" i="256"/>
  <c r="E29" i="256"/>
  <c r="AF21" i="256" s="1"/>
  <c r="AJ28" i="256"/>
  <c r="AI28" i="256"/>
  <c r="AH28" i="256"/>
  <c r="AG28" i="256"/>
  <c r="U28" i="256"/>
  <c r="T28" i="256"/>
  <c r="R28" i="256"/>
  <c r="Q28" i="256"/>
  <c r="P28" i="256"/>
  <c r="N28" i="256"/>
  <c r="E28" i="256"/>
  <c r="AF31" i="256" s="1"/>
  <c r="AJ27" i="256"/>
  <c r="AI27" i="256"/>
  <c r="AH27" i="256"/>
  <c r="AG27" i="256"/>
  <c r="U27" i="256"/>
  <c r="T27" i="256"/>
  <c r="R27" i="256"/>
  <c r="Q27" i="256"/>
  <c r="P27" i="256"/>
  <c r="N27" i="256"/>
  <c r="E27" i="256"/>
  <c r="AF12" i="256" s="1"/>
  <c r="AJ26" i="256"/>
  <c r="AI26" i="256"/>
  <c r="AH26" i="256"/>
  <c r="AG26" i="256"/>
  <c r="U26" i="256"/>
  <c r="T26" i="256"/>
  <c r="R26" i="256"/>
  <c r="Q26" i="256"/>
  <c r="M26" i="256" s="1"/>
  <c r="AK30" i="256" s="1"/>
  <c r="P26" i="256"/>
  <c r="N26" i="256"/>
  <c r="E26" i="256"/>
  <c r="AF30" i="256" s="1"/>
  <c r="AJ25" i="256"/>
  <c r="AI25" i="256"/>
  <c r="AH25" i="256"/>
  <c r="AG25" i="256"/>
  <c r="U25" i="256"/>
  <c r="T25" i="256"/>
  <c r="R25" i="256"/>
  <c r="Q25" i="256"/>
  <c r="P25" i="256"/>
  <c r="N25" i="256"/>
  <c r="E25" i="256"/>
  <c r="AJ24" i="256"/>
  <c r="AI24" i="256"/>
  <c r="AH24" i="256"/>
  <c r="AG24" i="256"/>
  <c r="U24" i="256"/>
  <c r="T24" i="256"/>
  <c r="R24" i="256"/>
  <c r="Q24" i="256"/>
  <c r="P24" i="256"/>
  <c r="N24" i="256"/>
  <c r="E24" i="256"/>
  <c r="AJ23" i="256"/>
  <c r="AI23" i="256"/>
  <c r="AH23" i="256"/>
  <c r="AG23" i="256"/>
  <c r="U23" i="256"/>
  <c r="T23" i="256"/>
  <c r="R23" i="256"/>
  <c r="M23" i="256" s="1"/>
  <c r="AK10" i="256" s="1"/>
  <c r="Q23" i="256"/>
  <c r="P23" i="256"/>
  <c r="N23" i="256"/>
  <c r="E23" i="256"/>
  <c r="AF10" i="256" s="1"/>
  <c r="AJ22" i="256"/>
  <c r="AI22" i="256"/>
  <c r="AH22" i="256"/>
  <c r="AG22" i="256"/>
  <c r="U22" i="256"/>
  <c r="T22" i="256"/>
  <c r="R22" i="256"/>
  <c r="Q22" i="256"/>
  <c r="M22" i="256" s="1"/>
  <c r="AK9" i="256" s="1"/>
  <c r="P22" i="256"/>
  <c r="N22" i="256"/>
  <c r="E22" i="256"/>
  <c r="AJ21" i="256"/>
  <c r="AI21" i="256"/>
  <c r="AH21" i="256"/>
  <c r="AG21" i="256"/>
  <c r="U21" i="256"/>
  <c r="T21" i="256"/>
  <c r="R21" i="256"/>
  <c r="Q21" i="256"/>
  <c r="P21" i="256"/>
  <c r="N21" i="256"/>
  <c r="E21" i="256"/>
  <c r="AF29" i="256" s="1"/>
  <c r="AJ20" i="256"/>
  <c r="AI20" i="256"/>
  <c r="AH20" i="256"/>
  <c r="AG20" i="256"/>
  <c r="AF20" i="256"/>
  <c r="U20" i="256"/>
  <c r="T20" i="256"/>
  <c r="R20" i="256"/>
  <c r="Q20" i="256"/>
  <c r="M20" i="256" s="1"/>
  <c r="AK19" i="256" s="1"/>
  <c r="P20" i="256"/>
  <c r="N20" i="256"/>
  <c r="E20" i="256"/>
  <c r="AF19" i="256" s="1"/>
  <c r="AJ19" i="256"/>
  <c r="AI19" i="256"/>
  <c r="AH19" i="256"/>
  <c r="AG19" i="256"/>
  <c r="U19" i="256"/>
  <c r="T19" i="256"/>
  <c r="R19" i="256"/>
  <c r="Q19" i="256"/>
  <c r="M19" i="256" s="1"/>
  <c r="AK28" i="256" s="1"/>
  <c r="P19" i="256"/>
  <c r="N19" i="256"/>
  <c r="E19" i="256"/>
  <c r="AF28" i="256" s="1"/>
  <c r="AJ18" i="256"/>
  <c r="AI18" i="256"/>
  <c r="AH18" i="256"/>
  <c r="AG18" i="256"/>
  <c r="U18" i="256"/>
  <c r="T18" i="256"/>
  <c r="R18" i="256"/>
  <c r="Q18" i="256"/>
  <c r="P18" i="256"/>
  <c r="N18" i="256"/>
  <c r="M18" i="256"/>
  <c r="AK8" i="256" s="1"/>
  <c r="E18" i="256"/>
  <c r="AF8" i="256" s="1"/>
  <c r="AJ17" i="256"/>
  <c r="AI17" i="256"/>
  <c r="AH17" i="256"/>
  <c r="AG17" i="256"/>
  <c r="U17" i="256"/>
  <c r="T17" i="256"/>
  <c r="R17" i="256"/>
  <c r="Q17" i="256"/>
  <c r="P17" i="256"/>
  <c r="N17" i="256"/>
  <c r="E17" i="256"/>
  <c r="AF27" i="256" s="1"/>
  <c r="AJ16" i="256"/>
  <c r="AI16" i="256"/>
  <c r="AH16" i="256"/>
  <c r="AG16" i="256"/>
  <c r="U16" i="256"/>
  <c r="T16" i="256"/>
  <c r="R16" i="256"/>
  <c r="Q16" i="256"/>
  <c r="P16" i="256"/>
  <c r="N16" i="256"/>
  <c r="E16" i="256"/>
  <c r="AF26" i="256" s="1"/>
  <c r="AJ15" i="256"/>
  <c r="AI15" i="256"/>
  <c r="AH15" i="256"/>
  <c r="AG15" i="256"/>
  <c r="U15" i="256"/>
  <c r="T15" i="256"/>
  <c r="R15" i="256"/>
  <c r="Q15" i="256"/>
  <c r="M15" i="256" s="1"/>
  <c r="AK18" i="256" s="1"/>
  <c r="P15" i="256"/>
  <c r="N15" i="256"/>
  <c r="E15" i="256"/>
  <c r="AF18" i="256" s="1"/>
  <c r="AJ14" i="256"/>
  <c r="AI14" i="256"/>
  <c r="AH14" i="256"/>
  <c r="AG14" i="256"/>
  <c r="U14" i="256"/>
  <c r="T14" i="256"/>
  <c r="R14" i="256"/>
  <c r="Q14" i="256"/>
  <c r="P14" i="256"/>
  <c r="N14" i="256"/>
  <c r="E14" i="256"/>
  <c r="AF17" i="256" s="1"/>
  <c r="AJ13" i="256"/>
  <c r="AI13" i="256"/>
  <c r="AH13" i="256"/>
  <c r="AG13" i="256"/>
  <c r="AF13" i="256"/>
  <c r="U13" i="256"/>
  <c r="T13" i="256"/>
  <c r="R13" i="256"/>
  <c r="Q13" i="256"/>
  <c r="P13" i="256"/>
  <c r="N13" i="256"/>
  <c r="E13" i="256"/>
  <c r="AF16" i="256" s="1"/>
  <c r="AJ12" i="256"/>
  <c r="AI12" i="256"/>
  <c r="AH12" i="256"/>
  <c r="AG12" i="256"/>
  <c r="U12" i="256"/>
  <c r="T12" i="256"/>
  <c r="R12" i="256"/>
  <c r="Q12" i="256"/>
  <c r="P12" i="256"/>
  <c r="N12" i="256"/>
  <c r="E12" i="256"/>
  <c r="AF7" i="256" s="1"/>
  <c r="AJ11" i="256"/>
  <c r="AI11" i="256"/>
  <c r="AH11" i="256"/>
  <c r="AG11" i="256"/>
  <c r="AF11" i="256"/>
  <c r="U11" i="256"/>
  <c r="T11" i="256"/>
  <c r="R11" i="256"/>
  <c r="Q11" i="256"/>
  <c r="P11" i="256"/>
  <c r="N11" i="256"/>
  <c r="E11" i="256"/>
  <c r="AF25" i="256" s="1"/>
  <c r="AJ10" i="256"/>
  <c r="AI10" i="256"/>
  <c r="AH10" i="256"/>
  <c r="AG10" i="256"/>
  <c r="U10" i="256"/>
  <c r="T10" i="256"/>
  <c r="R10" i="256"/>
  <c r="Q10" i="256"/>
  <c r="M10" i="256" s="1"/>
  <c r="AK6" i="256" s="1"/>
  <c r="P10" i="256"/>
  <c r="N10" i="256"/>
  <c r="E10" i="256"/>
  <c r="AJ9" i="256"/>
  <c r="AI9" i="256"/>
  <c r="AH9" i="256"/>
  <c r="AG9" i="256"/>
  <c r="AF9" i="256"/>
  <c r="U9" i="256"/>
  <c r="T9" i="256"/>
  <c r="R9" i="256"/>
  <c r="Q9" i="256"/>
  <c r="P9" i="256"/>
  <c r="N9" i="256"/>
  <c r="E9" i="256"/>
  <c r="AF15" i="256" s="1"/>
  <c r="AJ8" i="256"/>
  <c r="AI8" i="256"/>
  <c r="AH8" i="256"/>
  <c r="AG8" i="256"/>
  <c r="U8" i="256"/>
  <c r="T8" i="256"/>
  <c r="R8" i="256"/>
  <c r="Q8" i="256"/>
  <c r="P8" i="256"/>
  <c r="N8" i="256"/>
  <c r="E8" i="256"/>
  <c r="AF24" i="256" s="1"/>
  <c r="AJ7" i="256"/>
  <c r="AI7" i="256"/>
  <c r="AH7" i="256"/>
  <c r="AG7" i="256"/>
  <c r="U7" i="256"/>
  <c r="T7" i="256"/>
  <c r="R7" i="256"/>
  <c r="Q7" i="256"/>
  <c r="P7" i="256"/>
  <c r="N7" i="256"/>
  <c r="E7" i="256"/>
  <c r="AF23" i="256" s="1"/>
  <c r="AJ6" i="256"/>
  <c r="AI6" i="256"/>
  <c r="AH6" i="256"/>
  <c r="AG6" i="256"/>
  <c r="U6" i="256"/>
  <c r="T6" i="256"/>
  <c r="R6" i="256"/>
  <c r="Q6" i="256"/>
  <c r="P6" i="256"/>
  <c r="N6" i="256"/>
  <c r="E6" i="256"/>
  <c r="O9" i="256" s="1"/>
  <c r="T46" i="255"/>
  <c r="R46" i="255"/>
  <c r="Q46" i="255"/>
  <c r="M46" i="255" s="1"/>
  <c r="P46" i="255"/>
  <c r="N46" i="255"/>
  <c r="T45" i="255"/>
  <c r="R45" i="255"/>
  <c r="Q45" i="255"/>
  <c r="P45" i="255"/>
  <c r="N45" i="255"/>
  <c r="T44" i="255"/>
  <c r="R44" i="255"/>
  <c r="Q44" i="255"/>
  <c r="P44" i="255"/>
  <c r="N44" i="255"/>
  <c r="AJ31" i="255"/>
  <c r="AI31" i="255"/>
  <c r="AH31" i="255"/>
  <c r="AG31" i="255"/>
  <c r="U31" i="255"/>
  <c r="T31" i="255"/>
  <c r="R31" i="255"/>
  <c r="Q31" i="255"/>
  <c r="P31" i="255"/>
  <c r="N31" i="255"/>
  <c r="E31" i="255"/>
  <c r="AF22" i="255" s="1"/>
  <c r="AJ30" i="255"/>
  <c r="AI30" i="255"/>
  <c r="AH30" i="255"/>
  <c r="AG30" i="255"/>
  <c r="U30" i="255"/>
  <c r="T30" i="255"/>
  <c r="R30" i="255"/>
  <c r="Q30" i="255"/>
  <c r="P30" i="255"/>
  <c r="N30" i="255"/>
  <c r="E30" i="255"/>
  <c r="AF13" i="255" s="1"/>
  <c r="AJ29" i="255"/>
  <c r="AI29" i="255"/>
  <c r="AH29" i="255"/>
  <c r="AG29" i="255"/>
  <c r="U29" i="255"/>
  <c r="T29" i="255"/>
  <c r="R29" i="255"/>
  <c r="Q29" i="255"/>
  <c r="P29" i="255"/>
  <c r="N29" i="255"/>
  <c r="E29" i="255"/>
  <c r="AF21" i="255" s="1"/>
  <c r="AJ28" i="255"/>
  <c r="AI28" i="255"/>
  <c r="AH28" i="255"/>
  <c r="AG28" i="255"/>
  <c r="U28" i="255"/>
  <c r="T28" i="255"/>
  <c r="R28" i="255"/>
  <c r="Q28" i="255"/>
  <c r="P28" i="255"/>
  <c r="N28" i="255"/>
  <c r="E28" i="255"/>
  <c r="AF31" i="255" s="1"/>
  <c r="AJ27" i="255"/>
  <c r="AI27" i="255"/>
  <c r="AH27" i="255"/>
  <c r="AG27" i="255"/>
  <c r="U27" i="255"/>
  <c r="T27" i="255"/>
  <c r="R27" i="255"/>
  <c r="Q27" i="255"/>
  <c r="P27" i="255"/>
  <c r="N27" i="255"/>
  <c r="E27" i="255"/>
  <c r="AF12" i="255" s="1"/>
  <c r="AJ26" i="255"/>
  <c r="AI26" i="255"/>
  <c r="AH26" i="255"/>
  <c r="AG26" i="255"/>
  <c r="U26" i="255"/>
  <c r="T26" i="255"/>
  <c r="R26" i="255"/>
  <c r="Q26" i="255"/>
  <c r="M26" i="255" s="1"/>
  <c r="AK30" i="255" s="1"/>
  <c r="P26" i="255"/>
  <c r="N26" i="255"/>
  <c r="E26" i="255"/>
  <c r="AF30" i="255" s="1"/>
  <c r="AJ25" i="255"/>
  <c r="AI25" i="255"/>
  <c r="AH25" i="255"/>
  <c r="AG25" i="255"/>
  <c r="U25" i="255"/>
  <c r="T25" i="255"/>
  <c r="R25" i="255"/>
  <c r="Q25" i="255"/>
  <c r="M25" i="255" s="1"/>
  <c r="AK20" i="255" s="1"/>
  <c r="P25" i="255"/>
  <c r="N25" i="255"/>
  <c r="E25" i="255"/>
  <c r="AF20" i="255" s="1"/>
  <c r="AJ24" i="255"/>
  <c r="AI24" i="255"/>
  <c r="AH24" i="255"/>
  <c r="AG24" i="255"/>
  <c r="U24" i="255"/>
  <c r="T24" i="255"/>
  <c r="R24" i="255"/>
  <c r="Q24" i="255"/>
  <c r="P24" i="255"/>
  <c r="N24" i="255"/>
  <c r="E24" i="255"/>
  <c r="AF11" i="255" s="1"/>
  <c r="AJ23" i="255"/>
  <c r="AI23" i="255"/>
  <c r="AH23" i="255"/>
  <c r="AG23" i="255"/>
  <c r="U23" i="255"/>
  <c r="T23" i="255"/>
  <c r="R23" i="255"/>
  <c r="Q23" i="255"/>
  <c r="P23" i="255"/>
  <c r="N23" i="255"/>
  <c r="E23" i="255"/>
  <c r="AF10" i="255" s="1"/>
  <c r="AJ22" i="255"/>
  <c r="AI22" i="255"/>
  <c r="AH22" i="255"/>
  <c r="AG22" i="255"/>
  <c r="U22" i="255"/>
  <c r="T22" i="255"/>
  <c r="R22" i="255"/>
  <c r="Q22" i="255"/>
  <c r="P22" i="255"/>
  <c r="N22" i="255"/>
  <c r="E22" i="255"/>
  <c r="AF9" i="255" s="1"/>
  <c r="AJ21" i="255"/>
  <c r="AI21" i="255"/>
  <c r="AH21" i="255"/>
  <c r="AG21" i="255"/>
  <c r="U21" i="255"/>
  <c r="T21" i="255"/>
  <c r="R21" i="255"/>
  <c r="Q21" i="255"/>
  <c r="M21" i="255" s="1"/>
  <c r="AK29" i="255" s="1"/>
  <c r="P21" i="255"/>
  <c r="N21" i="255"/>
  <c r="E21" i="255"/>
  <c r="AF29" i="255" s="1"/>
  <c r="AJ20" i="255"/>
  <c r="AI20" i="255"/>
  <c r="AH20" i="255"/>
  <c r="AG20" i="255"/>
  <c r="U20" i="255"/>
  <c r="T20" i="255"/>
  <c r="R20" i="255"/>
  <c r="Q20" i="255"/>
  <c r="P20" i="255"/>
  <c r="N20" i="255"/>
  <c r="E20" i="255"/>
  <c r="AJ19" i="255"/>
  <c r="AI19" i="255"/>
  <c r="AH19" i="255"/>
  <c r="AG19" i="255"/>
  <c r="AF19" i="255"/>
  <c r="U19" i="255"/>
  <c r="T19" i="255"/>
  <c r="R19" i="255"/>
  <c r="Q19" i="255"/>
  <c r="M19" i="255" s="1"/>
  <c r="AK28" i="255" s="1"/>
  <c r="P19" i="255"/>
  <c r="N19" i="255"/>
  <c r="E19" i="255"/>
  <c r="AF28" i="255" s="1"/>
  <c r="AJ18" i="255"/>
  <c r="AI18" i="255"/>
  <c r="AH18" i="255"/>
  <c r="AG18" i="255"/>
  <c r="U18" i="255"/>
  <c r="T18" i="255"/>
  <c r="R18" i="255"/>
  <c r="Q18" i="255"/>
  <c r="P18" i="255"/>
  <c r="N18" i="255"/>
  <c r="E18" i="255"/>
  <c r="AF8" i="255" s="1"/>
  <c r="AJ17" i="255"/>
  <c r="AI17" i="255"/>
  <c r="AH17" i="255"/>
  <c r="AG17" i="255"/>
  <c r="U17" i="255"/>
  <c r="T17" i="255"/>
  <c r="R17" i="255"/>
  <c r="Q17" i="255"/>
  <c r="P17" i="255"/>
  <c r="N17" i="255"/>
  <c r="E17" i="255"/>
  <c r="AF27" i="255" s="1"/>
  <c r="AJ16" i="255"/>
  <c r="AI16" i="255"/>
  <c r="AH16" i="255"/>
  <c r="AG16" i="255"/>
  <c r="U16" i="255"/>
  <c r="T16" i="255"/>
  <c r="R16" i="255"/>
  <c r="Q16" i="255"/>
  <c r="P16" i="255"/>
  <c r="N16" i="255"/>
  <c r="E16" i="255"/>
  <c r="AF26" i="255" s="1"/>
  <c r="AJ15" i="255"/>
  <c r="AI15" i="255"/>
  <c r="AH15" i="255"/>
  <c r="AG15" i="255"/>
  <c r="U15" i="255"/>
  <c r="T15" i="255"/>
  <c r="R15" i="255"/>
  <c r="Q15" i="255"/>
  <c r="M15" i="255" s="1"/>
  <c r="AK18" i="255" s="1"/>
  <c r="P15" i="255"/>
  <c r="N15" i="255"/>
  <c r="E15" i="255"/>
  <c r="AF18" i="255" s="1"/>
  <c r="AJ14" i="255"/>
  <c r="AI14" i="255"/>
  <c r="AH14" i="255"/>
  <c r="AG14" i="255"/>
  <c r="U14" i="255"/>
  <c r="T14" i="255"/>
  <c r="R14" i="255"/>
  <c r="Q14" i="255"/>
  <c r="M14" i="255" s="1"/>
  <c r="AK17" i="255" s="1"/>
  <c r="P14" i="255"/>
  <c r="N14" i="255"/>
  <c r="E14" i="255"/>
  <c r="AF17" i="255" s="1"/>
  <c r="AJ13" i="255"/>
  <c r="AI13" i="255"/>
  <c r="AH13" i="255"/>
  <c r="AG13" i="255"/>
  <c r="U13" i="255"/>
  <c r="T13" i="255"/>
  <c r="R13" i="255"/>
  <c r="Q13" i="255"/>
  <c r="P13" i="255"/>
  <c r="N13" i="255"/>
  <c r="E13" i="255"/>
  <c r="AF16" i="255" s="1"/>
  <c r="AJ12" i="255"/>
  <c r="AI12" i="255"/>
  <c r="AH12" i="255"/>
  <c r="AG12" i="255"/>
  <c r="U12" i="255"/>
  <c r="T12" i="255"/>
  <c r="R12" i="255"/>
  <c r="Q12" i="255"/>
  <c r="P12" i="255"/>
  <c r="N12" i="255"/>
  <c r="E12" i="255"/>
  <c r="AJ11" i="255"/>
  <c r="AI11" i="255"/>
  <c r="AH11" i="255"/>
  <c r="AG11" i="255"/>
  <c r="U11" i="255"/>
  <c r="T11" i="255"/>
  <c r="R11" i="255"/>
  <c r="Q11" i="255"/>
  <c r="M11" i="255" s="1"/>
  <c r="AK25" i="255" s="1"/>
  <c r="P11" i="255"/>
  <c r="N11" i="255"/>
  <c r="E11" i="255"/>
  <c r="AF25" i="255" s="1"/>
  <c r="AJ10" i="255"/>
  <c r="AI10" i="255"/>
  <c r="AH10" i="255"/>
  <c r="AG10" i="255"/>
  <c r="U10" i="255"/>
  <c r="T10" i="255"/>
  <c r="R10" i="255"/>
  <c r="Q10" i="255"/>
  <c r="P10" i="255"/>
  <c r="N10" i="255"/>
  <c r="E10" i="255"/>
  <c r="AJ9" i="255"/>
  <c r="AI9" i="255"/>
  <c r="AH9" i="255"/>
  <c r="AG9" i="255"/>
  <c r="U9" i="255"/>
  <c r="T9" i="255"/>
  <c r="R9" i="255"/>
  <c r="Q9" i="255"/>
  <c r="P9" i="255"/>
  <c r="N9" i="255"/>
  <c r="E9" i="255"/>
  <c r="AF15" i="255" s="1"/>
  <c r="AJ8" i="255"/>
  <c r="AI8" i="255"/>
  <c r="AH8" i="255"/>
  <c r="AG8" i="255"/>
  <c r="U8" i="255"/>
  <c r="T8" i="255"/>
  <c r="R8" i="255"/>
  <c r="Q8" i="255"/>
  <c r="P8" i="255"/>
  <c r="N8" i="255"/>
  <c r="E8" i="255"/>
  <c r="AF24" i="255" s="1"/>
  <c r="AJ7" i="255"/>
  <c r="AI7" i="255"/>
  <c r="AH7" i="255"/>
  <c r="AG7" i="255"/>
  <c r="AF7" i="255"/>
  <c r="U7" i="255"/>
  <c r="T7" i="255"/>
  <c r="R7" i="255"/>
  <c r="Q7" i="255"/>
  <c r="P7" i="255"/>
  <c r="N7" i="255"/>
  <c r="E7" i="255"/>
  <c r="AF23" i="255" s="1"/>
  <c r="AJ6" i="255"/>
  <c r="AI6" i="255"/>
  <c r="AH6" i="255"/>
  <c r="AG6" i="255"/>
  <c r="U6" i="255"/>
  <c r="T6" i="255"/>
  <c r="R6" i="255"/>
  <c r="Q6" i="255"/>
  <c r="P6" i="255"/>
  <c r="N6" i="255"/>
  <c r="E6" i="255"/>
  <c r="M6" i="256" l="1"/>
  <c r="AK14" i="256" s="1"/>
  <c r="M11" i="256"/>
  <c r="AK25" i="256" s="1"/>
  <c r="M7" i="255"/>
  <c r="AK23" i="255" s="1"/>
  <c r="M12" i="255"/>
  <c r="AK7" i="255" s="1"/>
  <c r="M22" i="255"/>
  <c r="AK9" i="255" s="1"/>
  <c r="M16" i="256"/>
  <c r="AK26" i="256" s="1"/>
  <c r="M10" i="255"/>
  <c r="AK6" i="255" s="1"/>
  <c r="M13" i="255"/>
  <c r="AK16" i="255" s="1"/>
  <c r="M23" i="255"/>
  <c r="AK10" i="255" s="1"/>
  <c r="M28" i="255"/>
  <c r="AK31" i="255" s="1"/>
  <c r="M12" i="256"/>
  <c r="AK7" i="256" s="1"/>
  <c r="M17" i="256"/>
  <c r="AK27" i="256" s="1"/>
  <c r="M31" i="255"/>
  <c r="AK22" i="255" s="1"/>
  <c r="M44" i="255"/>
  <c r="M13" i="256"/>
  <c r="AK16" i="256" s="1"/>
  <c r="M46" i="256"/>
  <c r="M7" i="256"/>
  <c r="AK23" i="256" s="1"/>
  <c r="M21" i="256"/>
  <c r="AK29" i="256" s="1"/>
  <c r="M29" i="256"/>
  <c r="AK21" i="256" s="1"/>
  <c r="M28" i="256"/>
  <c r="AK31" i="256" s="1"/>
  <c r="AB28" i="255"/>
  <c r="M18" i="255"/>
  <c r="AK8" i="255" s="1"/>
  <c r="M30" i="255"/>
  <c r="AK13" i="255" s="1"/>
  <c r="M8" i="255"/>
  <c r="AK24" i="255" s="1"/>
  <c r="M29" i="255"/>
  <c r="AK21" i="255" s="1"/>
  <c r="AB20" i="255"/>
  <c r="M17" i="255"/>
  <c r="AK27" i="255" s="1"/>
  <c r="M45" i="255"/>
  <c r="M14" i="256"/>
  <c r="AK17" i="256" s="1"/>
  <c r="M24" i="256"/>
  <c r="AK11" i="256" s="1"/>
  <c r="M45" i="256"/>
  <c r="M8" i="256"/>
  <c r="AK24" i="256" s="1"/>
  <c r="AB17" i="256"/>
  <c r="M9" i="256"/>
  <c r="AK15" i="256" s="1"/>
  <c r="AC19" i="256"/>
  <c r="M25" i="256"/>
  <c r="AK20" i="256" s="1"/>
  <c r="M27" i="256"/>
  <c r="AK12" i="256" s="1"/>
  <c r="S24" i="256"/>
  <c r="O30" i="256"/>
  <c r="AD11" i="256"/>
  <c r="AF14" i="256"/>
  <c r="AB13" i="256"/>
  <c r="AD14" i="256"/>
  <c r="K45" i="256" s="1"/>
  <c r="AC30" i="256"/>
  <c r="AB20" i="256"/>
  <c r="AC11" i="256"/>
  <c r="AB9" i="256"/>
  <c r="AC22" i="256"/>
  <c r="AC31" i="256"/>
  <c r="AB27" i="256"/>
  <c r="AB28" i="256"/>
  <c r="AD6" i="256"/>
  <c r="K44" i="256" s="1"/>
  <c r="AB11" i="256"/>
  <c r="AC17" i="256"/>
  <c r="AB12" i="256"/>
  <c r="AB19" i="256"/>
  <c r="AC9" i="256"/>
  <c r="AB21" i="256"/>
  <c r="AB25" i="256"/>
  <c r="AB23" i="256"/>
  <c r="AB14" i="256"/>
  <c r="AB6" i="256"/>
  <c r="AC25" i="256"/>
  <c r="M6" i="255"/>
  <c r="AK14" i="255" s="1"/>
  <c r="M16" i="255"/>
  <c r="AK26" i="255" s="1"/>
  <c r="M24" i="255"/>
  <c r="AK11" i="255" s="1"/>
  <c r="M9" i="255"/>
  <c r="AK15" i="255" s="1"/>
  <c r="M20" i="255"/>
  <c r="AK19" i="255" s="1"/>
  <c r="M27" i="255"/>
  <c r="AK12" i="255" s="1"/>
  <c r="AC25" i="255"/>
  <c r="AB13" i="255"/>
  <c r="AB17" i="255"/>
  <c r="S16" i="255"/>
  <c r="AD14" i="255"/>
  <c r="K45" i="255" s="1"/>
  <c r="O30" i="255"/>
  <c r="AF14" i="255"/>
  <c r="AB15" i="255"/>
  <c r="AC30" i="255"/>
  <c r="AB25" i="255"/>
  <c r="AB27" i="255"/>
  <c r="AD30" i="255"/>
  <c r="AD11" i="255"/>
  <c r="AB12" i="255"/>
  <c r="AC9" i="255"/>
  <c r="AC22" i="255"/>
  <c r="AB18" i="255"/>
  <c r="AB9" i="255"/>
  <c r="AC7" i="255"/>
  <c r="AB19" i="255"/>
  <c r="AD6" i="255"/>
  <c r="K44" i="255" s="1"/>
  <c r="AB11" i="255"/>
  <c r="AC17" i="255"/>
  <c r="AB22" i="255"/>
  <c r="AC29" i="255"/>
  <c r="AB30" i="255"/>
  <c r="S13" i="256"/>
  <c r="O17" i="256"/>
  <c r="S21" i="256"/>
  <c r="AD22" i="256"/>
  <c r="S29" i="256"/>
  <c r="AD9" i="256"/>
  <c r="AC12" i="256"/>
  <c r="S16" i="256"/>
  <c r="AD17" i="256"/>
  <c r="AC20" i="256"/>
  <c r="AD25" i="256"/>
  <c r="O28" i="256"/>
  <c r="O7" i="256"/>
  <c r="AB10" i="256"/>
  <c r="AC15" i="256"/>
  <c r="AB26" i="256"/>
  <c r="S27" i="256"/>
  <c r="AD28" i="256"/>
  <c r="O46" i="256"/>
  <c r="AD7" i="256"/>
  <c r="O10" i="256"/>
  <c r="AC10" i="256"/>
  <c r="AD15" i="256"/>
  <c r="S22" i="256"/>
  <c r="AD23" i="256"/>
  <c r="K46" i="256" s="1"/>
  <c r="AB29" i="256"/>
  <c r="AD31" i="256"/>
  <c r="AB8" i="256"/>
  <c r="S9" i="256"/>
  <c r="AD10" i="256"/>
  <c r="O13" i="256"/>
  <c r="AC13" i="256"/>
  <c r="AB16" i="256"/>
  <c r="S17" i="256"/>
  <c r="AD18" i="256"/>
  <c r="O21" i="256"/>
  <c r="AC21" i="256"/>
  <c r="AB24" i="256"/>
  <c r="S25" i="256"/>
  <c r="AD26" i="256"/>
  <c r="O29" i="256"/>
  <c r="AC29" i="256"/>
  <c r="S45" i="256"/>
  <c r="O25" i="256"/>
  <c r="AD30" i="256"/>
  <c r="O45" i="256"/>
  <c r="AF6" i="256"/>
  <c r="AB7" i="256"/>
  <c r="S8" i="256"/>
  <c r="O12" i="256"/>
  <c r="AB15" i="256"/>
  <c r="AC28" i="256"/>
  <c r="AB31" i="256"/>
  <c r="S11" i="256"/>
  <c r="O15" i="256"/>
  <c r="S19" i="256"/>
  <c r="AD20" i="256"/>
  <c r="O23" i="256"/>
  <c r="AC23" i="256"/>
  <c r="J46" i="256" s="1"/>
  <c r="O31" i="256"/>
  <c r="S44" i="256"/>
  <c r="S6" i="256"/>
  <c r="S14" i="256"/>
  <c r="O18" i="256"/>
  <c r="AC18" i="256"/>
  <c r="O26" i="256"/>
  <c r="AC26" i="256"/>
  <c r="S30" i="256"/>
  <c r="O8" i="256"/>
  <c r="AC8" i="256"/>
  <c r="S12" i="256"/>
  <c r="AD13" i="256"/>
  <c r="O16" i="256"/>
  <c r="AC16" i="256"/>
  <c r="S20" i="256"/>
  <c r="AD21" i="256"/>
  <c r="O24" i="256"/>
  <c r="AC24" i="256"/>
  <c r="S28" i="256"/>
  <c r="AD29" i="256"/>
  <c r="O20" i="256"/>
  <c r="AC7" i="256"/>
  <c r="AD12" i="256"/>
  <c r="AB18" i="256"/>
  <c r="S7" i="256"/>
  <c r="AD8" i="256"/>
  <c r="O11" i="256"/>
  <c r="S15" i="256"/>
  <c r="AD16" i="256"/>
  <c r="O19" i="256"/>
  <c r="AB22" i="256"/>
  <c r="S23" i="256"/>
  <c r="AD24" i="256"/>
  <c r="O27" i="256"/>
  <c r="AC27" i="256"/>
  <c r="AB30" i="256"/>
  <c r="S31" i="256"/>
  <c r="O44" i="256"/>
  <c r="S46" i="256"/>
  <c r="O6" i="256"/>
  <c r="AC6" i="256"/>
  <c r="J44" i="256" s="1"/>
  <c r="S10" i="256"/>
  <c r="O14" i="256"/>
  <c r="AC14" i="256"/>
  <c r="J45" i="256" s="1"/>
  <c r="S18" i="256"/>
  <c r="AD19" i="256"/>
  <c r="O22" i="256"/>
  <c r="S26" i="256"/>
  <c r="AD27" i="256"/>
  <c r="O45" i="255"/>
  <c r="O20" i="255"/>
  <c r="AB23" i="255"/>
  <c r="AB31" i="255"/>
  <c r="O7" i="255"/>
  <c r="AD12" i="255"/>
  <c r="S19" i="255"/>
  <c r="AD20" i="255"/>
  <c r="AC23" i="255"/>
  <c r="J46" i="255" s="1"/>
  <c r="S27" i="255"/>
  <c r="AD28" i="255"/>
  <c r="AD7" i="255"/>
  <c r="S22" i="255"/>
  <c r="AD23" i="255"/>
  <c r="K46" i="255" s="1"/>
  <c r="O26" i="255"/>
  <c r="AB29" i="255"/>
  <c r="S30" i="255"/>
  <c r="AB8" i="255"/>
  <c r="S9" i="255"/>
  <c r="O8" i="255"/>
  <c r="AC8" i="255"/>
  <c r="S12" i="255"/>
  <c r="AD13" i="255"/>
  <c r="O16" i="255"/>
  <c r="AC16" i="255"/>
  <c r="S20" i="255"/>
  <c r="AD21" i="255"/>
  <c r="O24" i="255"/>
  <c r="AC24" i="255"/>
  <c r="S28" i="255"/>
  <c r="AD29" i="255"/>
  <c r="O9" i="255"/>
  <c r="O17" i="255"/>
  <c r="S21" i="255"/>
  <c r="AD22" i="255"/>
  <c r="O25" i="255"/>
  <c r="AF6" i="255"/>
  <c r="S8" i="255"/>
  <c r="AD9" i="255"/>
  <c r="AC20" i="255"/>
  <c r="S24" i="255"/>
  <c r="AD25" i="255"/>
  <c r="O28" i="255"/>
  <c r="AB10" i="255"/>
  <c r="O15" i="255"/>
  <c r="AB26" i="255"/>
  <c r="AC31" i="255"/>
  <c r="O46" i="255"/>
  <c r="S6" i="255"/>
  <c r="O10" i="255"/>
  <c r="AD15" i="255"/>
  <c r="AC18" i="255"/>
  <c r="AB21" i="255"/>
  <c r="AD10" i="255"/>
  <c r="AC13" i="255"/>
  <c r="AB16" i="255"/>
  <c r="S17" i="255"/>
  <c r="O29" i="255"/>
  <c r="AB6" i="255"/>
  <c r="S7" i="255"/>
  <c r="AD8" i="255"/>
  <c r="O11" i="255"/>
  <c r="AC11" i="255"/>
  <c r="AB14" i="255"/>
  <c r="S15" i="255"/>
  <c r="AD16" i="255"/>
  <c r="O19" i="255"/>
  <c r="AC19" i="255"/>
  <c r="S23" i="255"/>
  <c r="AD24" i="255"/>
  <c r="O27" i="255"/>
  <c r="AC27" i="255"/>
  <c r="S31" i="255"/>
  <c r="O44" i="255"/>
  <c r="S46" i="255"/>
  <c r="S13" i="255"/>
  <c r="S29" i="255"/>
  <c r="AB7" i="255"/>
  <c r="O12" i="255"/>
  <c r="AC12" i="255"/>
  <c r="AD17" i="255"/>
  <c r="AC28" i="255"/>
  <c r="S11" i="255"/>
  <c r="AC15" i="255"/>
  <c r="O23" i="255"/>
  <c r="O31" i="255"/>
  <c r="S44" i="255"/>
  <c r="AC10" i="255"/>
  <c r="S14" i="255"/>
  <c r="O18" i="255"/>
  <c r="AC26" i="255"/>
  <c r="AD31" i="255"/>
  <c r="O13" i="255"/>
  <c r="AD18" i="255"/>
  <c r="O21" i="255"/>
  <c r="AC21" i="255"/>
  <c r="AB24" i="255"/>
  <c r="S25" i="255"/>
  <c r="AD26" i="255"/>
  <c r="S45" i="255"/>
  <c r="O6" i="255"/>
  <c r="AC6" i="255"/>
  <c r="J44" i="255" s="1"/>
  <c r="S10" i="255"/>
  <c r="O14" i="255"/>
  <c r="AC14" i="255"/>
  <c r="J45" i="255" s="1"/>
  <c r="S18" i="255"/>
  <c r="AD19" i="255"/>
  <c r="O22" i="255"/>
  <c r="S26" i="255"/>
  <c r="AD27" i="255"/>
  <c r="T46" i="254" l="1"/>
  <c r="R46" i="254"/>
  <c r="Q46" i="254"/>
  <c r="M46" i="254" s="1"/>
  <c r="P46" i="254"/>
  <c r="N46" i="254"/>
  <c r="T45" i="254"/>
  <c r="R45" i="254"/>
  <c r="Q45" i="254"/>
  <c r="P45" i="254"/>
  <c r="N45" i="254"/>
  <c r="T44" i="254"/>
  <c r="R44" i="254"/>
  <c r="Q44" i="254"/>
  <c r="P44" i="254"/>
  <c r="N44" i="254"/>
  <c r="AJ31" i="254"/>
  <c r="AI31" i="254"/>
  <c r="AH31" i="254"/>
  <c r="AG31" i="254"/>
  <c r="U31" i="254"/>
  <c r="T31" i="254"/>
  <c r="R31" i="254"/>
  <c r="Q31" i="254"/>
  <c r="M31" i="254" s="1"/>
  <c r="AK22" i="254" s="1"/>
  <c r="P31" i="254"/>
  <c r="N31" i="254"/>
  <c r="E31" i="254"/>
  <c r="AF22" i="254" s="1"/>
  <c r="AJ30" i="254"/>
  <c r="AI30" i="254"/>
  <c r="AH30" i="254"/>
  <c r="AG30" i="254"/>
  <c r="U30" i="254"/>
  <c r="T30" i="254"/>
  <c r="R30" i="254"/>
  <c r="Q30" i="254"/>
  <c r="M30" i="254" s="1"/>
  <c r="AK13" i="254" s="1"/>
  <c r="P30" i="254"/>
  <c r="N30" i="254"/>
  <c r="E30" i="254"/>
  <c r="AF13" i="254" s="1"/>
  <c r="AJ29" i="254"/>
  <c r="AI29" i="254"/>
  <c r="AH29" i="254"/>
  <c r="AG29" i="254"/>
  <c r="U29" i="254"/>
  <c r="T29" i="254"/>
  <c r="R29" i="254"/>
  <c r="Q29" i="254"/>
  <c r="M29" i="254" s="1"/>
  <c r="AK21" i="254" s="1"/>
  <c r="P29" i="254"/>
  <c r="N29" i="254"/>
  <c r="E29" i="254"/>
  <c r="AF21" i="254" s="1"/>
  <c r="AJ28" i="254"/>
  <c r="AI28" i="254"/>
  <c r="AH28" i="254"/>
  <c r="AB28" i="254" s="1"/>
  <c r="AG28" i="254"/>
  <c r="U28" i="254"/>
  <c r="T28" i="254"/>
  <c r="R28" i="254"/>
  <c r="Q28" i="254"/>
  <c r="AK31" i="254" s="1"/>
  <c r="P28" i="254"/>
  <c r="N28" i="254"/>
  <c r="E28" i="254"/>
  <c r="AF31" i="254" s="1"/>
  <c r="AJ27" i="254"/>
  <c r="AI27" i="254"/>
  <c r="AH27" i="254"/>
  <c r="AG27" i="254"/>
  <c r="U27" i="254"/>
  <c r="T27" i="254"/>
  <c r="R27" i="254"/>
  <c r="Q27" i="254"/>
  <c r="P27" i="254"/>
  <c r="N27" i="254"/>
  <c r="E27" i="254"/>
  <c r="AF12" i="254" s="1"/>
  <c r="AJ26" i="254"/>
  <c r="AI26" i="254"/>
  <c r="AH26" i="254"/>
  <c r="AG26" i="254"/>
  <c r="U26" i="254"/>
  <c r="T26" i="254"/>
  <c r="R26" i="254"/>
  <c r="Q26" i="254"/>
  <c r="P26" i="254"/>
  <c r="N26" i="254"/>
  <c r="E26" i="254"/>
  <c r="AF30" i="254" s="1"/>
  <c r="AJ25" i="254"/>
  <c r="AI25" i="254"/>
  <c r="AH25" i="254"/>
  <c r="AG25" i="254"/>
  <c r="U25" i="254"/>
  <c r="T25" i="254"/>
  <c r="R25" i="254"/>
  <c r="Q25" i="254"/>
  <c r="P25" i="254"/>
  <c r="N25" i="254"/>
  <c r="E25" i="254"/>
  <c r="AF20" i="254" s="1"/>
  <c r="AJ24" i="254"/>
  <c r="AI24" i="254"/>
  <c r="AH24" i="254"/>
  <c r="AG24" i="254"/>
  <c r="U24" i="254"/>
  <c r="T24" i="254"/>
  <c r="R24" i="254"/>
  <c r="Q24" i="254"/>
  <c r="P24" i="254"/>
  <c r="N24" i="254"/>
  <c r="E24" i="254"/>
  <c r="AF11" i="254" s="1"/>
  <c r="AJ23" i="254"/>
  <c r="AI23" i="254"/>
  <c r="AH23" i="254"/>
  <c r="AG23" i="254"/>
  <c r="U23" i="254"/>
  <c r="T23" i="254"/>
  <c r="R23" i="254"/>
  <c r="Q23" i="254"/>
  <c r="M23" i="254" s="1"/>
  <c r="AK10" i="254" s="1"/>
  <c r="P23" i="254"/>
  <c r="N23" i="254"/>
  <c r="E23" i="254"/>
  <c r="AJ22" i="254"/>
  <c r="AI22" i="254"/>
  <c r="AH22" i="254"/>
  <c r="AG22" i="254"/>
  <c r="U22" i="254"/>
  <c r="T22" i="254"/>
  <c r="R22" i="254"/>
  <c r="Q22" i="254"/>
  <c r="M22" i="254" s="1"/>
  <c r="AK9" i="254" s="1"/>
  <c r="P22" i="254"/>
  <c r="N22" i="254"/>
  <c r="E22" i="254"/>
  <c r="AF9" i="254" s="1"/>
  <c r="AJ21" i="254"/>
  <c r="AI21" i="254"/>
  <c r="AH21" i="254"/>
  <c r="AG21" i="254"/>
  <c r="U21" i="254"/>
  <c r="T21" i="254"/>
  <c r="R21" i="254"/>
  <c r="Q21" i="254"/>
  <c r="M21" i="254" s="1"/>
  <c r="AK29" i="254" s="1"/>
  <c r="P21" i="254"/>
  <c r="N21" i="254"/>
  <c r="E21" i="254"/>
  <c r="AF29" i="254" s="1"/>
  <c r="AJ20" i="254"/>
  <c r="AI20" i="254"/>
  <c r="AH20" i="254"/>
  <c r="AG20" i="254"/>
  <c r="U20" i="254"/>
  <c r="T20" i="254"/>
  <c r="R20" i="254"/>
  <c r="Q20" i="254"/>
  <c r="P20" i="254"/>
  <c r="N20" i="254"/>
  <c r="E20" i="254"/>
  <c r="AF19" i="254" s="1"/>
  <c r="AJ19" i="254"/>
  <c r="AI19" i="254"/>
  <c r="AH19" i="254"/>
  <c r="AG19" i="254"/>
  <c r="U19" i="254"/>
  <c r="T19" i="254"/>
  <c r="R19" i="254"/>
  <c r="Q19" i="254"/>
  <c r="P19" i="254"/>
  <c r="N19" i="254"/>
  <c r="E19" i="254"/>
  <c r="AF28" i="254" s="1"/>
  <c r="AJ18" i="254"/>
  <c r="AI18" i="254"/>
  <c r="AH18" i="254"/>
  <c r="AG18" i="254"/>
  <c r="U18" i="254"/>
  <c r="T18" i="254"/>
  <c r="R18" i="254"/>
  <c r="Q18" i="254"/>
  <c r="P18" i="254"/>
  <c r="N18" i="254"/>
  <c r="E18" i="254"/>
  <c r="AF8" i="254" s="1"/>
  <c r="AJ17" i="254"/>
  <c r="AI17" i="254"/>
  <c r="AH17" i="254"/>
  <c r="AG17" i="254"/>
  <c r="U17" i="254"/>
  <c r="T17" i="254"/>
  <c r="R17" i="254"/>
  <c r="Q17" i="254"/>
  <c r="P17" i="254"/>
  <c r="N17" i="254"/>
  <c r="E17" i="254"/>
  <c r="AF27" i="254" s="1"/>
  <c r="AJ16" i="254"/>
  <c r="AI16" i="254"/>
  <c r="AH16" i="254"/>
  <c r="AG16" i="254"/>
  <c r="U16" i="254"/>
  <c r="T16" i="254"/>
  <c r="R16" i="254"/>
  <c r="Q16" i="254"/>
  <c r="P16" i="254"/>
  <c r="N16" i="254"/>
  <c r="E16" i="254"/>
  <c r="AF26" i="254" s="1"/>
  <c r="AJ15" i="254"/>
  <c r="AI15" i="254"/>
  <c r="AH15" i="254"/>
  <c r="AG15" i="254"/>
  <c r="U15" i="254"/>
  <c r="T15" i="254"/>
  <c r="R15" i="254"/>
  <c r="Q15" i="254"/>
  <c r="P15" i="254"/>
  <c r="N15" i="254"/>
  <c r="E15" i="254"/>
  <c r="AF18" i="254" s="1"/>
  <c r="AJ14" i="254"/>
  <c r="AI14" i="254"/>
  <c r="AH14" i="254"/>
  <c r="AG14" i="254"/>
  <c r="U14" i="254"/>
  <c r="T14" i="254"/>
  <c r="R14" i="254"/>
  <c r="Q14" i="254"/>
  <c r="P14" i="254"/>
  <c r="N14" i="254"/>
  <c r="E14" i="254"/>
  <c r="AF17" i="254" s="1"/>
  <c r="AJ13" i="254"/>
  <c r="AI13" i="254"/>
  <c r="AH13" i="254"/>
  <c r="AG13" i="254"/>
  <c r="U13" i="254"/>
  <c r="T13" i="254"/>
  <c r="R13" i="254"/>
  <c r="Q13" i="254"/>
  <c r="P13" i="254"/>
  <c r="N13" i="254"/>
  <c r="E13" i="254"/>
  <c r="AF16" i="254" s="1"/>
  <c r="AJ12" i="254"/>
  <c r="AI12" i="254"/>
  <c r="AH12" i="254"/>
  <c r="AG12" i="254"/>
  <c r="U12" i="254"/>
  <c r="T12" i="254"/>
  <c r="R12" i="254"/>
  <c r="Q12" i="254"/>
  <c r="P12" i="254"/>
  <c r="N12" i="254"/>
  <c r="E12" i="254"/>
  <c r="AF7" i="254" s="1"/>
  <c r="AJ11" i="254"/>
  <c r="AI11" i="254"/>
  <c r="AH11" i="254"/>
  <c r="AG11" i="254"/>
  <c r="U11" i="254"/>
  <c r="T11" i="254"/>
  <c r="R11" i="254"/>
  <c r="Q11" i="254"/>
  <c r="P11" i="254"/>
  <c r="N11" i="254"/>
  <c r="E11" i="254"/>
  <c r="AF25" i="254" s="1"/>
  <c r="AJ10" i="254"/>
  <c r="AI10" i="254"/>
  <c r="AH10" i="254"/>
  <c r="AG10" i="254"/>
  <c r="AF10" i="254"/>
  <c r="U10" i="254"/>
  <c r="T10" i="254"/>
  <c r="R10" i="254"/>
  <c r="Q10" i="254"/>
  <c r="P10" i="254"/>
  <c r="N10" i="254"/>
  <c r="E10" i="254"/>
  <c r="AJ9" i="254"/>
  <c r="AI9" i="254"/>
  <c r="AH9" i="254"/>
  <c r="AG9" i="254"/>
  <c r="U9" i="254"/>
  <c r="T9" i="254"/>
  <c r="R9" i="254"/>
  <c r="Q9" i="254"/>
  <c r="P9" i="254"/>
  <c r="N9" i="254"/>
  <c r="E9" i="254"/>
  <c r="AF15" i="254" s="1"/>
  <c r="AJ8" i="254"/>
  <c r="AI8" i="254"/>
  <c r="AH8" i="254"/>
  <c r="AG8" i="254"/>
  <c r="U8" i="254"/>
  <c r="T8" i="254"/>
  <c r="R8" i="254"/>
  <c r="Q8" i="254"/>
  <c r="P8" i="254"/>
  <c r="N8" i="254"/>
  <c r="E8" i="254"/>
  <c r="AF24" i="254" s="1"/>
  <c r="AJ7" i="254"/>
  <c r="AI7" i="254"/>
  <c r="AH7" i="254"/>
  <c r="AG7" i="254"/>
  <c r="U7" i="254"/>
  <c r="T7" i="254"/>
  <c r="R7" i="254"/>
  <c r="Q7" i="254"/>
  <c r="M7" i="254" s="1"/>
  <c r="AK23" i="254" s="1"/>
  <c r="P7" i="254"/>
  <c r="N7" i="254"/>
  <c r="E7" i="254"/>
  <c r="AF23" i="254" s="1"/>
  <c r="AJ6" i="254"/>
  <c r="AI6" i="254"/>
  <c r="AH6" i="254"/>
  <c r="AG6" i="254"/>
  <c r="U6" i="254"/>
  <c r="T6" i="254"/>
  <c r="R6" i="254"/>
  <c r="Q6" i="254"/>
  <c r="M6" i="254" s="1"/>
  <c r="AK14" i="254" s="1"/>
  <c r="P6" i="254"/>
  <c r="N6" i="254"/>
  <c r="E6" i="254"/>
  <c r="AF14" i="254" s="1"/>
  <c r="T46" i="253"/>
  <c r="R46" i="253"/>
  <c r="Q46" i="253"/>
  <c r="P46" i="253"/>
  <c r="N46" i="253"/>
  <c r="T45" i="253"/>
  <c r="R45" i="253"/>
  <c r="Q45" i="253"/>
  <c r="P45" i="253"/>
  <c r="N45" i="253"/>
  <c r="T44" i="253"/>
  <c r="R44" i="253"/>
  <c r="Q44" i="253"/>
  <c r="M44" i="253" s="1"/>
  <c r="P44" i="253"/>
  <c r="N44" i="253"/>
  <c r="AJ31" i="253"/>
  <c r="AI31" i="253"/>
  <c r="AH31" i="253"/>
  <c r="AG31" i="253"/>
  <c r="U31" i="253"/>
  <c r="T31" i="253"/>
  <c r="R31" i="253"/>
  <c r="Q31" i="253"/>
  <c r="M31" i="253" s="1"/>
  <c r="AK22" i="253" s="1"/>
  <c r="P31" i="253"/>
  <c r="N31" i="253"/>
  <c r="E31" i="253"/>
  <c r="AF22" i="253" s="1"/>
  <c r="AJ30" i="253"/>
  <c r="AI30" i="253"/>
  <c r="AH30" i="253"/>
  <c r="AG30" i="253"/>
  <c r="U30" i="253"/>
  <c r="T30" i="253"/>
  <c r="R30" i="253"/>
  <c r="Q30" i="253"/>
  <c r="M30" i="253" s="1"/>
  <c r="AK13" i="253" s="1"/>
  <c r="P30" i="253"/>
  <c r="N30" i="253"/>
  <c r="E30" i="253"/>
  <c r="AJ29" i="253"/>
  <c r="AI29" i="253"/>
  <c r="AH29" i="253"/>
  <c r="AG29" i="253"/>
  <c r="U29" i="253"/>
  <c r="T29" i="253"/>
  <c r="R29" i="253"/>
  <c r="Q29" i="253"/>
  <c r="P29" i="253"/>
  <c r="N29" i="253"/>
  <c r="E29" i="253"/>
  <c r="AF21" i="253" s="1"/>
  <c r="AJ28" i="253"/>
  <c r="AI28" i="253"/>
  <c r="AH28" i="253"/>
  <c r="AG28" i="253"/>
  <c r="U28" i="253"/>
  <c r="T28" i="253"/>
  <c r="R28" i="253"/>
  <c r="Q28" i="253"/>
  <c r="P28" i="253"/>
  <c r="N28" i="253"/>
  <c r="E28" i="253"/>
  <c r="AF31" i="253" s="1"/>
  <c r="AJ27" i="253"/>
  <c r="AI27" i="253"/>
  <c r="AH27" i="253"/>
  <c r="AG27" i="253"/>
  <c r="U27" i="253"/>
  <c r="T27" i="253"/>
  <c r="R27" i="253"/>
  <c r="Q27" i="253"/>
  <c r="M27" i="253" s="1"/>
  <c r="AK12" i="253" s="1"/>
  <c r="P27" i="253"/>
  <c r="N27" i="253"/>
  <c r="E27" i="253"/>
  <c r="AF12" i="253" s="1"/>
  <c r="AJ26" i="253"/>
  <c r="AI26" i="253"/>
  <c r="AH26" i="253"/>
  <c r="AG26" i="253"/>
  <c r="U26" i="253"/>
  <c r="T26" i="253"/>
  <c r="R26" i="253"/>
  <c r="Q26" i="253"/>
  <c r="M26" i="253" s="1"/>
  <c r="AK30" i="253" s="1"/>
  <c r="P26" i="253"/>
  <c r="N26" i="253"/>
  <c r="E26" i="253"/>
  <c r="AF30" i="253" s="1"/>
  <c r="AJ25" i="253"/>
  <c r="AI25" i="253"/>
  <c r="AH25" i="253"/>
  <c r="AG25" i="253"/>
  <c r="U25" i="253"/>
  <c r="T25" i="253"/>
  <c r="R25" i="253"/>
  <c r="Q25" i="253"/>
  <c r="M25" i="253" s="1"/>
  <c r="AK20" i="253" s="1"/>
  <c r="P25" i="253"/>
  <c r="N25" i="253"/>
  <c r="E25" i="253"/>
  <c r="AF20" i="253" s="1"/>
  <c r="AJ24" i="253"/>
  <c r="AI24" i="253"/>
  <c r="AH24" i="253"/>
  <c r="AG24" i="253"/>
  <c r="U24" i="253"/>
  <c r="T24" i="253"/>
  <c r="R24" i="253"/>
  <c r="Q24" i="253"/>
  <c r="M24" i="253" s="1"/>
  <c r="AK11" i="253" s="1"/>
  <c r="P24" i="253"/>
  <c r="N24" i="253"/>
  <c r="E24" i="253"/>
  <c r="AJ23" i="253"/>
  <c r="AI23" i="253"/>
  <c r="AH23" i="253"/>
  <c r="AG23" i="253"/>
  <c r="U23" i="253"/>
  <c r="T23" i="253"/>
  <c r="R23" i="253"/>
  <c r="Q23" i="253"/>
  <c r="M23" i="253" s="1"/>
  <c r="AK10" i="253" s="1"/>
  <c r="P23" i="253"/>
  <c r="N23" i="253"/>
  <c r="E23" i="253"/>
  <c r="AJ22" i="253"/>
  <c r="AI22" i="253"/>
  <c r="AH22" i="253"/>
  <c r="AG22" i="253"/>
  <c r="U22" i="253"/>
  <c r="T22" i="253"/>
  <c r="R22" i="253"/>
  <c r="Q22" i="253"/>
  <c r="P22" i="253"/>
  <c r="N22" i="253"/>
  <c r="E22" i="253"/>
  <c r="AF9" i="253" s="1"/>
  <c r="AJ21" i="253"/>
  <c r="AI21" i="253"/>
  <c r="AH21" i="253"/>
  <c r="AG21" i="253"/>
  <c r="U21" i="253"/>
  <c r="T21" i="253"/>
  <c r="R21" i="253"/>
  <c r="Q21" i="253"/>
  <c r="P21" i="253"/>
  <c r="N21" i="253"/>
  <c r="E21" i="253"/>
  <c r="AF29" i="253" s="1"/>
  <c r="AJ20" i="253"/>
  <c r="AI20" i="253"/>
  <c r="AH20" i="253"/>
  <c r="AG20" i="253"/>
  <c r="U20" i="253"/>
  <c r="T20" i="253"/>
  <c r="R20" i="253"/>
  <c r="Q20" i="253"/>
  <c r="P20" i="253"/>
  <c r="N20" i="253"/>
  <c r="E20" i="253"/>
  <c r="AF19" i="253" s="1"/>
  <c r="AJ19" i="253"/>
  <c r="AI19" i="253"/>
  <c r="AH19" i="253"/>
  <c r="AG19" i="253"/>
  <c r="U19" i="253"/>
  <c r="T19" i="253"/>
  <c r="R19" i="253"/>
  <c r="Q19" i="253"/>
  <c r="M19" i="253" s="1"/>
  <c r="AK28" i="253" s="1"/>
  <c r="P19" i="253"/>
  <c r="N19" i="253"/>
  <c r="E19" i="253"/>
  <c r="AF28" i="253" s="1"/>
  <c r="AJ18" i="253"/>
  <c r="AI18" i="253"/>
  <c r="AH18" i="253"/>
  <c r="AG18" i="253"/>
  <c r="U18" i="253"/>
  <c r="T18" i="253"/>
  <c r="R18" i="253"/>
  <c r="Q18" i="253"/>
  <c r="P18" i="253"/>
  <c r="N18" i="253"/>
  <c r="E18" i="253"/>
  <c r="AF8" i="253" s="1"/>
  <c r="AJ17" i="253"/>
  <c r="AI17" i="253"/>
  <c r="AH17" i="253"/>
  <c r="AG17" i="253"/>
  <c r="U17" i="253"/>
  <c r="T17" i="253"/>
  <c r="R17" i="253"/>
  <c r="Q17" i="253"/>
  <c r="P17" i="253"/>
  <c r="N17" i="253"/>
  <c r="E17" i="253"/>
  <c r="AF27" i="253" s="1"/>
  <c r="AJ16" i="253"/>
  <c r="AI16" i="253"/>
  <c r="AH16" i="253"/>
  <c r="AG16" i="253"/>
  <c r="U16" i="253"/>
  <c r="T16" i="253"/>
  <c r="R16" i="253"/>
  <c r="Q16" i="253"/>
  <c r="P16" i="253"/>
  <c r="N16" i="253"/>
  <c r="E16" i="253"/>
  <c r="AF26" i="253" s="1"/>
  <c r="AJ15" i="253"/>
  <c r="AI15" i="253"/>
  <c r="AH15" i="253"/>
  <c r="AG15" i="253"/>
  <c r="U15" i="253"/>
  <c r="T15" i="253"/>
  <c r="R15" i="253"/>
  <c r="Q15" i="253"/>
  <c r="M15" i="253" s="1"/>
  <c r="AK18" i="253" s="1"/>
  <c r="P15" i="253"/>
  <c r="N15" i="253"/>
  <c r="E15" i="253"/>
  <c r="AF18" i="253" s="1"/>
  <c r="AJ14" i="253"/>
  <c r="AI14" i="253"/>
  <c r="AH14" i="253"/>
  <c r="AG14" i="253"/>
  <c r="U14" i="253"/>
  <c r="T14" i="253"/>
  <c r="R14" i="253"/>
  <c r="Q14" i="253"/>
  <c r="P14" i="253"/>
  <c r="N14" i="253"/>
  <c r="E14" i="253"/>
  <c r="AF17" i="253" s="1"/>
  <c r="AJ13" i="253"/>
  <c r="AI13" i="253"/>
  <c r="AH13" i="253"/>
  <c r="AG13" i="253"/>
  <c r="AF13" i="253"/>
  <c r="U13" i="253"/>
  <c r="T13" i="253"/>
  <c r="R13" i="253"/>
  <c r="Q13" i="253"/>
  <c r="P13" i="253"/>
  <c r="N13" i="253"/>
  <c r="E13" i="253"/>
  <c r="AF16" i="253" s="1"/>
  <c r="AJ12" i="253"/>
  <c r="AI12" i="253"/>
  <c r="AH12" i="253"/>
  <c r="AG12" i="253"/>
  <c r="U12" i="253"/>
  <c r="T12" i="253"/>
  <c r="R12" i="253"/>
  <c r="Q12" i="253"/>
  <c r="P12" i="253"/>
  <c r="N12" i="253"/>
  <c r="E12" i="253"/>
  <c r="AF7" i="253" s="1"/>
  <c r="AJ11" i="253"/>
  <c r="AI11" i="253"/>
  <c r="AH11" i="253"/>
  <c r="AG11" i="253"/>
  <c r="AF11" i="253"/>
  <c r="U11" i="253"/>
  <c r="T11" i="253"/>
  <c r="R11" i="253"/>
  <c r="Q11" i="253"/>
  <c r="M11" i="253" s="1"/>
  <c r="AK25" i="253" s="1"/>
  <c r="P11" i="253"/>
  <c r="N11" i="253"/>
  <c r="E11" i="253"/>
  <c r="AF25" i="253" s="1"/>
  <c r="AJ10" i="253"/>
  <c r="AI10" i="253"/>
  <c r="AH10" i="253"/>
  <c r="AG10" i="253"/>
  <c r="AF10" i="253"/>
  <c r="U10" i="253"/>
  <c r="T10" i="253"/>
  <c r="R10" i="253"/>
  <c r="Q10" i="253"/>
  <c r="P10" i="253"/>
  <c r="N10" i="253"/>
  <c r="E10" i="253"/>
  <c r="AJ9" i="253"/>
  <c r="AI9" i="253"/>
  <c r="AH9" i="253"/>
  <c r="AG9" i="253"/>
  <c r="U9" i="253"/>
  <c r="T9" i="253"/>
  <c r="R9" i="253"/>
  <c r="Q9" i="253"/>
  <c r="P9" i="253"/>
  <c r="N9" i="253"/>
  <c r="E9" i="253"/>
  <c r="AF15" i="253" s="1"/>
  <c r="AJ8" i="253"/>
  <c r="AI8" i="253"/>
  <c r="AH8" i="253"/>
  <c r="AG8" i="253"/>
  <c r="U8" i="253"/>
  <c r="T8" i="253"/>
  <c r="R8" i="253"/>
  <c r="Q8" i="253"/>
  <c r="M8" i="253" s="1"/>
  <c r="AK24" i="253" s="1"/>
  <c r="P8" i="253"/>
  <c r="N8" i="253"/>
  <c r="E8" i="253"/>
  <c r="AF24" i="253" s="1"/>
  <c r="AJ7" i="253"/>
  <c r="AI7" i="253"/>
  <c r="AH7" i="253"/>
  <c r="AG7" i="253"/>
  <c r="U7" i="253"/>
  <c r="T7" i="253"/>
  <c r="R7" i="253"/>
  <c r="Q7" i="253"/>
  <c r="M7" i="253" s="1"/>
  <c r="AK23" i="253" s="1"/>
  <c r="P7" i="253"/>
  <c r="N7" i="253"/>
  <c r="E7" i="253"/>
  <c r="AF23" i="253" s="1"/>
  <c r="AJ6" i="253"/>
  <c r="AI6" i="253"/>
  <c r="AH6" i="253"/>
  <c r="AG6" i="253"/>
  <c r="AF6" i="253"/>
  <c r="U6" i="253"/>
  <c r="T6" i="253"/>
  <c r="R6" i="253"/>
  <c r="Q6" i="253"/>
  <c r="P6" i="253"/>
  <c r="N6" i="253"/>
  <c r="E6" i="253"/>
  <c r="T46" i="252"/>
  <c r="R46" i="252"/>
  <c r="Q46" i="252"/>
  <c r="P46" i="252"/>
  <c r="N46" i="252"/>
  <c r="M46" i="252"/>
  <c r="T45" i="252"/>
  <c r="R45" i="252"/>
  <c r="Q45" i="252"/>
  <c r="M45" i="252" s="1"/>
  <c r="P45" i="252"/>
  <c r="N45" i="252"/>
  <c r="T44" i="252"/>
  <c r="R44" i="252"/>
  <c r="Q44" i="252"/>
  <c r="P44" i="252"/>
  <c r="N44" i="252"/>
  <c r="AJ31" i="252"/>
  <c r="AI31" i="252"/>
  <c r="AH31" i="252"/>
  <c r="AG31" i="252"/>
  <c r="U31" i="252"/>
  <c r="T31" i="252"/>
  <c r="R31" i="252"/>
  <c r="M31" i="252" s="1"/>
  <c r="AK22" i="252" s="1"/>
  <c r="Q31" i="252"/>
  <c r="P31" i="252"/>
  <c r="N31" i="252"/>
  <c r="E31" i="252"/>
  <c r="AF22" i="252" s="1"/>
  <c r="AJ30" i="252"/>
  <c r="AI30" i="252"/>
  <c r="AH30" i="252"/>
  <c r="AG30" i="252"/>
  <c r="U30" i="252"/>
  <c r="T30" i="252"/>
  <c r="R30" i="252"/>
  <c r="Q30" i="252"/>
  <c r="P30" i="252"/>
  <c r="N30" i="252"/>
  <c r="E30" i="252"/>
  <c r="AF13" i="252" s="1"/>
  <c r="AJ29" i="252"/>
  <c r="AI29" i="252"/>
  <c r="AH29" i="252"/>
  <c r="AG29" i="252"/>
  <c r="U29" i="252"/>
  <c r="T29" i="252"/>
  <c r="R29" i="252"/>
  <c r="Q29" i="252"/>
  <c r="P29" i="252"/>
  <c r="N29" i="252"/>
  <c r="E29" i="252"/>
  <c r="AF21" i="252" s="1"/>
  <c r="AJ28" i="252"/>
  <c r="AI28" i="252"/>
  <c r="AH28" i="252"/>
  <c r="AG28" i="252"/>
  <c r="U28" i="252"/>
  <c r="T28" i="252"/>
  <c r="R28" i="252"/>
  <c r="Q28" i="252"/>
  <c r="P28" i="252"/>
  <c r="N28" i="252"/>
  <c r="M28" i="252"/>
  <c r="AK31" i="252" s="1"/>
  <c r="E28" i="252"/>
  <c r="AF31" i="252" s="1"/>
  <c r="AJ27" i="252"/>
  <c r="AI27" i="252"/>
  <c r="AH27" i="252"/>
  <c r="AG27" i="252"/>
  <c r="U27" i="252"/>
  <c r="T27" i="252"/>
  <c r="R27" i="252"/>
  <c r="Q27" i="252"/>
  <c r="P27" i="252"/>
  <c r="N27" i="252"/>
  <c r="E27" i="252"/>
  <c r="AF12" i="252" s="1"/>
  <c r="AJ26" i="252"/>
  <c r="AI26" i="252"/>
  <c r="AH26" i="252"/>
  <c r="AG26" i="252"/>
  <c r="U26" i="252"/>
  <c r="T26" i="252"/>
  <c r="R26" i="252"/>
  <c r="Q26" i="252"/>
  <c r="P26" i="252"/>
  <c r="N26" i="252"/>
  <c r="M26" i="252"/>
  <c r="AK30" i="252" s="1"/>
  <c r="E26" i="252"/>
  <c r="AF30" i="252" s="1"/>
  <c r="AJ25" i="252"/>
  <c r="AI25" i="252"/>
  <c r="AH25" i="252"/>
  <c r="AG25" i="252"/>
  <c r="U25" i="252"/>
  <c r="T25" i="252"/>
  <c r="R25" i="252"/>
  <c r="Q25" i="252"/>
  <c r="P25" i="252"/>
  <c r="N25" i="252"/>
  <c r="E25" i="252"/>
  <c r="AJ24" i="252"/>
  <c r="AI24" i="252"/>
  <c r="AH24" i="252"/>
  <c r="AG24" i="252"/>
  <c r="U24" i="252"/>
  <c r="T24" i="252"/>
  <c r="R24" i="252"/>
  <c r="Q24" i="252"/>
  <c r="P24" i="252"/>
  <c r="N24" i="252"/>
  <c r="E24" i="252"/>
  <c r="AJ23" i="252"/>
  <c r="AI23" i="252"/>
  <c r="AH23" i="252"/>
  <c r="AG23" i="252"/>
  <c r="U23" i="252"/>
  <c r="T23" i="252"/>
  <c r="R23" i="252"/>
  <c r="M23" i="252" s="1"/>
  <c r="AK10" i="252" s="1"/>
  <c r="Q23" i="252"/>
  <c r="P23" i="252"/>
  <c r="N23" i="252"/>
  <c r="E23" i="252"/>
  <c r="AF10" i="252" s="1"/>
  <c r="AJ22" i="252"/>
  <c r="AI22" i="252"/>
  <c r="AH22" i="252"/>
  <c r="AG22" i="252"/>
  <c r="U22" i="252"/>
  <c r="T22" i="252"/>
  <c r="R22" i="252"/>
  <c r="Q22" i="252"/>
  <c r="P22" i="252"/>
  <c r="N22" i="252"/>
  <c r="E22" i="252"/>
  <c r="AJ21" i="252"/>
  <c r="AI21" i="252"/>
  <c r="AH21" i="252"/>
  <c r="AG21" i="252"/>
  <c r="U21" i="252"/>
  <c r="T21" i="252"/>
  <c r="R21" i="252"/>
  <c r="Q21" i="252"/>
  <c r="P21" i="252"/>
  <c r="N21" i="252"/>
  <c r="E21" i="252"/>
  <c r="AF29" i="252" s="1"/>
  <c r="AJ20" i="252"/>
  <c r="AI20" i="252"/>
  <c r="AH20" i="252"/>
  <c r="AG20" i="252"/>
  <c r="AF20" i="252"/>
  <c r="U20" i="252"/>
  <c r="T20" i="252"/>
  <c r="R20" i="252"/>
  <c r="Q20" i="252"/>
  <c r="P20" i="252"/>
  <c r="N20" i="252"/>
  <c r="E20" i="252"/>
  <c r="AF19" i="252" s="1"/>
  <c r="AJ19" i="252"/>
  <c r="AI19" i="252"/>
  <c r="AH19" i="252"/>
  <c r="AG19" i="252"/>
  <c r="U19" i="252"/>
  <c r="T19" i="252"/>
  <c r="R19" i="252"/>
  <c r="Q19" i="252"/>
  <c r="P19" i="252"/>
  <c r="N19" i="252"/>
  <c r="E19" i="252"/>
  <c r="AF28" i="252" s="1"/>
  <c r="AJ18" i="252"/>
  <c r="AI18" i="252"/>
  <c r="AH18" i="252"/>
  <c r="AG18" i="252"/>
  <c r="U18" i="252"/>
  <c r="T18" i="252"/>
  <c r="R18" i="252"/>
  <c r="M18" i="252" s="1"/>
  <c r="AK8" i="252" s="1"/>
  <c r="Q18" i="252"/>
  <c r="P18" i="252"/>
  <c r="N18" i="252"/>
  <c r="E18" i="252"/>
  <c r="AF8" i="252" s="1"/>
  <c r="AJ17" i="252"/>
  <c r="AI17" i="252"/>
  <c r="AH17" i="252"/>
  <c r="AG17" i="252"/>
  <c r="U17" i="252"/>
  <c r="T17" i="252"/>
  <c r="R17" i="252"/>
  <c r="Q17" i="252"/>
  <c r="P17" i="252"/>
  <c r="N17" i="252"/>
  <c r="E17" i="252"/>
  <c r="AF27" i="252" s="1"/>
  <c r="AJ16" i="252"/>
  <c r="AI16" i="252"/>
  <c r="AH16" i="252"/>
  <c r="AG16" i="252"/>
  <c r="U16" i="252"/>
  <c r="T16" i="252"/>
  <c r="R16" i="252"/>
  <c r="Q16" i="252"/>
  <c r="P16" i="252"/>
  <c r="N16" i="252"/>
  <c r="E16" i="252"/>
  <c r="AF26" i="252" s="1"/>
  <c r="AJ15" i="252"/>
  <c r="AI15" i="252"/>
  <c r="AH15" i="252"/>
  <c r="AG15" i="252"/>
  <c r="U15" i="252"/>
  <c r="T15" i="252"/>
  <c r="R15" i="252"/>
  <c r="Q15" i="252"/>
  <c r="P15" i="252"/>
  <c r="N15" i="252"/>
  <c r="E15" i="252"/>
  <c r="AF18" i="252" s="1"/>
  <c r="AJ14" i="252"/>
  <c r="AI14" i="252"/>
  <c r="AH14" i="252"/>
  <c r="AG14" i="252"/>
  <c r="U14" i="252"/>
  <c r="T14" i="252"/>
  <c r="R14" i="252"/>
  <c r="Q14" i="252"/>
  <c r="P14" i="252"/>
  <c r="N14" i="252"/>
  <c r="E14" i="252"/>
  <c r="AF17" i="252" s="1"/>
  <c r="AJ13" i="252"/>
  <c r="AI13" i="252"/>
  <c r="AH13" i="252"/>
  <c r="AG13" i="252"/>
  <c r="U13" i="252"/>
  <c r="T13" i="252"/>
  <c r="R13" i="252"/>
  <c r="Q13" i="252"/>
  <c r="P13" i="252"/>
  <c r="N13" i="252"/>
  <c r="E13" i="252"/>
  <c r="AF16" i="252" s="1"/>
  <c r="AJ12" i="252"/>
  <c r="AI12" i="252"/>
  <c r="AH12" i="252"/>
  <c r="AG12" i="252"/>
  <c r="U12" i="252"/>
  <c r="T12" i="252"/>
  <c r="R12" i="252"/>
  <c r="Q12" i="252"/>
  <c r="P12" i="252"/>
  <c r="N12" i="252"/>
  <c r="E12" i="252"/>
  <c r="AJ11" i="252"/>
  <c r="AI11" i="252"/>
  <c r="AH11" i="252"/>
  <c r="AG11" i="252"/>
  <c r="AF11" i="252"/>
  <c r="U11" i="252"/>
  <c r="T11" i="252"/>
  <c r="R11" i="252"/>
  <c r="Q11" i="252"/>
  <c r="P11" i="252"/>
  <c r="N11" i="252"/>
  <c r="E11" i="252"/>
  <c r="AF25" i="252" s="1"/>
  <c r="AJ10" i="252"/>
  <c r="AI10" i="252"/>
  <c r="AH10" i="252"/>
  <c r="AG10" i="252"/>
  <c r="U10" i="252"/>
  <c r="T10" i="252"/>
  <c r="R10" i="252"/>
  <c r="Q10" i="252"/>
  <c r="M10" i="252" s="1"/>
  <c r="AK6" i="252" s="1"/>
  <c r="P10" i="252"/>
  <c r="N10" i="252"/>
  <c r="E10" i="252"/>
  <c r="AF6" i="252" s="1"/>
  <c r="AJ9" i="252"/>
  <c r="AI9" i="252"/>
  <c r="AH9" i="252"/>
  <c r="AG9" i="252"/>
  <c r="AF9" i="252"/>
  <c r="U9" i="252"/>
  <c r="T9" i="252"/>
  <c r="R9" i="252"/>
  <c r="Q9" i="252"/>
  <c r="P9" i="252"/>
  <c r="N9" i="252"/>
  <c r="E9" i="252"/>
  <c r="AF15" i="252" s="1"/>
  <c r="AJ8" i="252"/>
  <c r="AI8" i="252"/>
  <c r="AH8" i="252"/>
  <c r="AG8" i="252"/>
  <c r="U8" i="252"/>
  <c r="T8" i="252"/>
  <c r="R8" i="252"/>
  <c r="Q8" i="252"/>
  <c r="P8" i="252"/>
  <c r="N8" i="252"/>
  <c r="E8" i="252"/>
  <c r="AF24" i="252" s="1"/>
  <c r="AJ7" i="252"/>
  <c r="AI7" i="252"/>
  <c r="AH7" i="252"/>
  <c r="AG7" i="252"/>
  <c r="AF7" i="252"/>
  <c r="U7" i="252"/>
  <c r="T7" i="252"/>
  <c r="R7" i="252"/>
  <c r="Q7" i="252"/>
  <c r="P7" i="252"/>
  <c r="N7" i="252"/>
  <c r="E7" i="252"/>
  <c r="AJ6" i="252"/>
  <c r="AI6" i="252"/>
  <c r="AH6" i="252"/>
  <c r="AG6" i="252"/>
  <c r="U6" i="252"/>
  <c r="T6" i="252"/>
  <c r="R6" i="252"/>
  <c r="Q6" i="252"/>
  <c r="M6" i="252" s="1"/>
  <c r="AK14" i="252" s="1"/>
  <c r="P6" i="252"/>
  <c r="N6" i="252"/>
  <c r="E6" i="252"/>
  <c r="E54" i="81"/>
  <c r="E55" i="81"/>
  <c r="E56" i="81"/>
  <c r="E57" i="81"/>
  <c r="E58" i="81"/>
  <c r="E59" i="81"/>
  <c r="E60" i="81"/>
  <c r="E61" i="81"/>
  <c r="E62" i="81"/>
  <c r="E63" i="81"/>
  <c r="E64" i="81"/>
  <c r="E65" i="81"/>
  <c r="E67" i="81"/>
  <c r="E68" i="81"/>
  <c r="E69" i="81"/>
  <c r="E70" i="81"/>
  <c r="E71" i="81"/>
  <c r="E72" i="81"/>
  <c r="E73" i="81"/>
  <c r="E74" i="81"/>
  <c r="E75" i="81"/>
  <c r="E76" i="81"/>
  <c r="E77" i="81"/>
  <c r="E78" i="81"/>
  <c r="E79" i="81"/>
  <c r="E16" i="81"/>
  <c r="E17" i="81"/>
  <c r="E18" i="81"/>
  <c r="E19" i="81"/>
  <c r="E20" i="81"/>
  <c r="E21" i="81"/>
  <c r="E22" i="81"/>
  <c r="E23" i="81"/>
  <c r="E24" i="81"/>
  <c r="E25" i="81"/>
  <c r="E26" i="81"/>
  <c r="E27" i="81"/>
  <c r="E28" i="81"/>
  <c r="E29" i="81"/>
  <c r="E30" i="81"/>
  <c r="E31" i="81"/>
  <c r="E32" i="81"/>
  <c r="E34" i="81"/>
  <c r="E35" i="81"/>
  <c r="E36" i="81"/>
  <c r="E37" i="81"/>
  <c r="E38" i="81"/>
  <c r="E39" i="81"/>
  <c r="E40" i="81"/>
  <c r="E41" i="81"/>
  <c r="E42" i="81"/>
  <c r="E43" i="81"/>
  <c r="E44" i="81"/>
  <c r="E45" i="81"/>
  <c r="E47" i="81"/>
  <c r="E48" i="81"/>
  <c r="E49" i="81"/>
  <c r="E50" i="81"/>
  <c r="E51" i="81"/>
  <c r="E52" i="81"/>
  <c r="E53" i="81"/>
  <c r="E15" i="81"/>
  <c r="T46" i="251"/>
  <c r="R46" i="251"/>
  <c r="Q46" i="251"/>
  <c r="M46" i="251" s="1"/>
  <c r="P46" i="251"/>
  <c r="N46" i="251"/>
  <c r="T45" i="251"/>
  <c r="R45" i="251"/>
  <c r="Q45" i="251"/>
  <c r="P45" i="251"/>
  <c r="N45" i="251"/>
  <c r="T44" i="251"/>
  <c r="R44" i="251"/>
  <c r="Q44" i="251"/>
  <c r="P44" i="251"/>
  <c r="N44" i="251"/>
  <c r="AJ31" i="251"/>
  <c r="AI31" i="251"/>
  <c r="AH31" i="251"/>
  <c r="AG31" i="251"/>
  <c r="U31" i="251"/>
  <c r="T31" i="251"/>
  <c r="R31" i="251"/>
  <c r="Q31" i="251"/>
  <c r="M31" i="251" s="1"/>
  <c r="AK22" i="251" s="1"/>
  <c r="P31" i="251"/>
  <c r="N31" i="251"/>
  <c r="E31" i="251"/>
  <c r="AF22" i="251" s="1"/>
  <c r="AJ30" i="251"/>
  <c r="AI30" i="251"/>
  <c r="AH30" i="251"/>
  <c r="AG30" i="251"/>
  <c r="U30" i="251"/>
  <c r="T30" i="251"/>
  <c r="R30" i="251"/>
  <c r="Q30" i="251"/>
  <c r="P30" i="251"/>
  <c r="N30" i="251"/>
  <c r="E30" i="251"/>
  <c r="AF13" i="251" s="1"/>
  <c r="AJ29" i="251"/>
  <c r="AI29" i="251"/>
  <c r="AH29" i="251"/>
  <c r="AG29" i="251"/>
  <c r="U29" i="251"/>
  <c r="T29" i="251"/>
  <c r="R29" i="251"/>
  <c r="Q29" i="251"/>
  <c r="M29" i="251" s="1"/>
  <c r="AK21" i="251" s="1"/>
  <c r="P29" i="251"/>
  <c r="N29" i="251"/>
  <c r="E29" i="251"/>
  <c r="AF21" i="251" s="1"/>
  <c r="AJ28" i="251"/>
  <c r="AI28" i="251"/>
  <c r="AH28" i="251"/>
  <c r="AG28" i="251"/>
  <c r="U28" i="251"/>
  <c r="T28" i="251"/>
  <c r="R28" i="251"/>
  <c r="Q28" i="251"/>
  <c r="M28" i="251" s="1"/>
  <c r="AK31" i="251" s="1"/>
  <c r="P28" i="251"/>
  <c r="N28" i="251"/>
  <c r="E28" i="251"/>
  <c r="AF31" i="251" s="1"/>
  <c r="AJ27" i="251"/>
  <c r="AI27" i="251"/>
  <c r="AH27" i="251"/>
  <c r="AG27" i="251"/>
  <c r="U27" i="251"/>
  <c r="T27" i="251"/>
  <c r="R27" i="251"/>
  <c r="Q27" i="251"/>
  <c r="P27" i="251"/>
  <c r="N27" i="251"/>
  <c r="E27" i="251"/>
  <c r="AF12" i="251" s="1"/>
  <c r="AJ26" i="251"/>
  <c r="AI26" i="251"/>
  <c r="AH26" i="251"/>
  <c r="AG26" i="251"/>
  <c r="U26" i="251"/>
  <c r="T26" i="251"/>
  <c r="R26" i="251"/>
  <c r="Q26" i="251"/>
  <c r="P26" i="251"/>
  <c r="N26" i="251"/>
  <c r="E26" i="251"/>
  <c r="AF30" i="251" s="1"/>
  <c r="AJ25" i="251"/>
  <c r="AI25" i="251"/>
  <c r="AH25" i="251"/>
  <c r="AG25" i="251"/>
  <c r="U25" i="251"/>
  <c r="T25" i="251"/>
  <c r="R25" i="251"/>
  <c r="Q25" i="251"/>
  <c r="P25" i="251"/>
  <c r="N25" i="251"/>
  <c r="E25" i="251"/>
  <c r="AF20" i="251" s="1"/>
  <c r="AJ24" i="251"/>
  <c r="AI24" i="251"/>
  <c r="AH24" i="251"/>
  <c r="AC25" i="251" s="1"/>
  <c r="AG24" i="251"/>
  <c r="U24" i="251"/>
  <c r="T24" i="251"/>
  <c r="R24" i="251"/>
  <c r="Q24" i="251"/>
  <c r="P24" i="251"/>
  <c r="N24" i="251"/>
  <c r="E24" i="251"/>
  <c r="AF11" i="251" s="1"/>
  <c r="AJ23" i="251"/>
  <c r="AI23" i="251"/>
  <c r="AH23" i="251"/>
  <c r="AG23" i="251"/>
  <c r="U23" i="251"/>
  <c r="T23" i="251"/>
  <c r="R23" i="251"/>
  <c r="Q23" i="251"/>
  <c r="P23" i="251"/>
  <c r="N23" i="251"/>
  <c r="E23" i="251"/>
  <c r="AJ22" i="251"/>
  <c r="AI22" i="251"/>
  <c r="AH22" i="251"/>
  <c r="AG22" i="251"/>
  <c r="U22" i="251"/>
  <c r="T22" i="251"/>
  <c r="R22" i="251"/>
  <c r="Q22" i="251"/>
  <c r="P22" i="251"/>
  <c r="N22" i="251"/>
  <c r="E22" i="251"/>
  <c r="AJ21" i="251"/>
  <c r="AI21" i="251"/>
  <c r="AH21" i="251"/>
  <c r="AG21" i="251"/>
  <c r="U21" i="251"/>
  <c r="T21" i="251"/>
  <c r="R21" i="251"/>
  <c r="M21" i="251" s="1"/>
  <c r="AK29" i="251" s="1"/>
  <c r="Q21" i="251"/>
  <c r="P21" i="251"/>
  <c r="N21" i="251"/>
  <c r="E21" i="251"/>
  <c r="AF29" i="251" s="1"/>
  <c r="AJ20" i="251"/>
  <c r="AI20" i="251"/>
  <c r="AH20" i="251"/>
  <c r="AG20" i="251"/>
  <c r="U20" i="251"/>
  <c r="T20" i="251"/>
  <c r="R20" i="251"/>
  <c r="Q20" i="251"/>
  <c r="P20" i="251"/>
  <c r="N20" i="251"/>
  <c r="E20" i="251"/>
  <c r="AF19" i="251" s="1"/>
  <c r="AJ19" i="251"/>
  <c r="AI19" i="251"/>
  <c r="AH19" i="251"/>
  <c r="AG19" i="251"/>
  <c r="U19" i="251"/>
  <c r="T19" i="251"/>
  <c r="R19" i="251"/>
  <c r="Q19" i="251"/>
  <c r="M19" i="251" s="1"/>
  <c r="AK28" i="251" s="1"/>
  <c r="P19" i="251"/>
  <c r="N19" i="251"/>
  <c r="E19" i="251"/>
  <c r="AF28" i="251" s="1"/>
  <c r="AJ18" i="251"/>
  <c r="AI18" i="251"/>
  <c r="AH18" i="251"/>
  <c r="AG18" i="251"/>
  <c r="U18" i="251"/>
  <c r="T18" i="251"/>
  <c r="R18" i="251"/>
  <c r="Q18" i="251"/>
  <c r="M18" i="251" s="1"/>
  <c r="AK8" i="251" s="1"/>
  <c r="P18" i="251"/>
  <c r="N18" i="251"/>
  <c r="E18" i="251"/>
  <c r="AF8" i="251" s="1"/>
  <c r="AJ17" i="251"/>
  <c r="AI17" i="251"/>
  <c r="AH17" i="251"/>
  <c r="AG17" i="251"/>
  <c r="U17" i="251"/>
  <c r="T17" i="251"/>
  <c r="R17" i="251"/>
  <c r="Q17" i="251"/>
  <c r="M17" i="251" s="1"/>
  <c r="AK27" i="251" s="1"/>
  <c r="P17" i="251"/>
  <c r="N17" i="251"/>
  <c r="E17" i="251"/>
  <c r="AF27" i="251" s="1"/>
  <c r="AJ16" i="251"/>
  <c r="AI16" i="251"/>
  <c r="AH16" i="251"/>
  <c r="AG16" i="251"/>
  <c r="U16" i="251"/>
  <c r="T16" i="251"/>
  <c r="R16" i="251"/>
  <c r="Q16" i="251"/>
  <c r="P16" i="251"/>
  <c r="N16" i="251"/>
  <c r="E16" i="251"/>
  <c r="AF26" i="251" s="1"/>
  <c r="AJ15" i="251"/>
  <c r="AI15" i="251"/>
  <c r="AH15" i="251"/>
  <c r="AG15" i="251"/>
  <c r="U15" i="251"/>
  <c r="T15" i="251"/>
  <c r="R15" i="251"/>
  <c r="Q15" i="251"/>
  <c r="M15" i="251" s="1"/>
  <c r="AK18" i="251" s="1"/>
  <c r="P15" i="251"/>
  <c r="N15" i="251"/>
  <c r="E15" i="251"/>
  <c r="AF18" i="251" s="1"/>
  <c r="AJ14" i="251"/>
  <c r="AI14" i="251"/>
  <c r="AH14" i="251"/>
  <c r="AG14" i="251"/>
  <c r="U14" i="251"/>
  <c r="T14" i="251"/>
  <c r="R14" i="251"/>
  <c r="Q14" i="251"/>
  <c r="P14" i="251"/>
  <c r="N14" i="251"/>
  <c r="E14" i="251"/>
  <c r="AF17" i="251" s="1"/>
  <c r="AJ13" i="251"/>
  <c r="AI13" i="251"/>
  <c r="AH13" i="251"/>
  <c r="AG13" i="251"/>
  <c r="U13" i="251"/>
  <c r="T13" i="251"/>
  <c r="R13" i="251"/>
  <c r="Q13" i="251"/>
  <c r="P13" i="251"/>
  <c r="N13" i="251"/>
  <c r="E13" i="251"/>
  <c r="AF16" i="251" s="1"/>
  <c r="AJ12" i="251"/>
  <c r="AI12" i="251"/>
  <c r="AH12" i="251"/>
  <c r="AG12" i="251"/>
  <c r="U12" i="251"/>
  <c r="T12" i="251"/>
  <c r="R12" i="251"/>
  <c r="Q12" i="251"/>
  <c r="P12" i="251"/>
  <c r="N12" i="251"/>
  <c r="E12" i="251"/>
  <c r="AF7" i="251" s="1"/>
  <c r="AJ11" i="251"/>
  <c r="AI11" i="251"/>
  <c r="AH11" i="251"/>
  <c r="AG11" i="251"/>
  <c r="U11" i="251"/>
  <c r="T11" i="251"/>
  <c r="R11" i="251"/>
  <c r="Q11" i="251"/>
  <c r="M11" i="251" s="1"/>
  <c r="AK25" i="251" s="1"/>
  <c r="P11" i="251"/>
  <c r="N11" i="251"/>
  <c r="E11" i="251"/>
  <c r="AF25" i="251" s="1"/>
  <c r="AJ10" i="251"/>
  <c r="AI10" i="251"/>
  <c r="AH10" i="251"/>
  <c r="AG10" i="251"/>
  <c r="AF10" i="251"/>
  <c r="U10" i="251"/>
  <c r="T10" i="251"/>
  <c r="R10" i="251"/>
  <c r="Q10" i="251"/>
  <c r="M10" i="251" s="1"/>
  <c r="AK6" i="251" s="1"/>
  <c r="P10" i="251"/>
  <c r="N10" i="251"/>
  <c r="E10" i="251"/>
  <c r="AJ9" i="251"/>
  <c r="AI9" i="251"/>
  <c r="AH9" i="251"/>
  <c r="AG9" i="251"/>
  <c r="AF9" i="251"/>
  <c r="U9" i="251"/>
  <c r="T9" i="251"/>
  <c r="R9" i="251"/>
  <c r="Q9" i="251"/>
  <c r="P9" i="251"/>
  <c r="N9" i="251"/>
  <c r="E9" i="251"/>
  <c r="AF15" i="251" s="1"/>
  <c r="AJ8" i="251"/>
  <c r="AI8" i="251"/>
  <c r="AH8" i="251"/>
  <c r="AG8" i="251"/>
  <c r="U8" i="251"/>
  <c r="T8" i="251"/>
  <c r="R8" i="251"/>
  <c r="Q8" i="251"/>
  <c r="P8" i="251"/>
  <c r="N8" i="251"/>
  <c r="E8" i="251"/>
  <c r="AF24" i="251" s="1"/>
  <c r="AJ7" i="251"/>
  <c r="AI7" i="251"/>
  <c r="AH7" i="251"/>
  <c r="AG7" i="251"/>
  <c r="U7" i="251"/>
  <c r="T7" i="251"/>
  <c r="R7" i="251"/>
  <c r="Q7" i="251"/>
  <c r="P7" i="251"/>
  <c r="N7" i="251"/>
  <c r="E7" i="251"/>
  <c r="AF23" i="251" s="1"/>
  <c r="AJ6" i="251"/>
  <c r="AI6" i="251"/>
  <c r="AH6" i="251"/>
  <c r="AG6" i="251"/>
  <c r="U6" i="251"/>
  <c r="T6" i="251"/>
  <c r="R6" i="251"/>
  <c r="Q6" i="251"/>
  <c r="P6" i="251"/>
  <c r="N6" i="251"/>
  <c r="E6" i="251"/>
  <c r="AF14" i="251" s="1"/>
  <c r="T46" i="250"/>
  <c r="R46" i="250"/>
  <c r="Q46" i="250"/>
  <c r="P46" i="250"/>
  <c r="N46" i="250"/>
  <c r="M46" i="250"/>
  <c r="T45" i="250"/>
  <c r="R45" i="250"/>
  <c r="Q45" i="250"/>
  <c r="P45" i="250"/>
  <c r="N45" i="250"/>
  <c r="T44" i="250"/>
  <c r="R44" i="250"/>
  <c r="Q44" i="250"/>
  <c r="P44" i="250"/>
  <c r="N44" i="250"/>
  <c r="AJ31" i="250"/>
  <c r="AI31" i="250"/>
  <c r="AH31" i="250"/>
  <c r="AG31" i="250"/>
  <c r="U31" i="250"/>
  <c r="T31" i="250"/>
  <c r="R31" i="250"/>
  <c r="Q31" i="250"/>
  <c r="P31" i="250"/>
  <c r="N31" i="250"/>
  <c r="E31" i="250"/>
  <c r="AF22" i="250" s="1"/>
  <c r="AJ30" i="250"/>
  <c r="AI30" i="250"/>
  <c r="AH30" i="250"/>
  <c r="AG30" i="250"/>
  <c r="U30" i="250"/>
  <c r="T30" i="250"/>
  <c r="R30" i="250"/>
  <c r="Q30" i="250"/>
  <c r="P30" i="250"/>
  <c r="N30" i="250"/>
  <c r="M30" i="250"/>
  <c r="AK13" i="250" s="1"/>
  <c r="E30" i="250"/>
  <c r="AF13" i="250" s="1"/>
  <c r="AJ29" i="250"/>
  <c r="AI29" i="250"/>
  <c r="AH29" i="250"/>
  <c r="AG29" i="250"/>
  <c r="U29" i="250"/>
  <c r="T29" i="250"/>
  <c r="R29" i="250"/>
  <c r="Q29" i="250"/>
  <c r="P29" i="250"/>
  <c r="N29" i="250"/>
  <c r="E29" i="250"/>
  <c r="AF21" i="250" s="1"/>
  <c r="AJ28" i="250"/>
  <c r="AI28" i="250"/>
  <c r="AH28" i="250"/>
  <c r="AG28" i="250"/>
  <c r="U28" i="250"/>
  <c r="T28" i="250"/>
  <c r="R28" i="250"/>
  <c r="Q28" i="250"/>
  <c r="P28" i="250"/>
  <c r="N28" i="250"/>
  <c r="E28" i="250"/>
  <c r="AF31" i="250" s="1"/>
  <c r="AJ27" i="250"/>
  <c r="AI27" i="250"/>
  <c r="AH27" i="250"/>
  <c r="AG27" i="250"/>
  <c r="U27" i="250"/>
  <c r="T27" i="250"/>
  <c r="R27" i="250"/>
  <c r="Q27" i="250"/>
  <c r="P27" i="250"/>
  <c r="N27" i="250"/>
  <c r="E27" i="250"/>
  <c r="AF12" i="250" s="1"/>
  <c r="AJ26" i="250"/>
  <c r="AI26" i="250"/>
  <c r="AH26" i="250"/>
  <c r="AG26" i="250"/>
  <c r="U26" i="250"/>
  <c r="T26" i="250"/>
  <c r="R26" i="250"/>
  <c r="Q26" i="250"/>
  <c r="P26" i="250"/>
  <c r="N26" i="250"/>
  <c r="E26" i="250"/>
  <c r="AF30" i="250" s="1"/>
  <c r="AJ25" i="250"/>
  <c r="AI25" i="250"/>
  <c r="AH25" i="250"/>
  <c r="AG25" i="250"/>
  <c r="U25" i="250"/>
  <c r="T25" i="250"/>
  <c r="R25" i="250"/>
  <c r="Q25" i="250"/>
  <c r="P25" i="250"/>
  <c r="N25" i="250"/>
  <c r="M25" i="250"/>
  <c r="AK20" i="250" s="1"/>
  <c r="E25" i="250"/>
  <c r="AF20" i="250" s="1"/>
  <c r="AJ24" i="250"/>
  <c r="AI24" i="250"/>
  <c r="AH24" i="250"/>
  <c r="AG24" i="250"/>
  <c r="U24" i="250"/>
  <c r="T24" i="250"/>
  <c r="R24" i="250"/>
  <c r="Q24" i="250"/>
  <c r="P24" i="250"/>
  <c r="N24" i="250"/>
  <c r="E24" i="250"/>
  <c r="AJ23" i="250"/>
  <c r="AI23" i="250"/>
  <c r="AH23" i="250"/>
  <c r="AG23" i="250"/>
  <c r="U23" i="250"/>
  <c r="T23" i="250"/>
  <c r="R23" i="250"/>
  <c r="Q23" i="250"/>
  <c r="P23" i="250"/>
  <c r="N23" i="250"/>
  <c r="M23" i="250"/>
  <c r="AK10" i="250" s="1"/>
  <c r="E23" i="250"/>
  <c r="AJ22" i="250"/>
  <c r="AI22" i="250"/>
  <c r="AH22" i="250"/>
  <c r="AG22" i="250"/>
  <c r="U22" i="250"/>
  <c r="T22" i="250"/>
  <c r="R22" i="250"/>
  <c r="Q22" i="250"/>
  <c r="P22" i="250"/>
  <c r="N22" i="250"/>
  <c r="E22" i="250"/>
  <c r="AF9" i="250" s="1"/>
  <c r="AJ21" i="250"/>
  <c r="AI21" i="250"/>
  <c r="AH21" i="250"/>
  <c r="AG21" i="250"/>
  <c r="U21" i="250"/>
  <c r="T21" i="250"/>
  <c r="R21" i="250"/>
  <c r="Q21" i="250"/>
  <c r="P21" i="250"/>
  <c r="N21" i="250"/>
  <c r="E21" i="250"/>
  <c r="AF29" i="250" s="1"/>
  <c r="AJ20" i="250"/>
  <c r="AI20" i="250"/>
  <c r="AH20" i="250"/>
  <c r="AG20" i="250"/>
  <c r="U20" i="250"/>
  <c r="T20" i="250"/>
  <c r="R20" i="250"/>
  <c r="Q20" i="250"/>
  <c r="P20" i="250"/>
  <c r="N20" i="250"/>
  <c r="E20" i="250"/>
  <c r="AF19" i="250" s="1"/>
  <c r="AJ19" i="250"/>
  <c r="AI19" i="250"/>
  <c r="AH19" i="250"/>
  <c r="AG19" i="250"/>
  <c r="U19" i="250"/>
  <c r="T19" i="250"/>
  <c r="R19" i="250"/>
  <c r="Q19" i="250"/>
  <c r="M19" i="250" s="1"/>
  <c r="AK28" i="250" s="1"/>
  <c r="P19" i="250"/>
  <c r="N19" i="250"/>
  <c r="E19" i="250"/>
  <c r="AF28" i="250" s="1"/>
  <c r="AJ18" i="250"/>
  <c r="AI18" i="250"/>
  <c r="AH18" i="250"/>
  <c r="AG18" i="250"/>
  <c r="U18" i="250"/>
  <c r="T18" i="250"/>
  <c r="R18" i="250"/>
  <c r="Q18" i="250"/>
  <c r="M18" i="250" s="1"/>
  <c r="AK8" i="250" s="1"/>
  <c r="P18" i="250"/>
  <c r="N18" i="250"/>
  <c r="E18" i="250"/>
  <c r="AF8" i="250" s="1"/>
  <c r="AJ17" i="250"/>
  <c r="AI17" i="250"/>
  <c r="AH17" i="250"/>
  <c r="AG17" i="250"/>
  <c r="U17" i="250"/>
  <c r="T17" i="250"/>
  <c r="R17" i="250"/>
  <c r="M17" i="250" s="1"/>
  <c r="AK27" i="250" s="1"/>
  <c r="Q17" i="250"/>
  <c r="P17" i="250"/>
  <c r="N17" i="250"/>
  <c r="E17" i="250"/>
  <c r="AF27" i="250" s="1"/>
  <c r="AJ16" i="250"/>
  <c r="AI16" i="250"/>
  <c r="AH16" i="250"/>
  <c r="AG16" i="250"/>
  <c r="U16" i="250"/>
  <c r="T16" i="250"/>
  <c r="R16" i="250"/>
  <c r="M16" i="250" s="1"/>
  <c r="AK26" i="250" s="1"/>
  <c r="Q16" i="250"/>
  <c r="P16" i="250"/>
  <c r="N16" i="250"/>
  <c r="E16" i="250"/>
  <c r="AF26" i="250" s="1"/>
  <c r="AJ15" i="250"/>
  <c r="AI15" i="250"/>
  <c r="AH15" i="250"/>
  <c r="AG15" i="250"/>
  <c r="U15" i="250"/>
  <c r="T15" i="250"/>
  <c r="R15" i="250"/>
  <c r="Q15" i="250"/>
  <c r="P15" i="250"/>
  <c r="N15" i="250"/>
  <c r="E15" i="250"/>
  <c r="AF18" i="250" s="1"/>
  <c r="AJ14" i="250"/>
  <c r="AI14" i="250"/>
  <c r="AH14" i="250"/>
  <c r="AG14" i="250"/>
  <c r="U14" i="250"/>
  <c r="T14" i="250"/>
  <c r="R14" i="250"/>
  <c r="Q14" i="250"/>
  <c r="P14" i="250"/>
  <c r="N14" i="250"/>
  <c r="E14" i="250"/>
  <c r="AF17" i="250" s="1"/>
  <c r="AJ13" i="250"/>
  <c r="AI13" i="250"/>
  <c r="AH13" i="250"/>
  <c r="AG13" i="250"/>
  <c r="U13" i="250"/>
  <c r="T13" i="250"/>
  <c r="R13" i="250"/>
  <c r="Q13" i="250"/>
  <c r="M13" i="250" s="1"/>
  <c r="AK16" i="250" s="1"/>
  <c r="P13" i="250"/>
  <c r="N13" i="250"/>
  <c r="E13" i="250"/>
  <c r="AF16" i="250" s="1"/>
  <c r="AJ12" i="250"/>
  <c r="AI12" i="250"/>
  <c r="AH12" i="250"/>
  <c r="AG12" i="250"/>
  <c r="U12" i="250"/>
  <c r="T12" i="250"/>
  <c r="R12" i="250"/>
  <c r="Q12" i="250"/>
  <c r="P12" i="250"/>
  <c r="N12" i="250"/>
  <c r="E12" i="250"/>
  <c r="AF7" i="250" s="1"/>
  <c r="AJ11" i="250"/>
  <c r="AI11" i="250"/>
  <c r="AH11" i="250"/>
  <c r="AG11" i="250"/>
  <c r="AF11" i="250"/>
  <c r="U11" i="250"/>
  <c r="T11" i="250"/>
  <c r="R11" i="250"/>
  <c r="Q11" i="250"/>
  <c r="M11" i="250" s="1"/>
  <c r="AK25" i="250" s="1"/>
  <c r="P11" i="250"/>
  <c r="N11" i="250"/>
  <c r="E11" i="250"/>
  <c r="AF25" i="250" s="1"/>
  <c r="AJ10" i="250"/>
  <c r="AI10" i="250"/>
  <c r="AH10" i="250"/>
  <c r="AG10" i="250"/>
  <c r="AF10" i="250"/>
  <c r="U10" i="250"/>
  <c r="T10" i="250"/>
  <c r="R10" i="250"/>
  <c r="Q10" i="250"/>
  <c r="M10" i="250" s="1"/>
  <c r="AK6" i="250" s="1"/>
  <c r="P10" i="250"/>
  <c r="N10" i="250"/>
  <c r="E10" i="250"/>
  <c r="AF6" i="250" s="1"/>
  <c r="AJ9" i="250"/>
  <c r="AI9" i="250"/>
  <c r="AH9" i="250"/>
  <c r="AG9" i="250"/>
  <c r="U9" i="250"/>
  <c r="T9" i="250"/>
  <c r="R9" i="250"/>
  <c r="Q9" i="250"/>
  <c r="P9" i="250"/>
  <c r="N9" i="250"/>
  <c r="E9" i="250"/>
  <c r="AF15" i="250" s="1"/>
  <c r="AJ8" i="250"/>
  <c r="AI8" i="250"/>
  <c r="AH8" i="250"/>
  <c r="AG8" i="250"/>
  <c r="U8" i="250"/>
  <c r="T8" i="250"/>
  <c r="R8" i="250"/>
  <c r="Q8" i="250"/>
  <c r="P8" i="250"/>
  <c r="N8" i="250"/>
  <c r="E8" i="250"/>
  <c r="AF24" i="250" s="1"/>
  <c r="AJ7" i="250"/>
  <c r="AI7" i="250"/>
  <c r="AH7" i="250"/>
  <c r="AG7" i="250"/>
  <c r="U7" i="250"/>
  <c r="T7" i="250"/>
  <c r="R7" i="250"/>
  <c r="Q7" i="250"/>
  <c r="P7" i="250"/>
  <c r="N7" i="250"/>
  <c r="E7" i="250"/>
  <c r="AF23" i="250" s="1"/>
  <c r="AJ6" i="250"/>
  <c r="AI6" i="250"/>
  <c r="AH6" i="250"/>
  <c r="AG6" i="250"/>
  <c r="U6" i="250"/>
  <c r="T6" i="250"/>
  <c r="R6" i="250"/>
  <c r="Q6" i="250"/>
  <c r="P6" i="250"/>
  <c r="N6" i="250"/>
  <c r="E6" i="250"/>
  <c r="M22" i="250" l="1"/>
  <c r="AK9" i="250" s="1"/>
  <c r="M24" i="250"/>
  <c r="AK11" i="250" s="1"/>
  <c r="M23" i="251"/>
  <c r="AK10" i="251" s="1"/>
  <c r="M12" i="252"/>
  <c r="AK7" i="252" s="1"/>
  <c r="M6" i="253"/>
  <c r="AK14" i="253" s="1"/>
  <c r="M45" i="253"/>
  <c r="M15" i="250"/>
  <c r="AK18" i="250" s="1"/>
  <c r="M6" i="251"/>
  <c r="AK14" i="251" s="1"/>
  <c r="M26" i="251"/>
  <c r="AK30" i="251" s="1"/>
  <c r="M8" i="252"/>
  <c r="AK24" i="252" s="1"/>
  <c r="M16" i="253"/>
  <c r="AK26" i="253" s="1"/>
  <c r="M16" i="251"/>
  <c r="AK26" i="251" s="1"/>
  <c r="AB20" i="251"/>
  <c r="AB16" i="253"/>
  <c r="M21" i="250"/>
  <c r="AK29" i="250" s="1"/>
  <c r="AD14" i="251"/>
  <c r="K45" i="251" s="1"/>
  <c r="M22" i="251"/>
  <c r="AK9" i="251" s="1"/>
  <c r="M44" i="251"/>
  <c r="M24" i="252"/>
  <c r="AK11" i="252" s="1"/>
  <c r="M10" i="253"/>
  <c r="AK6" i="253" s="1"/>
  <c r="M17" i="253"/>
  <c r="AK27" i="253" s="1"/>
  <c r="M6" i="250"/>
  <c r="AK14" i="250" s="1"/>
  <c r="M26" i="250"/>
  <c r="AK30" i="250" s="1"/>
  <c r="M45" i="250"/>
  <c r="M31" i="250"/>
  <c r="AK22" i="250" s="1"/>
  <c r="M7" i="250"/>
  <c r="AK23" i="250" s="1"/>
  <c r="M44" i="250"/>
  <c r="AB28" i="250"/>
  <c r="AC9" i="250"/>
  <c r="O30" i="250"/>
  <c r="AC19" i="250"/>
  <c r="AB26" i="250"/>
  <c r="M9" i="251"/>
  <c r="AK15" i="251" s="1"/>
  <c r="M13" i="251"/>
  <c r="AK16" i="251" s="1"/>
  <c r="M7" i="251"/>
  <c r="AK23" i="251" s="1"/>
  <c r="AC17" i="251"/>
  <c r="AD11" i="251"/>
  <c r="M12" i="251"/>
  <c r="AK7" i="251" s="1"/>
  <c r="AC29" i="251"/>
  <c r="M30" i="251"/>
  <c r="AK13" i="251" s="1"/>
  <c r="AC30" i="252"/>
  <c r="M15" i="252"/>
  <c r="AK18" i="252" s="1"/>
  <c r="M7" i="252"/>
  <c r="AK23" i="252" s="1"/>
  <c r="S14" i="252"/>
  <c r="AD9" i="252"/>
  <c r="M29" i="252"/>
  <c r="AK21" i="252" s="1"/>
  <c r="M20" i="252"/>
  <c r="AK19" i="252" s="1"/>
  <c r="M13" i="253"/>
  <c r="AK16" i="253" s="1"/>
  <c r="M22" i="253"/>
  <c r="AK9" i="253" s="1"/>
  <c r="M29" i="253"/>
  <c r="AK21" i="253" s="1"/>
  <c r="M9" i="253"/>
  <c r="AK15" i="253" s="1"/>
  <c r="M18" i="253"/>
  <c r="AK8" i="253" s="1"/>
  <c r="S15" i="253"/>
  <c r="M14" i="253"/>
  <c r="AK17" i="253" s="1"/>
  <c r="M21" i="253"/>
  <c r="AK29" i="253" s="1"/>
  <c r="M18" i="254"/>
  <c r="AK8" i="254" s="1"/>
  <c r="M26" i="254"/>
  <c r="AK30" i="254" s="1"/>
  <c r="M11" i="254"/>
  <c r="AK25" i="254" s="1"/>
  <c r="M13" i="254"/>
  <c r="AK16" i="254" s="1"/>
  <c r="M8" i="254"/>
  <c r="AK24" i="254" s="1"/>
  <c r="M17" i="254"/>
  <c r="AK27" i="254" s="1"/>
  <c r="M25" i="254"/>
  <c r="AK20" i="254" s="1"/>
  <c r="M16" i="254"/>
  <c r="AK26" i="254" s="1"/>
  <c r="M14" i="254"/>
  <c r="AK17" i="254" s="1"/>
  <c r="M10" i="254"/>
  <c r="AK6" i="254" s="1"/>
  <c r="M15" i="254"/>
  <c r="AK18" i="254" s="1"/>
  <c r="M20" i="254"/>
  <c r="AK19" i="254" s="1"/>
  <c r="M27" i="254"/>
  <c r="AK12" i="254" s="1"/>
  <c r="S7" i="254"/>
  <c r="S15" i="254"/>
  <c r="S23" i="254"/>
  <c r="S31" i="254"/>
  <c r="O13" i="254"/>
  <c r="O21" i="254"/>
  <c r="O29" i="254"/>
  <c r="S16" i="254"/>
  <c r="S6" i="254"/>
  <c r="O22" i="254"/>
  <c r="O7" i="254"/>
  <c r="S18" i="254"/>
  <c r="O8" i="254"/>
  <c r="O24" i="254"/>
  <c r="S19" i="254"/>
  <c r="O17" i="254"/>
  <c r="S12" i="254"/>
  <c r="O26" i="254"/>
  <c r="S21" i="254"/>
  <c r="O19" i="254"/>
  <c r="S9" i="254"/>
  <c r="S17" i="254"/>
  <c r="S25" i="254"/>
  <c r="O23" i="254"/>
  <c r="O31" i="254"/>
  <c r="S26" i="254"/>
  <c r="S27" i="254"/>
  <c r="O9" i="254"/>
  <c r="O25" i="254"/>
  <c r="S28" i="254"/>
  <c r="O10" i="254"/>
  <c r="S29" i="254"/>
  <c r="O11" i="254"/>
  <c r="O27" i="254"/>
  <c r="S14" i="254"/>
  <c r="S22" i="254"/>
  <c r="S30" i="254"/>
  <c r="O12" i="254"/>
  <c r="O20" i="254"/>
  <c r="O28" i="254"/>
  <c r="S8" i="254"/>
  <c r="S24" i="254"/>
  <c r="O14" i="254"/>
  <c r="O30" i="254"/>
  <c r="O15" i="254"/>
  <c r="S10" i="254"/>
  <c r="O16" i="254"/>
  <c r="O6" i="254"/>
  <c r="S11" i="254"/>
  <c r="S20" i="254"/>
  <c r="O18" i="254"/>
  <c r="S13" i="254"/>
  <c r="M12" i="254"/>
  <c r="AK7" i="254" s="1"/>
  <c r="AK28" i="254"/>
  <c r="M44" i="254"/>
  <c r="AD30" i="254"/>
  <c r="M9" i="254"/>
  <c r="AK15" i="254" s="1"/>
  <c r="AD17" i="254"/>
  <c r="AC9" i="254"/>
  <c r="AK11" i="254"/>
  <c r="M45" i="254"/>
  <c r="AB23" i="254"/>
  <c r="AB21" i="254"/>
  <c r="AD6" i="254"/>
  <c r="K44" i="254" s="1"/>
  <c r="AB29" i="254"/>
  <c r="AB12" i="254"/>
  <c r="AC28" i="254"/>
  <c r="AB13" i="254"/>
  <c r="AC25" i="254"/>
  <c r="AC30" i="254"/>
  <c r="O13" i="253"/>
  <c r="M28" i="253"/>
  <c r="AK31" i="253" s="1"/>
  <c r="M20" i="253"/>
  <c r="AK19" i="253" s="1"/>
  <c r="AB25" i="253"/>
  <c r="S9" i="253"/>
  <c r="M12" i="253"/>
  <c r="AK7" i="253" s="1"/>
  <c r="AB8" i="253"/>
  <c r="AC21" i="253"/>
  <c r="AB14" i="253"/>
  <c r="AB29" i="253"/>
  <c r="AD31" i="253"/>
  <c r="AB20" i="253"/>
  <c r="AB26" i="253"/>
  <c r="AD10" i="253"/>
  <c r="AB9" i="253"/>
  <c r="AD29" i="253"/>
  <c r="AB21" i="252"/>
  <c r="AF14" i="252"/>
  <c r="S11" i="252"/>
  <c r="M13" i="252"/>
  <c r="AK16" i="252" s="1"/>
  <c r="M21" i="252"/>
  <c r="AK29" i="252" s="1"/>
  <c r="S44" i="252"/>
  <c r="AB9" i="252"/>
  <c r="M9" i="252"/>
  <c r="AK15" i="252" s="1"/>
  <c r="M16" i="252"/>
  <c r="AK26" i="252" s="1"/>
  <c r="AC26" i="252"/>
  <c r="AB15" i="252"/>
  <c r="AB29" i="252"/>
  <c r="AD11" i="252"/>
  <c r="AB7" i="252"/>
  <c r="AC18" i="252"/>
  <c r="AC7" i="252"/>
  <c r="AC6" i="252"/>
  <c r="J44" i="252" s="1"/>
  <c r="AB12" i="252"/>
  <c r="AD6" i="252"/>
  <c r="K44" i="252" s="1"/>
  <c r="AC9" i="252"/>
  <c r="AC10" i="252"/>
  <c r="AC12" i="252"/>
  <c r="AC27" i="252"/>
  <c r="AB8" i="251"/>
  <c r="O28" i="251"/>
  <c r="AB17" i="251"/>
  <c r="AD22" i="251"/>
  <c r="M24" i="251"/>
  <c r="AK11" i="251" s="1"/>
  <c r="AD6" i="251"/>
  <c r="K44" i="251" s="1"/>
  <c r="AB11" i="251"/>
  <c r="AB22" i="251"/>
  <c r="AB30" i="251"/>
  <c r="O30" i="251"/>
  <c r="AB7" i="251"/>
  <c r="M20" i="251"/>
  <c r="AK19" i="251" s="1"/>
  <c r="AB12" i="251"/>
  <c r="AC9" i="251"/>
  <c r="AB27" i="251"/>
  <c r="M8" i="251"/>
  <c r="AK24" i="251" s="1"/>
  <c r="AC22" i="251"/>
  <c r="AB16" i="251"/>
  <c r="M25" i="251"/>
  <c r="AK20" i="251" s="1"/>
  <c r="AB19" i="251"/>
  <c r="AC30" i="251"/>
  <c r="AB25" i="251"/>
  <c r="AB29" i="251"/>
  <c r="AB9" i="251"/>
  <c r="M14" i="251"/>
  <c r="AK17" i="251" s="1"/>
  <c r="M27" i="251"/>
  <c r="AK12" i="251" s="1"/>
  <c r="AB28" i="251"/>
  <c r="M45" i="251"/>
  <c r="S8" i="253"/>
  <c r="AD16" i="253"/>
  <c r="AB19" i="253"/>
  <c r="O11" i="253"/>
  <c r="AB31" i="253"/>
  <c r="AD25" i="254"/>
  <c r="S28" i="253"/>
  <c r="AC20" i="254"/>
  <c r="AB13" i="253"/>
  <c r="AC16" i="253"/>
  <c r="S25" i="253"/>
  <c r="S7" i="253"/>
  <c r="O16" i="253"/>
  <c r="AC22" i="254"/>
  <c r="AD22" i="254"/>
  <c r="AB31" i="254"/>
  <c r="AB12" i="253"/>
  <c r="S45" i="253"/>
  <c r="AD9" i="254"/>
  <c r="AC12" i="254"/>
  <c r="AD18" i="253"/>
  <c r="AB24" i="253"/>
  <c r="AB28" i="253"/>
  <c r="AD11" i="254"/>
  <c r="AC16" i="254"/>
  <c r="AD21" i="254"/>
  <c r="AB16" i="254"/>
  <c r="AD20" i="254"/>
  <c r="AB18" i="254"/>
  <c r="AC15" i="254"/>
  <c r="AB19" i="254"/>
  <c r="AC12" i="253"/>
  <c r="AD9" i="253"/>
  <c r="AC6" i="253"/>
  <c r="J44" i="253" s="1"/>
  <c r="O29" i="253"/>
  <c r="AF6" i="254"/>
  <c r="AC20" i="253"/>
  <c r="AD17" i="253"/>
  <c r="AB15" i="253"/>
  <c r="AC19" i="253"/>
  <c r="AC14" i="253"/>
  <c r="J45" i="253" s="1"/>
  <c r="AB22" i="253"/>
  <c r="AB27" i="253"/>
  <c r="S30" i="253"/>
  <c r="O26" i="253"/>
  <c r="S22" i="253"/>
  <c r="O18" i="253"/>
  <c r="S14" i="253"/>
  <c r="O10" i="253"/>
  <c r="S6" i="253"/>
  <c r="S16" i="253"/>
  <c r="AF14" i="253"/>
  <c r="O46" i="253"/>
  <c r="S44" i="253"/>
  <c r="O31" i="253"/>
  <c r="S27" i="253"/>
  <c r="O23" i="253"/>
  <c r="S19" i="253"/>
  <c r="O15" i="253"/>
  <c r="S11" i="253"/>
  <c r="O7" i="253"/>
  <c r="O28" i="253"/>
  <c r="S24" i="253"/>
  <c r="O20" i="253"/>
  <c r="O12" i="253"/>
  <c r="O45" i="253"/>
  <c r="S29" i="253"/>
  <c r="O25" i="253"/>
  <c r="S21" i="253"/>
  <c r="O17" i="253"/>
  <c r="S13" i="253"/>
  <c r="O9" i="253"/>
  <c r="S46" i="253"/>
  <c r="S31" i="253"/>
  <c r="O27" i="253"/>
  <c r="S23" i="253"/>
  <c r="O19" i="253"/>
  <c r="O30" i="253"/>
  <c r="S26" i="253"/>
  <c r="O22" i="253"/>
  <c r="S18" i="253"/>
  <c r="O14" i="253"/>
  <c r="S10" i="253"/>
  <c r="O6" i="253"/>
  <c r="O44" i="253"/>
  <c r="S12" i="253"/>
  <c r="S17" i="253"/>
  <c r="O21" i="253"/>
  <c r="O24" i="253"/>
  <c r="O45" i="254"/>
  <c r="AB11" i="253"/>
  <c r="AC11" i="253"/>
  <c r="AB17" i="253"/>
  <c r="AB7" i="253"/>
  <c r="AB10" i="253"/>
  <c r="S20" i="253"/>
  <c r="AD21" i="253"/>
  <c r="AC24" i="253"/>
  <c r="AB15" i="254"/>
  <c r="AB22" i="254"/>
  <c r="AB6" i="253"/>
  <c r="O8" i="253"/>
  <c r="AC8" i="253"/>
  <c r="AC13" i="253"/>
  <c r="AD8" i="253"/>
  <c r="AD13" i="253"/>
  <c r="AB21" i="253"/>
  <c r="AB18" i="253"/>
  <c r="AD26" i="253"/>
  <c r="AC29" i="253"/>
  <c r="M46" i="253"/>
  <c r="AB7" i="254"/>
  <c r="AD13" i="254"/>
  <c r="AC8" i="254"/>
  <c r="AB8" i="254"/>
  <c r="AB10" i="254"/>
  <c r="AC7" i="254"/>
  <c r="AD12" i="254"/>
  <c r="AB11" i="254"/>
  <c r="AD14" i="254"/>
  <c r="K45" i="254" s="1"/>
  <c r="AC17" i="254"/>
  <c r="AB20" i="254"/>
  <c r="AB27" i="254"/>
  <c r="AC24" i="254"/>
  <c r="AD29" i="254"/>
  <c r="AB24" i="254"/>
  <c r="AD28" i="254"/>
  <c r="AB26" i="254"/>
  <c r="AC23" i="254"/>
  <c r="J46" i="254" s="1"/>
  <c r="AC26" i="254"/>
  <c r="AD23" i="254"/>
  <c r="K46" i="254" s="1"/>
  <c r="AC31" i="254"/>
  <c r="AB30" i="254"/>
  <c r="S44" i="254"/>
  <c r="O46" i="254"/>
  <c r="AD11" i="253"/>
  <c r="AD19" i="253"/>
  <c r="AC22" i="253"/>
  <c r="AD27" i="253"/>
  <c r="AC30" i="253"/>
  <c r="AD7" i="254"/>
  <c r="AC10" i="254"/>
  <c r="AD15" i="254"/>
  <c r="AC18" i="254"/>
  <c r="AD31" i="254"/>
  <c r="AD24" i="253"/>
  <c r="AC27" i="253"/>
  <c r="AB30" i="253"/>
  <c r="AD6" i="253"/>
  <c r="K44" i="253" s="1"/>
  <c r="AC9" i="253"/>
  <c r="AD14" i="253"/>
  <c r="K45" i="253" s="1"/>
  <c r="AC17" i="253"/>
  <c r="AD22" i="253"/>
  <c r="AC25" i="253"/>
  <c r="AD30" i="253"/>
  <c r="AD10" i="254"/>
  <c r="AC13" i="254"/>
  <c r="AD18" i="254"/>
  <c r="AC21" i="254"/>
  <c r="AD26" i="254"/>
  <c r="AC29" i="254"/>
  <c r="S45" i="254"/>
  <c r="AD25" i="253"/>
  <c r="AC28" i="253"/>
  <c r="AC7" i="253"/>
  <c r="AD12" i="253"/>
  <c r="AC15" i="253"/>
  <c r="AD20" i="253"/>
  <c r="AC23" i="253"/>
  <c r="J46" i="253" s="1"/>
  <c r="AD28" i="253"/>
  <c r="AC31" i="253"/>
  <c r="AB6" i="254"/>
  <c r="AD8" i="254"/>
  <c r="AC11" i="254"/>
  <c r="AB14" i="254"/>
  <c r="AD16" i="254"/>
  <c r="AC19" i="254"/>
  <c r="AD24" i="254"/>
  <c r="AC27" i="254"/>
  <c r="O44" i="254"/>
  <c r="S46" i="254"/>
  <c r="AB23" i="253"/>
  <c r="AD7" i="253"/>
  <c r="AC10" i="253"/>
  <c r="AD15" i="253"/>
  <c r="AC18" i="253"/>
  <c r="AD23" i="253"/>
  <c r="K46" i="253" s="1"/>
  <c r="AC26" i="253"/>
  <c r="AC6" i="254"/>
  <c r="J44" i="254" s="1"/>
  <c r="AB9" i="254"/>
  <c r="AC14" i="254"/>
  <c r="J45" i="254" s="1"/>
  <c r="AB17" i="254"/>
  <c r="AD19" i="254"/>
  <c r="AB25" i="254"/>
  <c r="AD27" i="254"/>
  <c r="AB22" i="252"/>
  <c r="AF23" i="252"/>
  <c r="S30" i="252"/>
  <c r="S10" i="252"/>
  <c r="AB17" i="252"/>
  <c r="S21" i="252"/>
  <c r="S24" i="252"/>
  <c r="AB25" i="252"/>
  <c r="O9" i="252"/>
  <c r="AC17" i="252"/>
  <c r="AB20" i="252"/>
  <c r="AB31" i="252"/>
  <c r="O45" i="252"/>
  <c r="O46" i="252"/>
  <c r="O7" i="252"/>
  <c r="AD7" i="252"/>
  <c r="AB10" i="252"/>
  <c r="O12" i="252"/>
  <c r="AD12" i="252"/>
  <c r="AB13" i="252"/>
  <c r="O14" i="252"/>
  <c r="AD14" i="252"/>
  <c r="K45" i="252" s="1"/>
  <c r="AC15" i="252"/>
  <c r="O17" i="252"/>
  <c r="AD17" i="252"/>
  <c r="AD19" i="252"/>
  <c r="AC20" i="252"/>
  <c r="AC22" i="252"/>
  <c r="AB23" i="252"/>
  <c r="O25" i="252"/>
  <c r="AD25" i="252"/>
  <c r="AD27" i="252"/>
  <c r="AC28" i="252"/>
  <c r="AD30" i="252"/>
  <c r="AC31" i="252"/>
  <c r="O10" i="252"/>
  <c r="O15" i="252"/>
  <c r="AD15" i="252"/>
  <c r="AB18" i="252"/>
  <c r="O20" i="252"/>
  <c r="AD20" i="252"/>
  <c r="O22" i="252"/>
  <c r="AD22" i="252"/>
  <c r="AC23" i="252"/>
  <c r="J46" i="252" s="1"/>
  <c r="AB26" i="252"/>
  <c r="O28" i="252"/>
  <c r="AD28" i="252"/>
  <c r="O30" i="252"/>
  <c r="O31" i="252"/>
  <c r="AC11" i="252"/>
  <c r="AD8" i="252"/>
  <c r="AB6" i="252"/>
  <c r="AD13" i="252"/>
  <c r="AC8" i="252"/>
  <c r="AC13" i="252"/>
  <c r="AD10" i="252"/>
  <c r="AB8" i="252"/>
  <c r="M11" i="252"/>
  <c r="AK25" i="252" s="1"/>
  <c r="AB11" i="252"/>
  <c r="M14" i="252"/>
  <c r="AK17" i="252" s="1"/>
  <c r="M17" i="252"/>
  <c r="AK27" i="252" s="1"/>
  <c r="O18" i="252"/>
  <c r="O23" i="252"/>
  <c r="AD23" i="252"/>
  <c r="K46" i="252" s="1"/>
  <c r="M25" i="252"/>
  <c r="AK20" i="252" s="1"/>
  <c r="O26" i="252"/>
  <c r="M44" i="252"/>
  <c r="S46" i="252"/>
  <c r="S8" i="252"/>
  <c r="S13" i="252"/>
  <c r="S19" i="252"/>
  <c r="S22" i="252"/>
  <c r="S27" i="252"/>
  <c r="S16" i="252"/>
  <c r="S18" i="252"/>
  <c r="S26" i="252"/>
  <c r="S29" i="252"/>
  <c r="O6" i="252"/>
  <c r="AC14" i="252"/>
  <c r="J45" i="252" s="1"/>
  <c r="AC25" i="252"/>
  <c r="AB28" i="252"/>
  <c r="S6" i="252"/>
  <c r="AC19" i="252"/>
  <c r="AD16" i="252"/>
  <c r="AB14" i="252"/>
  <c r="AD21" i="252"/>
  <c r="AC16" i="252"/>
  <c r="AC21" i="252"/>
  <c r="AD18" i="252"/>
  <c r="AB16" i="252"/>
  <c r="M19" i="252"/>
  <c r="AK28" i="252" s="1"/>
  <c r="AB19" i="252"/>
  <c r="M22" i="252"/>
  <c r="AK9" i="252" s="1"/>
  <c r="AD29" i="252"/>
  <c r="AC24" i="252"/>
  <c r="AC29" i="252"/>
  <c r="AD26" i="252"/>
  <c r="AB24" i="252"/>
  <c r="AD31" i="252"/>
  <c r="M27" i="252"/>
  <c r="AK12" i="252" s="1"/>
  <c r="AB27" i="252"/>
  <c r="M30" i="252"/>
  <c r="AK13" i="252" s="1"/>
  <c r="AB30" i="252"/>
  <c r="S9" i="252"/>
  <c r="O13" i="252"/>
  <c r="S17" i="252"/>
  <c r="O21" i="252"/>
  <c r="S25" i="252"/>
  <c r="O29" i="252"/>
  <c r="S45" i="252"/>
  <c r="O8" i="252"/>
  <c r="S12" i="252"/>
  <c r="O16" i="252"/>
  <c r="S20" i="252"/>
  <c r="O24" i="252"/>
  <c r="S28" i="252"/>
  <c r="S7" i="252"/>
  <c r="O11" i="252"/>
  <c r="S15" i="252"/>
  <c r="O19" i="252"/>
  <c r="S23" i="252"/>
  <c r="AD24" i="252"/>
  <c r="O27" i="252"/>
  <c r="S31" i="252"/>
  <c r="O44" i="252"/>
  <c r="AB17" i="250"/>
  <c r="M20" i="250"/>
  <c r="AK19" i="250" s="1"/>
  <c r="AB12" i="250"/>
  <c r="AD14" i="250"/>
  <c r="K45" i="250" s="1"/>
  <c r="AB16" i="250"/>
  <c r="AC22" i="250"/>
  <c r="AD16" i="250"/>
  <c r="M28" i="250"/>
  <c r="AK31" i="250" s="1"/>
  <c r="M8" i="250"/>
  <c r="AK24" i="250" s="1"/>
  <c r="AD11" i="250"/>
  <c r="AD13" i="250"/>
  <c r="AB20" i="250"/>
  <c r="AC30" i="250"/>
  <c r="AB25" i="250"/>
  <c r="AB24" i="250"/>
  <c r="M12" i="250"/>
  <c r="AK7" i="250" s="1"/>
  <c r="M14" i="250"/>
  <c r="AK17" i="250" s="1"/>
  <c r="AB18" i="250"/>
  <c r="M27" i="250"/>
  <c r="AK12" i="250" s="1"/>
  <c r="AB8" i="250"/>
  <c r="M9" i="250"/>
  <c r="AK15" i="250" s="1"/>
  <c r="AC25" i="250"/>
  <c r="AD6" i="250"/>
  <c r="K44" i="250" s="1"/>
  <c r="O9" i="250"/>
  <c r="AB9" i="250"/>
  <c r="AC17" i="250"/>
  <c r="AD29" i="250"/>
  <c r="M29" i="250"/>
  <c r="AK21" i="250" s="1"/>
  <c r="O9" i="251"/>
  <c r="AF6" i="251"/>
  <c r="S8" i="251"/>
  <c r="AC20" i="251"/>
  <c r="S24" i="251"/>
  <c r="AB31" i="251"/>
  <c r="S11" i="251"/>
  <c r="O15" i="251"/>
  <c r="S19" i="251"/>
  <c r="AD20" i="251"/>
  <c r="AC23" i="251"/>
  <c r="J46" i="251" s="1"/>
  <c r="S27" i="251"/>
  <c r="AD28" i="251"/>
  <c r="O46" i="251"/>
  <c r="AD7" i="251"/>
  <c r="O10" i="251"/>
  <c r="AC10" i="251"/>
  <c r="AB13" i="251"/>
  <c r="S14" i="251"/>
  <c r="AD15" i="251"/>
  <c r="AB21" i="251"/>
  <c r="AD23" i="251"/>
  <c r="K46" i="251" s="1"/>
  <c r="O26" i="251"/>
  <c r="AC26" i="251"/>
  <c r="AB24" i="251"/>
  <c r="S25" i="251"/>
  <c r="O29" i="251"/>
  <c r="O8" i="251"/>
  <c r="AC8" i="251"/>
  <c r="S12" i="251"/>
  <c r="AD13" i="251"/>
  <c r="O16" i="251"/>
  <c r="AC16" i="251"/>
  <c r="S20" i="251"/>
  <c r="AD21" i="251"/>
  <c r="O24" i="251"/>
  <c r="AC24" i="251"/>
  <c r="S28" i="251"/>
  <c r="AD29" i="251"/>
  <c r="O17" i="251"/>
  <c r="O25" i="251"/>
  <c r="S29" i="251"/>
  <c r="O45" i="251"/>
  <c r="AD9" i="251"/>
  <c r="AB15" i="251"/>
  <c r="S16" i="251"/>
  <c r="AD17" i="251"/>
  <c r="O20" i="251"/>
  <c r="AB23" i="251"/>
  <c r="AD25" i="251"/>
  <c r="AC28" i="251"/>
  <c r="AC7" i="251"/>
  <c r="AD12" i="251"/>
  <c r="AC15" i="251"/>
  <c r="AB18" i="251"/>
  <c r="O23" i="251"/>
  <c r="S44" i="251"/>
  <c r="O18" i="251"/>
  <c r="AD10" i="251"/>
  <c r="AC13" i="251"/>
  <c r="S17" i="251"/>
  <c r="AC21" i="251"/>
  <c r="AD26" i="251"/>
  <c r="S45" i="251"/>
  <c r="AB6" i="251"/>
  <c r="S7" i="251"/>
  <c r="AD8" i="251"/>
  <c r="O11" i="251"/>
  <c r="AC11" i="251"/>
  <c r="AB14" i="251"/>
  <c r="S15" i="251"/>
  <c r="AD16" i="251"/>
  <c r="O19" i="251"/>
  <c r="AC19" i="251"/>
  <c r="S23" i="251"/>
  <c r="AD24" i="251"/>
  <c r="O27" i="251"/>
  <c r="AC27" i="251"/>
  <c r="S31" i="251"/>
  <c r="O44" i="251"/>
  <c r="S46" i="251"/>
  <c r="S13" i="251"/>
  <c r="S21" i="251"/>
  <c r="AD30" i="251"/>
  <c r="O12" i="251"/>
  <c r="AC12" i="251"/>
  <c r="O7" i="251"/>
  <c r="AB10" i="251"/>
  <c r="AB26" i="251"/>
  <c r="O31" i="251"/>
  <c r="AC31" i="251"/>
  <c r="S6" i="251"/>
  <c r="AC18" i="251"/>
  <c r="S22" i="251"/>
  <c r="S30" i="251"/>
  <c r="AD31" i="251"/>
  <c r="S9" i="251"/>
  <c r="O13" i="251"/>
  <c r="AD18" i="251"/>
  <c r="O21" i="251"/>
  <c r="O6" i="251"/>
  <c r="AC6" i="251"/>
  <c r="J44" i="251" s="1"/>
  <c r="S10" i="251"/>
  <c r="O14" i="251"/>
  <c r="AC14" i="251"/>
  <c r="J45" i="251" s="1"/>
  <c r="S18" i="251"/>
  <c r="AD19" i="251"/>
  <c r="O22" i="251"/>
  <c r="S26" i="251"/>
  <c r="AD27" i="251"/>
  <c r="S13" i="250"/>
  <c r="S21" i="250"/>
  <c r="AD22" i="250"/>
  <c r="AD30" i="250"/>
  <c r="AC12" i="250"/>
  <c r="AB15" i="250"/>
  <c r="O20" i="250"/>
  <c r="AC20" i="250"/>
  <c r="AB23" i="250"/>
  <c r="S24" i="250"/>
  <c r="AD25" i="250"/>
  <c r="O28" i="250"/>
  <c r="AC28" i="250"/>
  <c r="AB31" i="250"/>
  <c r="O7" i="250"/>
  <c r="AC7" i="250"/>
  <c r="AB10" i="250"/>
  <c r="S11" i="250"/>
  <c r="AD12" i="250"/>
  <c r="O15" i="250"/>
  <c r="AC15" i="250"/>
  <c r="S19" i="250"/>
  <c r="AD20" i="250"/>
  <c r="O23" i="250"/>
  <c r="AC23" i="250"/>
  <c r="J46" i="250" s="1"/>
  <c r="S27" i="250"/>
  <c r="AD28" i="250"/>
  <c r="O31" i="250"/>
  <c r="AC31" i="250"/>
  <c r="S44" i="250"/>
  <c r="O46" i="250"/>
  <c r="O17" i="250"/>
  <c r="O25" i="250"/>
  <c r="S29" i="250"/>
  <c r="O45" i="250"/>
  <c r="AB7" i="250"/>
  <c r="S8" i="250"/>
  <c r="AD9" i="250"/>
  <c r="O12" i="250"/>
  <c r="AF14" i="250"/>
  <c r="S16" i="250"/>
  <c r="AD17" i="250"/>
  <c r="S6" i="250"/>
  <c r="AD7" i="250"/>
  <c r="O10" i="250"/>
  <c r="AC10" i="250"/>
  <c r="AB13" i="250"/>
  <c r="S14" i="250"/>
  <c r="AD15" i="250"/>
  <c r="O18" i="250"/>
  <c r="AC18" i="250"/>
  <c r="AB21" i="250"/>
  <c r="S22" i="250"/>
  <c r="AD23" i="250"/>
  <c r="K46" i="250" s="1"/>
  <c r="O26" i="250"/>
  <c r="AC26" i="250"/>
  <c r="AB29" i="250"/>
  <c r="S30" i="250"/>
  <c r="AD31" i="250"/>
  <c r="AD10" i="250"/>
  <c r="AC13" i="250"/>
  <c r="O21" i="250"/>
  <c r="AD26" i="250"/>
  <c r="O29" i="250"/>
  <c r="AC29" i="250"/>
  <c r="O8" i="250"/>
  <c r="AC8" i="250"/>
  <c r="AB11" i="250"/>
  <c r="O16" i="250"/>
  <c r="AC16" i="250"/>
  <c r="AD21" i="250"/>
  <c r="O24" i="250"/>
  <c r="AC24" i="250"/>
  <c r="S28" i="250"/>
  <c r="AB6" i="250"/>
  <c r="AD8" i="250"/>
  <c r="AC11" i="250"/>
  <c r="AB14" i="250"/>
  <c r="S15" i="250"/>
  <c r="O19" i="250"/>
  <c r="AB22" i="250"/>
  <c r="S23" i="250"/>
  <c r="AD24" i="250"/>
  <c r="O27" i="250"/>
  <c r="AC27" i="250"/>
  <c r="AB30" i="250"/>
  <c r="S31" i="250"/>
  <c r="O44" i="250"/>
  <c r="S46" i="250"/>
  <c r="S9" i="250"/>
  <c r="O13" i="250"/>
  <c r="S17" i="250"/>
  <c r="AD18" i="250"/>
  <c r="AC21" i="250"/>
  <c r="S25" i="250"/>
  <c r="S45" i="250"/>
  <c r="S12" i="250"/>
  <c r="AB19" i="250"/>
  <c r="S20" i="250"/>
  <c r="AB27" i="250"/>
  <c r="S7" i="250"/>
  <c r="O11" i="250"/>
  <c r="O6" i="250"/>
  <c r="AC6" i="250"/>
  <c r="J44" i="250" s="1"/>
  <c r="S10" i="250"/>
  <c r="O14" i="250"/>
  <c r="AC14" i="250"/>
  <c r="J45" i="250" s="1"/>
  <c r="S18" i="250"/>
  <c r="AD19" i="250"/>
  <c r="O22" i="250"/>
  <c r="S26" i="250"/>
  <c r="AD27" i="250"/>
  <c r="T46" i="249" l="1"/>
  <c r="R46" i="249"/>
  <c r="Q46" i="249"/>
  <c r="P46" i="249"/>
  <c r="N46" i="249"/>
  <c r="M46" i="249"/>
  <c r="T45" i="249"/>
  <c r="R45" i="249"/>
  <c r="Q45" i="249"/>
  <c r="P45" i="249"/>
  <c r="N45" i="249"/>
  <c r="T44" i="249"/>
  <c r="R44" i="249"/>
  <c r="Q44" i="249"/>
  <c r="P44" i="249"/>
  <c r="N44" i="249"/>
  <c r="AJ31" i="249"/>
  <c r="AI31" i="249"/>
  <c r="AH31" i="249"/>
  <c r="AG31" i="249"/>
  <c r="U31" i="249"/>
  <c r="T31" i="249"/>
  <c r="R31" i="249"/>
  <c r="Q31" i="249"/>
  <c r="M31" i="249" s="1"/>
  <c r="AK22" i="249" s="1"/>
  <c r="P31" i="249"/>
  <c r="N31" i="249"/>
  <c r="E31" i="249"/>
  <c r="AF22" i="249" s="1"/>
  <c r="AJ30" i="249"/>
  <c r="AI30" i="249"/>
  <c r="AH30" i="249"/>
  <c r="AG30" i="249"/>
  <c r="U30" i="249"/>
  <c r="T30" i="249"/>
  <c r="R30" i="249"/>
  <c r="Q30" i="249"/>
  <c r="M30" i="249" s="1"/>
  <c r="AK13" i="249" s="1"/>
  <c r="P30" i="249"/>
  <c r="N30" i="249"/>
  <c r="E30" i="249"/>
  <c r="AF13" i="249" s="1"/>
  <c r="AJ29" i="249"/>
  <c r="AI29" i="249"/>
  <c r="AH29" i="249"/>
  <c r="AG29" i="249"/>
  <c r="U29" i="249"/>
  <c r="T29" i="249"/>
  <c r="R29" i="249"/>
  <c r="Q29" i="249"/>
  <c r="P29" i="249"/>
  <c r="N29" i="249"/>
  <c r="E29" i="249"/>
  <c r="AF21" i="249" s="1"/>
  <c r="AJ28" i="249"/>
  <c r="AI28" i="249"/>
  <c r="AH28" i="249"/>
  <c r="AG28" i="249"/>
  <c r="U28" i="249"/>
  <c r="T28" i="249"/>
  <c r="R28" i="249"/>
  <c r="Q28" i="249"/>
  <c r="P28" i="249"/>
  <c r="N28" i="249"/>
  <c r="E28" i="249"/>
  <c r="AF31" i="249" s="1"/>
  <c r="AJ27" i="249"/>
  <c r="AI27" i="249"/>
  <c r="AH27" i="249"/>
  <c r="AG27" i="249"/>
  <c r="U27" i="249"/>
  <c r="T27" i="249"/>
  <c r="R27" i="249"/>
  <c r="Q27" i="249"/>
  <c r="P27" i="249"/>
  <c r="N27" i="249"/>
  <c r="E27" i="249"/>
  <c r="AF12" i="249" s="1"/>
  <c r="AJ26" i="249"/>
  <c r="AI26" i="249"/>
  <c r="AH26" i="249"/>
  <c r="AG26" i="249"/>
  <c r="U26" i="249"/>
  <c r="T26" i="249"/>
  <c r="R26" i="249"/>
  <c r="Q26" i="249"/>
  <c r="M26" i="249" s="1"/>
  <c r="AK30" i="249" s="1"/>
  <c r="P26" i="249"/>
  <c r="N26" i="249"/>
  <c r="E26" i="249"/>
  <c r="AF30" i="249" s="1"/>
  <c r="AJ25" i="249"/>
  <c r="AI25" i="249"/>
  <c r="AH25" i="249"/>
  <c r="AG25" i="249"/>
  <c r="AF25" i="249"/>
  <c r="U25" i="249"/>
  <c r="T25" i="249"/>
  <c r="R25" i="249"/>
  <c r="Q25" i="249"/>
  <c r="M25" i="249" s="1"/>
  <c r="AK20" i="249" s="1"/>
  <c r="P25" i="249"/>
  <c r="N25" i="249"/>
  <c r="E25" i="249"/>
  <c r="AF20" i="249" s="1"/>
  <c r="AJ24" i="249"/>
  <c r="AI24" i="249"/>
  <c r="AH24" i="249"/>
  <c r="AG24" i="249"/>
  <c r="U24" i="249"/>
  <c r="T24" i="249"/>
  <c r="R24" i="249"/>
  <c r="Q24" i="249"/>
  <c r="P24" i="249"/>
  <c r="N24" i="249"/>
  <c r="E24" i="249"/>
  <c r="AJ23" i="249"/>
  <c r="AI23" i="249"/>
  <c r="AH23" i="249"/>
  <c r="AG23" i="249"/>
  <c r="U23" i="249"/>
  <c r="T23" i="249"/>
  <c r="R23" i="249"/>
  <c r="Q23" i="249"/>
  <c r="P23" i="249"/>
  <c r="N23" i="249"/>
  <c r="E23" i="249"/>
  <c r="AJ22" i="249"/>
  <c r="AI22" i="249"/>
  <c r="AH22" i="249"/>
  <c r="AG22" i="249"/>
  <c r="U22" i="249"/>
  <c r="T22" i="249"/>
  <c r="R22" i="249"/>
  <c r="Q22" i="249"/>
  <c r="P22" i="249"/>
  <c r="N22" i="249"/>
  <c r="E22" i="249"/>
  <c r="AF9" i="249" s="1"/>
  <c r="AJ21" i="249"/>
  <c r="AI21" i="249"/>
  <c r="AH21" i="249"/>
  <c r="AG21" i="249"/>
  <c r="U21" i="249"/>
  <c r="T21" i="249"/>
  <c r="R21" i="249"/>
  <c r="Q21" i="249"/>
  <c r="P21" i="249"/>
  <c r="N21" i="249"/>
  <c r="E21" i="249"/>
  <c r="AF29" i="249" s="1"/>
  <c r="AJ20" i="249"/>
  <c r="AI20" i="249"/>
  <c r="AH20" i="249"/>
  <c r="AG20" i="249"/>
  <c r="U20" i="249"/>
  <c r="T20" i="249"/>
  <c r="R20" i="249"/>
  <c r="Q20" i="249"/>
  <c r="P20" i="249"/>
  <c r="N20" i="249"/>
  <c r="E20" i="249"/>
  <c r="AF19" i="249" s="1"/>
  <c r="AJ19" i="249"/>
  <c r="AI19" i="249"/>
  <c r="AH19" i="249"/>
  <c r="AG19" i="249"/>
  <c r="U19" i="249"/>
  <c r="T19" i="249"/>
  <c r="R19" i="249"/>
  <c r="Q19" i="249"/>
  <c r="P19" i="249"/>
  <c r="N19" i="249"/>
  <c r="E19" i="249"/>
  <c r="AF28" i="249" s="1"/>
  <c r="AJ18" i="249"/>
  <c r="AI18" i="249"/>
  <c r="AH18" i="249"/>
  <c r="AG18" i="249"/>
  <c r="U18" i="249"/>
  <c r="T18" i="249"/>
  <c r="R18" i="249"/>
  <c r="Q18" i="249"/>
  <c r="M18" i="249" s="1"/>
  <c r="AK8" i="249" s="1"/>
  <c r="P18" i="249"/>
  <c r="N18" i="249"/>
  <c r="E18" i="249"/>
  <c r="AF8" i="249" s="1"/>
  <c r="AJ17" i="249"/>
  <c r="AI17" i="249"/>
  <c r="AH17" i="249"/>
  <c r="AG17" i="249"/>
  <c r="U17" i="249"/>
  <c r="T17" i="249"/>
  <c r="R17" i="249"/>
  <c r="Q17" i="249"/>
  <c r="P17" i="249"/>
  <c r="N17" i="249"/>
  <c r="E17" i="249"/>
  <c r="AF27" i="249" s="1"/>
  <c r="AJ16" i="249"/>
  <c r="AI16" i="249"/>
  <c r="AH16" i="249"/>
  <c r="AG16" i="249"/>
  <c r="U16" i="249"/>
  <c r="T16" i="249"/>
  <c r="R16" i="249"/>
  <c r="Q16" i="249"/>
  <c r="P16" i="249"/>
  <c r="N16" i="249"/>
  <c r="E16" i="249"/>
  <c r="AF26" i="249" s="1"/>
  <c r="AJ15" i="249"/>
  <c r="AI15" i="249"/>
  <c r="AH15" i="249"/>
  <c r="AG15" i="249"/>
  <c r="U15" i="249"/>
  <c r="T15" i="249"/>
  <c r="R15" i="249"/>
  <c r="Q15" i="249"/>
  <c r="P15" i="249"/>
  <c r="N15" i="249"/>
  <c r="E15" i="249"/>
  <c r="AF18" i="249" s="1"/>
  <c r="AJ14" i="249"/>
  <c r="AI14" i="249"/>
  <c r="AH14" i="249"/>
  <c r="AG14" i="249"/>
  <c r="U14" i="249"/>
  <c r="T14" i="249"/>
  <c r="R14" i="249"/>
  <c r="Q14" i="249"/>
  <c r="P14" i="249"/>
  <c r="N14" i="249"/>
  <c r="E14" i="249"/>
  <c r="AF17" i="249" s="1"/>
  <c r="AJ13" i="249"/>
  <c r="AI13" i="249"/>
  <c r="AH13" i="249"/>
  <c r="AG13" i="249"/>
  <c r="U13" i="249"/>
  <c r="T13" i="249"/>
  <c r="R13" i="249"/>
  <c r="Q13" i="249"/>
  <c r="M13" i="249" s="1"/>
  <c r="AK16" i="249" s="1"/>
  <c r="P13" i="249"/>
  <c r="N13" i="249"/>
  <c r="E13" i="249"/>
  <c r="AF16" i="249" s="1"/>
  <c r="AJ12" i="249"/>
  <c r="AI12" i="249"/>
  <c r="AH12" i="249"/>
  <c r="AG12" i="249"/>
  <c r="U12" i="249"/>
  <c r="T12" i="249"/>
  <c r="R12" i="249"/>
  <c r="Q12" i="249"/>
  <c r="P12" i="249"/>
  <c r="N12" i="249"/>
  <c r="E12" i="249"/>
  <c r="AF7" i="249" s="1"/>
  <c r="AJ11" i="249"/>
  <c r="AI11" i="249"/>
  <c r="AH11" i="249"/>
  <c r="AG11" i="249"/>
  <c r="AF11" i="249"/>
  <c r="U11" i="249"/>
  <c r="T11" i="249"/>
  <c r="R11" i="249"/>
  <c r="Q11" i="249"/>
  <c r="P11" i="249"/>
  <c r="N11" i="249"/>
  <c r="E11" i="249"/>
  <c r="AJ10" i="249"/>
  <c r="AI10" i="249"/>
  <c r="AH10" i="249"/>
  <c r="AG10" i="249"/>
  <c r="AF10" i="249"/>
  <c r="U10" i="249"/>
  <c r="T10" i="249"/>
  <c r="R10" i="249"/>
  <c r="Q10" i="249"/>
  <c r="P10" i="249"/>
  <c r="N10" i="249"/>
  <c r="E10" i="249"/>
  <c r="AF6" i="249" s="1"/>
  <c r="AJ9" i="249"/>
  <c r="AI9" i="249"/>
  <c r="AH9" i="249"/>
  <c r="AG9" i="249"/>
  <c r="U9" i="249"/>
  <c r="T9" i="249"/>
  <c r="R9" i="249"/>
  <c r="Q9" i="249"/>
  <c r="P9" i="249"/>
  <c r="N9" i="249"/>
  <c r="E9" i="249"/>
  <c r="AF15" i="249" s="1"/>
  <c r="AJ8" i="249"/>
  <c r="AI8" i="249"/>
  <c r="AH8" i="249"/>
  <c r="AG8" i="249"/>
  <c r="U8" i="249"/>
  <c r="T8" i="249"/>
  <c r="R8" i="249"/>
  <c r="Q8" i="249"/>
  <c r="P8" i="249"/>
  <c r="N8" i="249"/>
  <c r="E8" i="249"/>
  <c r="AJ7" i="249"/>
  <c r="AI7" i="249"/>
  <c r="AH7" i="249"/>
  <c r="AG7" i="249"/>
  <c r="U7" i="249"/>
  <c r="T7" i="249"/>
  <c r="R7" i="249"/>
  <c r="Q7" i="249"/>
  <c r="P7" i="249"/>
  <c r="N7" i="249"/>
  <c r="E7" i="249"/>
  <c r="AF23" i="249" s="1"/>
  <c r="AJ6" i="249"/>
  <c r="AI6" i="249"/>
  <c r="AH6" i="249"/>
  <c r="AG6" i="249"/>
  <c r="U6" i="249"/>
  <c r="T6" i="249"/>
  <c r="R6" i="249"/>
  <c r="Q6" i="249"/>
  <c r="P6" i="249"/>
  <c r="N6" i="249"/>
  <c r="E6" i="249"/>
  <c r="T46" i="248"/>
  <c r="R46" i="248"/>
  <c r="Q46" i="248"/>
  <c r="M46" i="248" s="1"/>
  <c r="P46" i="248"/>
  <c r="N46" i="248"/>
  <c r="T45" i="248"/>
  <c r="R45" i="248"/>
  <c r="Q45" i="248"/>
  <c r="P45" i="248"/>
  <c r="N45" i="248"/>
  <c r="T44" i="248"/>
  <c r="R44" i="248"/>
  <c r="Q44" i="248"/>
  <c r="P44" i="248"/>
  <c r="N44" i="248"/>
  <c r="AJ31" i="248"/>
  <c r="AI31" i="248"/>
  <c r="AH31" i="248"/>
  <c r="AG31" i="248"/>
  <c r="AF31" i="248"/>
  <c r="U31" i="248"/>
  <c r="T31" i="248"/>
  <c r="R31" i="248"/>
  <c r="Q31" i="248"/>
  <c r="P31" i="248"/>
  <c r="N31" i="248"/>
  <c r="E31" i="248"/>
  <c r="AF22" i="248" s="1"/>
  <c r="AJ30" i="248"/>
  <c r="AI30" i="248"/>
  <c r="AH30" i="248"/>
  <c r="AG30" i="248"/>
  <c r="U30" i="248"/>
  <c r="T30" i="248"/>
  <c r="R30" i="248"/>
  <c r="Q30" i="248"/>
  <c r="M30" i="248" s="1"/>
  <c r="AK13" i="248" s="1"/>
  <c r="P30" i="248"/>
  <c r="N30" i="248"/>
  <c r="E30" i="248"/>
  <c r="AJ29" i="248"/>
  <c r="AI29" i="248"/>
  <c r="AH29" i="248"/>
  <c r="AG29" i="248"/>
  <c r="AF29" i="248"/>
  <c r="U29" i="248"/>
  <c r="T29" i="248"/>
  <c r="R29" i="248"/>
  <c r="Q29" i="248"/>
  <c r="P29" i="248"/>
  <c r="N29" i="248"/>
  <c r="E29" i="248"/>
  <c r="AF21" i="248" s="1"/>
  <c r="AJ28" i="248"/>
  <c r="AI28" i="248"/>
  <c r="AH28" i="248"/>
  <c r="AG28" i="248"/>
  <c r="U28" i="248"/>
  <c r="T28" i="248"/>
  <c r="R28" i="248"/>
  <c r="Q28" i="248"/>
  <c r="P28" i="248"/>
  <c r="N28" i="248"/>
  <c r="E28" i="248"/>
  <c r="AJ27" i="248"/>
  <c r="AI27" i="248"/>
  <c r="AH27" i="248"/>
  <c r="AG27" i="248"/>
  <c r="U27" i="248"/>
  <c r="T27" i="248"/>
  <c r="R27" i="248"/>
  <c r="M27" i="248" s="1"/>
  <c r="AK12" i="248" s="1"/>
  <c r="Q27" i="248"/>
  <c r="P27" i="248"/>
  <c r="N27" i="248"/>
  <c r="E27" i="248"/>
  <c r="AJ26" i="248"/>
  <c r="AI26" i="248"/>
  <c r="AH26" i="248"/>
  <c r="AG26" i="248"/>
  <c r="U26" i="248"/>
  <c r="T26" i="248"/>
  <c r="R26" i="248"/>
  <c r="Q26" i="248"/>
  <c r="P26" i="248"/>
  <c r="N26" i="248"/>
  <c r="E26" i="248"/>
  <c r="AF30" i="248" s="1"/>
  <c r="AJ25" i="248"/>
  <c r="AI25" i="248"/>
  <c r="AH25" i="248"/>
  <c r="AG25" i="248"/>
  <c r="U25" i="248"/>
  <c r="T25" i="248"/>
  <c r="R25" i="248"/>
  <c r="Q25" i="248"/>
  <c r="M25" i="248" s="1"/>
  <c r="AK20" i="248" s="1"/>
  <c r="P25" i="248"/>
  <c r="N25" i="248"/>
  <c r="E25" i="248"/>
  <c r="AF20" i="248" s="1"/>
  <c r="AJ24" i="248"/>
  <c r="AI24" i="248"/>
  <c r="AH24" i="248"/>
  <c r="AG24" i="248"/>
  <c r="U24" i="248"/>
  <c r="T24" i="248"/>
  <c r="R24" i="248"/>
  <c r="Q24" i="248"/>
  <c r="P24" i="248"/>
  <c r="N24" i="248"/>
  <c r="E24" i="248"/>
  <c r="AF11" i="248" s="1"/>
  <c r="AJ23" i="248"/>
  <c r="AI23" i="248"/>
  <c r="AH23" i="248"/>
  <c r="AG23" i="248"/>
  <c r="U23" i="248"/>
  <c r="T23" i="248"/>
  <c r="R23" i="248"/>
  <c r="Q23" i="248"/>
  <c r="P23" i="248"/>
  <c r="N23" i="248"/>
  <c r="E23" i="248"/>
  <c r="AF10" i="248" s="1"/>
  <c r="AJ22" i="248"/>
  <c r="AI22" i="248"/>
  <c r="AH22" i="248"/>
  <c r="AG22" i="248"/>
  <c r="U22" i="248"/>
  <c r="T22" i="248"/>
  <c r="R22" i="248"/>
  <c r="Q22" i="248"/>
  <c r="P22" i="248"/>
  <c r="N22" i="248"/>
  <c r="E22" i="248"/>
  <c r="AF9" i="248" s="1"/>
  <c r="AJ21" i="248"/>
  <c r="AI21" i="248"/>
  <c r="AH21" i="248"/>
  <c r="AG21" i="248"/>
  <c r="U21" i="248"/>
  <c r="T21" i="248"/>
  <c r="R21" i="248"/>
  <c r="Q21" i="248"/>
  <c r="M21" i="248" s="1"/>
  <c r="AK29" i="248" s="1"/>
  <c r="P21" i="248"/>
  <c r="N21" i="248"/>
  <c r="E21" i="248"/>
  <c r="AJ20" i="248"/>
  <c r="AI20" i="248"/>
  <c r="AH20" i="248"/>
  <c r="AG20" i="248"/>
  <c r="U20" i="248"/>
  <c r="T20" i="248"/>
  <c r="R20" i="248"/>
  <c r="Q20" i="248"/>
  <c r="P20" i="248"/>
  <c r="N20" i="248"/>
  <c r="E20" i="248"/>
  <c r="AF19" i="248" s="1"/>
  <c r="AJ19" i="248"/>
  <c r="AI19" i="248"/>
  <c r="AH19" i="248"/>
  <c r="AG19" i="248"/>
  <c r="U19" i="248"/>
  <c r="T19" i="248"/>
  <c r="R19" i="248"/>
  <c r="M19" i="248" s="1"/>
  <c r="AK28" i="248" s="1"/>
  <c r="Q19" i="248"/>
  <c r="P19" i="248"/>
  <c r="N19" i="248"/>
  <c r="E19" i="248"/>
  <c r="AF28" i="248" s="1"/>
  <c r="AJ18" i="248"/>
  <c r="AI18" i="248"/>
  <c r="AH18" i="248"/>
  <c r="AG18" i="248"/>
  <c r="U18" i="248"/>
  <c r="T18" i="248"/>
  <c r="R18" i="248"/>
  <c r="Q18" i="248"/>
  <c r="P18" i="248"/>
  <c r="N18" i="248"/>
  <c r="E18" i="248"/>
  <c r="AF8" i="248" s="1"/>
  <c r="AJ17" i="248"/>
  <c r="AI17" i="248"/>
  <c r="AH17" i="248"/>
  <c r="AG17" i="248"/>
  <c r="U17" i="248"/>
  <c r="T17" i="248"/>
  <c r="R17" i="248"/>
  <c r="Q17" i="248"/>
  <c r="M17" i="248" s="1"/>
  <c r="AK27" i="248" s="1"/>
  <c r="P17" i="248"/>
  <c r="N17" i="248"/>
  <c r="E17" i="248"/>
  <c r="AF27" i="248" s="1"/>
  <c r="AJ16" i="248"/>
  <c r="AI16" i="248"/>
  <c r="AH16" i="248"/>
  <c r="AG16" i="248"/>
  <c r="U16" i="248"/>
  <c r="T16" i="248"/>
  <c r="R16" i="248"/>
  <c r="Q16" i="248"/>
  <c r="P16" i="248"/>
  <c r="N16" i="248"/>
  <c r="E16" i="248"/>
  <c r="AF26" i="248" s="1"/>
  <c r="AJ15" i="248"/>
  <c r="AI15" i="248"/>
  <c r="AH15" i="248"/>
  <c r="AG15" i="248"/>
  <c r="U15" i="248"/>
  <c r="T15" i="248"/>
  <c r="R15" i="248"/>
  <c r="Q15" i="248"/>
  <c r="P15" i="248"/>
  <c r="N15" i="248"/>
  <c r="E15" i="248"/>
  <c r="AF18" i="248" s="1"/>
  <c r="AJ14" i="248"/>
  <c r="AI14" i="248"/>
  <c r="AH14" i="248"/>
  <c r="AG14" i="248"/>
  <c r="U14" i="248"/>
  <c r="T14" i="248"/>
  <c r="R14" i="248"/>
  <c r="Q14" i="248"/>
  <c r="M14" i="248" s="1"/>
  <c r="AK17" i="248" s="1"/>
  <c r="P14" i="248"/>
  <c r="N14" i="248"/>
  <c r="E14" i="248"/>
  <c r="AF17" i="248" s="1"/>
  <c r="AJ13" i="248"/>
  <c r="AI13" i="248"/>
  <c r="AH13" i="248"/>
  <c r="AG13" i="248"/>
  <c r="AF13" i="248"/>
  <c r="U13" i="248"/>
  <c r="T13" i="248"/>
  <c r="R13" i="248"/>
  <c r="Q13" i="248"/>
  <c r="M13" i="248" s="1"/>
  <c r="AK16" i="248" s="1"/>
  <c r="P13" i="248"/>
  <c r="N13" i="248"/>
  <c r="E13" i="248"/>
  <c r="AF16" i="248" s="1"/>
  <c r="AJ12" i="248"/>
  <c r="AI12" i="248"/>
  <c r="AH12" i="248"/>
  <c r="AG12" i="248"/>
  <c r="AF12" i="248"/>
  <c r="U12" i="248"/>
  <c r="T12" i="248"/>
  <c r="R12" i="248"/>
  <c r="Q12" i="248"/>
  <c r="P12" i="248"/>
  <c r="N12" i="248"/>
  <c r="E12" i="248"/>
  <c r="AF7" i="248" s="1"/>
  <c r="AJ11" i="248"/>
  <c r="AI11" i="248"/>
  <c r="AH11" i="248"/>
  <c r="AG11" i="248"/>
  <c r="U11" i="248"/>
  <c r="T11" i="248"/>
  <c r="R11" i="248"/>
  <c r="Q11" i="248"/>
  <c r="M11" i="248" s="1"/>
  <c r="AK25" i="248" s="1"/>
  <c r="P11" i="248"/>
  <c r="N11" i="248"/>
  <c r="E11" i="248"/>
  <c r="AF25" i="248" s="1"/>
  <c r="AJ10" i="248"/>
  <c r="AI10" i="248"/>
  <c r="AH10" i="248"/>
  <c r="AG10" i="248"/>
  <c r="U10" i="248"/>
  <c r="T10" i="248"/>
  <c r="R10" i="248"/>
  <c r="Q10" i="248"/>
  <c r="P10" i="248"/>
  <c r="N10" i="248"/>
  <c r="E10" i="248"/>
  <c r="AF6" i="248" s="1"/>
  <c r="AJ9" i="248"/>
  <c r="AI9" i="248"/>
  <c r="AH9" i="248"/>
  <c r="AG9" i="248"/>
  <c r="U9" i="248"/>
  <c r="T9" i="248"/>
  <c r="R9" i="248"/>
  <c r="Q9" i="248"/>
  <c r="P9" i="248"/>
  <c r="N9" i="248"/>
  <c r="E9" i="248"/>
  <c r="AF15" i="248" s="1"/>
  <c r="AJ8" i="248"/>
  <c r="AI8" i="248"/>
  <c r="AH8" i="248"/>
  <c r="AG8" i="248"/>
  <c r="U8" i="248"/>
  <c r="T8" i="248"/>
  <c r="R8" i="248"/>
  <c r="Q8" i="248"/>
  <c r="P8" i="248"/>
  <c r="N8" i="248"/>
  <c r="E8" i="248"/>
  <c r="AF24" i="248" s="1"/>
  <c r="AJ7" i="248"/>
  <c r="AI7" i="248"/>
  <c r="AH7" i="248"/>
  <c r="AG7" i="248"/>
  <c r="U7" i="248"/>
  <c r="T7" i="248"/>
  <c r="R7" i="248"/>
  <c r="Q7" i="248"/>
  <c r="P7" i="248"/>
  <c r="N7" i="248"/>
  <c r="E7" i="248"/>
  <c r="AF23" i="248" s="1"/>
  <c r="AJ6" i="248"/>
  <c r="AI6" i="248"/>
  <c r="AH6" i="248"/>
  <c r="AG6" i="248"/>
  <c r="U6" i="248"/>
  <c r="T6" i="248"/>
  <c r="R6" i="248"/>
  <c r="Q6" i="248"/>
  <c r="M6" i="248" s="1"/>
  <c r="AK14" i="248" s="1"/>
  <c r="P6" i="248"/>
  <c r="N6" i="248"/>
  <c r="E6" i="248"/>
  <c r="T46" i="247"/>
  <c r="R46" i="247"/>
  <c r="Q46" i="247"/>
  <c r="M46" i="247" s="1"/>
  <c r="P46" i="247"/>
  <c r="N46" i="247"/>
  <c r="T45" i="247"/>
  <c r="R45" i="247"/>
  <c r="Q45" i="247"/>
  <c r="P45" i="247"/>
  <c r="N45" i="247"/>
  <c r="T44" i="247"/>
  <c r="R44" i="247"/>
  <c r="Q44" i="247"/>
  <c r="M44" i="247" s="1"/>
  <c r="P44" i="247"/>
  <c r="N44" i="247"/>
  <c r="AJ31" i="247"/>
  <c r="AI31" i="247"/>
  <c r="AH31" i="247"/>
  <c r="AG31" i="247"/>
  <c r="U31" i="247"/>
  <c r="T31" i="247"/>
  <c r="R31" i="247"/>
  <c r="Q31" i="247"/>
  <c r="M31" i="247" s="1"/>
  <c r="AK22" i="247" s="1"/>
  <c r="P31" i="247"/>
  <c r="N31" i="247"/>
  <c r="E31" i="247"/>
  <c r="AF22" i="247" s="1"/>
  <c r="AJ30" i="247"/>
  <c r="AI30" i="247"/>
  <c r="AH30" i="247"/>
  <c r="AG30" i="247"/>
  <c r="U30" i="247"/>
  <c r="T30" i="247"/>
  <c r="R30" i="247"/>
  <c r="Q30" i="247"/>
  <c r="M30" i="247" s="1"/>
  <c r="AK13" i="247" s="1"/>
  <c r="P30" i="247"/>
  <c r="N30" i="247"/>
  <c r="E30" i="247"/>
  <c r="AJ29" i="247"/>
  <c r="AI29" i="247"/>
  <c r="AH29" i="247"/>
  <c r="AG29" i="247"/>
  <c r="U29" i="247"/>
  <c r="T29" i="247"/>
  <c r="R29" i="247"/>
  <c r="Q29" i="247"/>
  <c r="P29" i="247"/>
  <c r="N29" i="247"/>
  <c r="E29" i="247"/>
  <c r="AF21" i="247" s="1"/>
  <c r="AJ28" i="247"/>
  <c r="AI28" i="247"/>
  <c r="AH28" i="247"/>
  <c r="AG28" i="247"/>
  <c r="U28" i="247"/>
  <c r="T28" i="247"/>
  <c r="R28" i="247"/>
  <c r="Q28" i="247"/>
  <c r="P28" i="247"/>
  <c r="N28" i="247"/>
  <c r="E28" i="247"/>
  <c r="AF31" i="247" s="1"/>
  <c r="AJ27" i="247"/>
  <c r="AI27" i="247"/>
  <c r="AH27" i="247"/>
  <c r="AG27" i="247"/>
  <c r="U27" i="247"/>
  <c r="T27" i="247"/>
  <c r="R27" i="247"/>
  <c r="Q27" i="247"/>
  <c r="P27" i="247"/>
  <c r="N27" i="247"/>
  <c r="E27" i="247"/>
  <c r="AJ26" i="247"/>
  <c r="AI26" i="247"/>
  <c r="AH26" i="247"/>
  <c r="AG26" i="247"/>
  <c r="U26" i="247"/>
  <c r="T26" i="247"/>
  <c r="R26" i="247"/>
  <c r="Q26" i="247"/>
  <c r="M26" i="247" s="1"/>
  <c r="AK30" i="247" s="1"/>
  <c r="P26" i="247"/>
  <c r="N26" i="247"/>
  <c r="E26" i="247"/>
  <c r="AF30" i="247" s="1"/>
  <c r="AJ25" i="247"/>
  <c r="AI25" i="247"/>
  <c r="AH25" i="247"/>
  <c r="AG25" i="247"/>
  <c r="U25" i="247"/>
  <c r="T25" i="247"/>
  <c r="R25" i="247"/>
  <c r="Q25" i="247"/>
  <c r="P25" i="247"/>
  <c r="N25" i="247"/>
  <c r="E25" i="247"/>
  <c r="AF20" i="247" s="1"/>
  <c r="AJ24" i="247"/>
  <c r="AI24" i="247"/>
  <c r="AH24" i="247"/>
  <c r="AG24" i="247"/>
  <c r="U24" i="247"/>
  <c r="T24" i="247"/>
  <c r="R24" i="247"/>
  <c r="Q24" i="247"/>
  <c r="P24" i="247"/>
  <c r="N24" i="247"/>
  <c r="E24" i="247"/>
  <c r="AF11" i="247" s="1"/>
  <c r="AJ23" i="247"/>
  <c r="AI23" i="247"/>
  <c r="AH23" i="247"/>
  <c r="AG23" i="247"/>
  <c r="U23" i="247"/>
  <c r="T23" i="247"/>
  <c r="R23" i="247"/>
  <c r="Q23" i="247"/>
  <c r="P23" i="247"/>
  <c r="N23" i="247"/>
  <c r="E23" i="247"/>
  <c r="AJ22" i="247"/>
  <c r="AI22" i="247"/>
  <c r="AH22" i="247"/>
  <c r="AG22" i="247"/>
  <c r="U22" i="247"/>
  <c r="T22" i="247"/>
  <c r="R22" i="247"/>
  <c r="Q22" i="247"/>
  <c r="M22" i="247" s="1"/>
  <c r="AK9" i="247" s="1"/>
  <c r="P22" i="247"/>
  <c r="N22" i="247"/>
  <c r="E22" i="247"/>
  <c r="AJ21" i="247"/>
  <c r="AI21" i="247"/>
  <c r="AH21" i="247"/>
  <c r="AG21" i="247"/>
  <c r="U21" i="247"/>
  <c r="T21" i="247"/>
  <c r="R21" i="247"/>
  <c r="Q21" i="247"/>
  <c r="P21" i="247"/>
  <c r="N21" i="247"/>
  <c r="E21" i="247"/>
  <c r="AF29" i="247" s="1"/>
  <c r="AJ20" i="247"/>
  <c r="AI20" i="247"/>
  <c r="AH20" i="247"/>
  <c r="AG20" i="247"/>
  <c r="U20" i="247"/>
  <c r="T20" i="247"/>
  <c r="R20" i="247"/>
  <c r="Q20" i="247"/>
  <c r="P20" i="247"/>
  <c r="N20" i="247"/>
  <c r="E20" i="247"/>
  <c r="AJ19" i="247"/>
  <c r="AI19" i="247"/>
  <c r="AH19" i="247"/>
  <c r="AG19" i="247"/>
  <c r="AF19" i="247"/>
  <c r="U19" i="247"/>
  <c r="T19" i="247"/>
  <c r="R19" i="247"/>
  <c r="Q19" i="247"/>
  <c r="M19" i="247" s="1"/>
  <c r="AK28" i="247" s="1"/>
  <c r="P19" i="247"/>
  <c r="N19" i="247"/>
  <c r="E19" i="247"/>
  <c r="AF28" i="247" s="1"/>
  <c r="AJ18" i="247"/>
  <c r="AI18" i="247"/>
  <c r="AH18" i="247"/>
  <c r="AG18" i="247"/>
  <c r="U18" i="247"/>
  <c r="T18" i="247"/>
  <c r="R18" i="247"/>
  <c r="Q18" i="247"/>
  <c r="M18" i="247" s="1"/>
  <c r="AK8" i="247" s="1"/>
  <c r="P18" i="247"/>
  <c r="N18" i="247"/>
  <c r="E18" i="247"/>
  <c r="AF8" i="247" s="1"/>
  <c r="AJ17" i="247"/>
  <c r="AI17" i="247"/>
  <c r="AH17" i="247"/>
  <c r="AG17" i="247"/>
  <c r="U17" i="247"/>
  <c r="T17" i="247"/>
  <c r="R17" i="247"/>
  <c r="Q17" i="247"/>
  <c r="M17" i="247" s="1"/>
  <c r="AK27" i="247" s="1"/>
  <c r="P17" i="247"/>
  <c r="N17" i="247"/>
  <c r="E17" i="247"/>
  <c r="AF27" i="247" s="1"/>
  <c r="AJ16" i="247"/>
  <c r="AI16" i="247"/>
  <c r="AH16" i="247"/>
  <c r="AG16" i="247"/>
  <c r="U16" i="247"/>
  <c r="T16" i="247"/>
  <c r="R16" i="247"/>
  <c r="Q16" i="247"/>
  <c r="P16" i="247"/>
  <c r="N16" i="247"/>
  <c r="E16" i="247"/>
  <c r="AF26" i="247" s="1"/>
  <c r="AJ15" i="247"/>
  <c r="AI15" i="247"/>
  <c r="AH15" i="247"/>
  <c r="AG15" i="247"/>
  <c r="U15" i="247"/>
  <c r="T15" i="247"/>
  <c r="R15" i="247"/>
  <c r="Q15" i="247"/>
  <c r="P15" i="247"/>
  <c r="N15" i="247"/>
  <c r="E15" i="247"/>
  <c r="AF18" i="247" s="1"/>
  <c r="AJ14" i="247"/>
  <c r="AI14" i="247"/>
  <c r="AH14" i="247"/>
  <c r="AC17" i="247" s="1"/>
  <c r="AG14" i="247"/>
  <c r="U14" i="247"/>
  <c r="T14" i="247"/>
  <c r="R14" i="247"/>
  <c r="Q14" i="247"/>
  <c r="P14" i="247"/>
  <c r="N14" i="247"/>
  <c r="E14" i="247"/>
  <c r="AF17" i="247" s="1"/>
  <c r="AJ13" i="247"/>
  <c r="AI13" i="247"/>
  <c r="AH13" i="247"/>
  <c r="AG13" i="247"/>
  <c r="AF13" i="247"/>
  <c r="U13" i="247"/>
  <c r="T13" i="247"/>
  <c r="R13" i="247"/>
  <c r="Q13" i="247"/>
  <c r="M13" i="247" s="1"/>
  <c r="AK16" i="247" s="1"/>
  <c r="P13" i="247"/>
  <c r="N13" i="247"/>
  <c r="E13" i="247"/>
  <c r="AF16" i="247" s="1"/>
  <c r="AJ12" i="247"/>
  <c r="AI12" i="247"/>
  <c r="AH12" i="247"/>
  <c r="AG12" i="247"/>
  <c r="AF12" i="247"/>
  <c r="U12" i="247"/>
  <c r="T12" i="247"/>
  <c r="R12" i="247"/>
  <c r="Q12" i="247"/>
  <c r="P12" i="247"/>
  <c r="N12" i="247"/>
  <c r="E12" i="247"/>
  <c r="AF7" i="247" s="1"/>
  <c r="AJ11" i="247"/>
  <c r="AI11" i="247"/>
  <c r="AH11" i="247"/>
  <c r="AG11" i="247"/>
  <c r="U11" i="247"/>
  <c r="T11" i="247"/>
  <c r="R11" i="247"/>
  <c r="Q11" i="247"/>
  <c r="M11" i="247" s="1"/>
  <c r="AK25" i="247" s="1"/>
  <c r="P11" i="247"/>
  <c r="N11" i="247"/>
  <c r="E11" i="247"/>
  <c r="AF25" i="247" s="1"/>
  <c r="AJ10" i="247"/>
  <c r="AI10" i="247"/>
  <c r="AH10" i="247"/>
  <c r="AG10" i="247"/>
  <c r="AF10" i="247"/>
  <c r="U10" i="247"/>
  <c r="T10" i="247"/>
  <c r="R10" i="247"/>
  <c r="Q10" i="247"/>
  <c r="M10" i="247" s="1"/>
  <c r="AK6" i="247" s="1"/>
  <c r="P10" i="247"/>
  <c r="N10" i="247"/>
  <c r="E10" i="247"/>
  <c r="AJ9" i="247"/>
  <c r="AI9" i="247"/>
  <c r="AH9" i="247"/>
  <c r="AG9" i="247"/>
  <c r="AF9" i="247"/>
  <c r="U9" i="247"/>
  <c r="T9" i="247"/>
  <c r="R9" i="247"/>
  <c r="Q9" i="247"/>
  <c r="P9" i="247"/>
  <c r="N9" i="247"/>
  <c r="E9" i="247"/>
  <c r="AF15" i="247" s="1"/>
  <c r="AJ8" i="247"/>
  <c r="AI8" i="247"/>
  <c r="AH8" i="247"/>
  <c r="AG8" i="247"/>
  <c r="U8" i="247"/>
  <c r="T8" i="247"/>
  <c r="R8" i="247"/>
  <c r="Q8" i="247"/>
  <c r="P8" i="247"/>
  <c r="N8" i="247"/>
  <c r="E8" i="247"/>
  <c r="AF24" i="247" s="1"/>
  <c r="AJ7" i="247"/>
  <c r="AI7" i="247"/>
  <c r="AH7" i="247"/>
  <c r="AG7" i="247"/>
  <c r="U7" i="247"/>
  <c r="T7" i="247"/>
  <c r="R7" i="247"/>
  <c r="Q7" i="247"/>
  <c r="M7" i="247" s="1"/>
  <c r="AK23" i="247" s="1"/>
  <c r="P7" i="247"/>
  <c r="N7" i="247"/>
  <c r="E7" i="247"/>
  <c r="AF23" i="247" s="1"/>
  <c r="AJ6" i="247"/>
  <c r="AI6" i="247"/>
  <c r="AH6" i="247"/>
  <c r="AG6" i="247"/>
  <c r="U6" i="247"/>
  <c r="T6" i="247"/>
  <c r="R6" i="247"/>
  <c r="Q6" i="247"/>
  <c r="P6" i="247"/>
  <c r="N6" i="247"/>
  <c r="E6" i="247"/>
  <c r="M29" i="247" l="1"/>
  <c r="AK21" i="247" s="1"/>
  <c r="M7" i="249"/>
  <c r="AK23" i="249" s="1"/>
  <c r="M12" i="247"/>
  <c r="AK7" i="247" s="1"/>
  <c r="M9" i="248"/>
  <c r="AK15" i="248" s="1"/>
  <c r="M16" i="248"/>
  <c r="AK26" i="248" s="1"/>
  <c r="M10" i="249"/>
  <c r="AK6" i="249" s="1"/>
  <c r="M12" i="249"/>
  <c r="AK7" i="249" s="1"/>
  <c r="M25" i="247"/>
  <c r="AK20" i="247" s="1"/>
  <c r="M15" i="247"/>
  <c r="AK18" i="247" s="1"/>
  <c r="M20" i="247"/>
  <c r="AK19" i="247" s="1"/>
  <c r="M28" i="247"/>
  <c r="AK31" i="247" s="1"/>
  <c r="M10" i="248"/>
  <c r="AK6" i="248" s="1"/>
  <c r="M23" i="249"/>
  <c r="AK10" i="249" s="1"/>
  <c r="O6" i="248"/>
  <c r="M8" i="248"/>
  <c r="AK24" i="248" s="1"/>
  <c r="M24" i="248"/>
  <c r="AK11" i="248" s="1"/>
  <c r="M28" i="248"/>
  <c r="AK31" i="248" s="1"/>
  <c r="M29" i="248"/>
  <c r="AK21" i="248" s="1"/>
  <c r="M45" i="248"/>
  <c r="M22" i="248"/>
  <c r="AK9" i="248" s="1"/>
  <c r="AB24" i="248"/>
  <c r="M7" i="248"/>
  <c r="AK23" i="248" s="1"/>
  <c r="AB9" i="248"/>
  <c r="M20" i="248"/>
  <c r="AK19" i="248" s="1"/>
  <c r="M44" i="248"/>
  <c r="M29" i="249"/>
  <c r="AK21" i="249" s="1"/>
  <c r="M15" i="249"/>
  <c r="AK18" i="249" s="1"/>
  <c r="AC20" i="249"/>
  <c r="M21" i="249"/>
  <c r="AK29" i="249" s="1"/>
  <c r="M28" i="249"/>
  <c r="AK31" i="249" s="1"/>
  <c r="M45" i="249"/>
  <c r="M8" i="247"/>
  <c r="AK24" i="247" s="1"/>
  <c r="M14" i="247"/>
  <c r="AK17" i="247" s="1"/>
  <c r="O30" i="247"/>
  <c r="M21" i="247"/>
  <c r="AK29" i="247" s="1"/>
  <c r="M23" i="247"/>
  <c r="AK10" i="247" s="1"/>
  <c r="O9" i="247"/>
  <c r="M27" i="247"/>
  <c r="AK12" i="247" s="1"/>
  <c r="S13" i="249"/>
  <c r="O7" i="249"/>
  <c r="AB26" i="249"/>
  <c r="O30" i="249"/>
  <c r="M9" i="249"/>
  <c r="AK15" i="249" s="1"/>
  <c r="M20" i="249"/>
  <c r="AK19" i="249" s="1"/>
  <c r="M22" i="249"/>
  <c r="AK9" i="249" s="1"/>
  <c r="M8" i="249"/>
  <c r="AK24" i="249" s="1"/>
  <c r="M16" i="249"/>
  <c r="AK26" i="249" s="1"/>
  <c r="AF14" i="249"/>
  <c r="S24" i="249"/>
  <c r="S11" i="249"/>
  <c r="O46" i="249"/>
  <c r="M24" i="249"/>
  <c r="AK11" i="249" s="1"/>
  <c r="M17" i="249"/>
  <c r="AK27" i="249" s="1"/>
  <c r="M19" i="249"/>
  <c r="AK28" i="249" s="1"/>
  <c r="AB13" i="249"/>
  <c r="AC12" i="249"/>
  <c r="AB30" i="249"/>
  <c r="AB19" i="249"/>
  <c r="AC23" i="249"/>
  <c r="J46" i="249" s="1"/>
  <c r="AD25" i="249"/>
  <c r="AB18" i="249"/>
  <c r="AB30" i="248"/>
  <c r="S15" i="248"/>
  <c r="O44" i="248"/>
  <c r="M12" i="248"/>
  <c r="AK7" i="248" s="1"/>
  <c r="O8" i="248"/>
  <c r="S12" i="248"/>
  <c r="S31" i="248"/>
  <c r="AD18" i="248"/>
  <c r="AB14" i="248"/>
  <c r="S23" i="248"/>
  <c r="AC13" i="248"/>
  <c r="AC27" i="248"/>
  <c r="AB13" i="248"/>
  <c r="AB10" i="248"/>
  <c r="AD26" i="248"/>
  <c r="AB29" i="248"/>
  <c r="AB6" i="248"/>
  <c r="AC22" i="248"/>
  <c r="AB12" i="248"/>
  <c r="AB22" i="248"/>
  <c r="AC19" i="248"/>
  <c r="AB16" i="248"/>
  <c r="AD8" i="248"/>
  <c r="AB21" i="248"/>
  <c r="AD24" i="248"/>
  <c r="AB11" i="247"/>
  <c r="M16" i="247"/>
  <c r="AK26" i="247" s="1"/>
  <c r="M9" i="247"/>
  <c r="AK15" i="247" s="1"/>
  <c r="AD14" i="247"/>
  <c r="K45" i="247" s="1"/>
  <c r="M24" i="247"/>
  <c r="AK11" i="247" s="1"/>
  <c r="M45" i="247"/>
  <c r="AB20" i="247"/>
  <c r="AD6" i="247"/>
  <c r="K44" i="247" s="1"/>
  <c r="S24" i="247"/>
  <c r="AB28" i="247"/>
  <c r="AF14" i="247"/>
  <c r="AB12" i="247"/>
  <c r="M6" i="247"/>
  <c r="AK14" i="247" s="1"/>
  <c r="AD29" i="247"/>
  <c r="AB17" i="247"/>
  <c r="AB19" i="247"/>
  <c r="AB15" i="247"/>
  <c r="AC30" i="247"/>
  <c r="AB25" i="247"/>
  <c r="AB27" i="247"/>
  <c r="AB23" i="247"/>
  <c r="AD20" i="247"/>
  <c r="AC9" i="247"/>
  <c r="AB9" i="247"/>
  <c r="AC22" i="247"/>
  <c r="AB30" i="247"/>
  <c r="AD11" i="247"/>
  <c r="AD12" i="247"/>
  <c r="AB22" i="247"/>
  <c r="AB13" i="247"/>
  <c r="AC25" i="247"/>
  <c r="AD19" i="248"/>
  <c r="AC24" i="248"/>
  <c r="AD27" i="248"/>
  <c r="AB10" i="249"/>
  <c r="AB15" i="249"/>
  <c r="AB17" i="249"/>
  <c r="O20" i="249"/>
  <c r="AD20" i="249"/>
  <c r="S27" i="249"/>
  <c r="AB28" i="249"/>
  <c r="O16" i="248"/>
  <c r="AD16" i="248"/>
  <c r="AB17" i="248"/>
  <c r="O24" i="248"/>
  <c r="AB25" i="248"/>
  <c r="AD11" i="249"/>
  <c r="AC9" i="249"/>
  <c r="AB11" i="249"/>
  <c r="AD14" i="249"/>
  <c r="K45" i="249" s="1"/>
  <c r="AC15" i="249"/>
  <c r="AB16" i="249"/>
  <c r="AB21" i="249"/>
  <c r="AC28" i="249"/>
  <c r="S30" i="248"/>
  <c r="O26" i="248"/>
  <c r="S22" i="248"/>
  <c r="O18" i="248"/>
  <c r="S14" i="248"/>
  <c r="O10" i="248"/>
  <c r="S6" i="248"/>
  <c r="O45" i="248"/>
  <c r="O17" i="248"/>
  <c r="O9" i="248"/>
  <c r="O46" i="248"/>
  <c r="S44" i="248"/>
  <c r="O31" i="248"/>
  <c r="S27" i="248"/>
  <c r="O23" i="248"/>
  <c r="S19" i="248"/>
  <c r="O15" i="248"/>
  <c r="S11" i="248"/>
  <c r="O7" i="248"/>
  <c r="O25" i="248"/>
  <c r="S13" i="248"/>
  <c r="O28" i="248"/>
  <c r="S24" i="248"/>
  <c r="O20" i="248"/>
  <c r="S16" i="248"/>
  <c r="AF14" i="248"/>
  <c r="O12" i="248"/>
  <c r="S8" i="248"/>
  <c r="S29" i="248"/>
  <c r="S21" i="248"/>
  <c r="AC16" i="248"/>
  <c r="O19" i="248"/>
  <c r="AB20" i="248"/>
  <c r="O27" i="248"/>
  <c r="AB28" i="248"/>
  <c r="O25" i="249"/>
  <c r="S44" i="249"/>
  <c r="AC6" i="248"/>
  <c r="J44" i="248" s="1"/>
  <c r="AC9" i="248"/>
  <c r="AD6" i="248"/>
  <c r="K44" i="248" s="1"/>
  <c r="AB7" i="248"/>
  <c r="S10" i="248"/>
  <c r="M18" i="248"/>
  <c r="AK8" i="248" s="1"/>
  <c r="AB18" i="248"/>
  <c r="M26" i="248"/>
  <c r="AK30" i="248" s="1"/>
  <c r="AB26" i="248"/>
  <c r="M6" i="249"/>
  <c r="AK14" i="249" s="1"/>
  <c r="S8" i="249"/>
  <c r="AD9" i="249"/>
  <c r="M11" i="249"/>
  <c r="AK25" i="249" s="1"/>
  <c r="O15" i="249"/>
  <c r="AB23" i="249"/>
  <c r="AB25" i="249"/>
  <c r="O28" i="249"/>
  <c r="AD28" i="249"/>
  <c r="AB29" i="249"/>
  <c r="AC21" i="248"/>
  <c r="AC29" i="248"/>
  <c r="AD22" i="249"/>
  <c r="AB31" i="249"/>
  <c r="AC14" i="248"/>
  <c r="J45" i="248" s="1"/>
  <c r="S18" i="248"/>
  <c r="S20" i="248"/>
  <c r="AD21" i="248"/>
  <c r="AB31" i="248"/>
  <c r="O23" i="249"/>
  <c r="AD30" i="249"/>
  <c r="AC31" i="249"/>
  <c r="S7" i="248"/>
  <c r="AB8" i="248"/>
  <c r="AD10" i="248"/>
  <c r="AC11" i="248"/>
  <c r="O13" i="248"/>
  <c r="O14" i="248"/>
  <c r="M15" i="248"/>
  <c r="AK18" i="248" s="1"/>
  <c r="O21" i="248"/>
  <c r="O22" i="248"/>
  <c r="M23" i="248"/>
  <c r="AK10" i="248" s="1"/>
  <c r="O29" i="248"/>
  <c r="O30" i="248"/>
  <c r="M31" i="248"/>
  <c r="AK22" i="248" s="1"/>
  <c r="S45" i="248"/>
  <c r="S46" i="248"/>
  <c r="AB7" i="249"/>
  <c r="AF24" i="249"/>
  <c r="O26" i="249"/>
  <c r="S22" i="249"/>
  <c r="O18" i="249"/>
  <c r="S14" i="249"/>
  <c r="S6" i="249"/>
  <c r="S30" i="249"/>
  <c r="O10" i="249"/>
  <c r="AB9" i="249"/>
  <c r="M14" i="249"/>
  <c r="AK17" i="249" s="1"/>
  <c r="S16" i="249"/>
  <c r="AD17" i="249"/>
  <c r="S21" i="249"/>
  <c r="AB27" i="249"/>
  <c r="O31" i="249"/>
  <c r="O9" i="249"/>
  <c r="AD23" i="249"/>
  <c r="K46" i="249" s="1"/>
  <c r="AC29" i="249"/>
  <c r="AD26" i="249"/>
  <c r="AD31" i="249"/>
  <c r="AC26" i="249"/>
  <c r="AB24" i="249"/>
  <c r="O45" i="249"/>
  <c r="AC10" i="248"/>
  <c r="S9" i="248"/>
  <c r="AB11" i="248"/>
  <c r="AD13" i="248"/>
  <c r="AD22" i="248"/>
  <c r="AC17" i="248"/>
  <c r="AB15" i="248"/>
  <c r="AD14" i="248"/>
  <c r="K45" i="248" s="1"/>
  <c r="AD31" i="248"/>
  <c r="AC26" i="248"/>
  <c r="AD23" i="248"/>
  <c r="K46" i="248" s="1"/>
  <c r="AD30" i="248"/>
  <c r="AC31" i="248"/>
  <c r="AD28" i="248"/>
  <c r="AC23" i="248"/>
  <c r="J46" i="248" s="1"/>
  <c r="AC28" i="248"/>
  <c r="AD25" i="248"/>
  <c r="AB23" i="248"/>
  <c r="AC25" i="248"/>
  <c r="S26" i="248"/>
  <c r="S28" i="248"/>
  <c r="AD29" i="248"/>
  <c r="AC30" i="248"/>
  <c r="AB12" i="249"/>
  <c r="AC22" i="249"/>
  <c r="AC17" i="249"/>
  <c r="AC8" i="248"/>
  <c r="O11" i="248"/>
  <c r="AD11" i="248"/>
  <c r="AC18" i="248"/>
  <c r="S17" i="248"/>
  <c r="AB19" i="248"/>
  <c r="S25" i="248"/>
  <c r="AB27" i="248"/>
  <c r="AD6" i="249"/>
  <c r="K44" i="249" s="1"/>
  <c r="AC7" i="249"/>
  <c r="AB8" i="249"/>
  <c r="O12" i="249"/>
  <c r="AD12" i="249"/>
  <c r="O17" i="249"/>
  <c r="S19" i="249"/>
  <c r="AB20" i="249"/>
  <c r="AB22" i="249"/>
  <c r="AC30" i="249"/>
  <c r="AC25" i="249"/>
  <c r="M27" i="249"/>
  <c r="AK12" i="249" s="1"/>
  <c r="S29" i="249"/>
  <c r="M44" i="249"/>
  <c r="AD7" i="249"/>
  <c r="AC18" i="249"/>
  <c r="S9" i="249"/>
  <c r="AD10" i="249"/>
  <c r="AC13" i="249"/>
  <c r="S17" i="249"/>
  <c r="AD18" i="249"/>
  <c r="S25" i="249"/>
  <c r="AD9" i="248"/>
  <c r="AC12" i="248"/>
  <c r="AD17" i="248"/>
  <c r="AC20" i="248"/>
  <c r="O8" i="249"/>
  <c r="AC8" i="249"/>
  <c r="S12" i="249"/>
  <c r="AD13" i="249"/>
  <c r="O16" i="249"/>
  <c r="AC16" i="249"/>
  <c r="S20" i="249"/>
  <c r="AD21" i="249"/>
  <c r="O24" i="249"/>
  <c r="AC24" i="249"/>
  <c r="S28" i="249"/>
  <c r="AD29" i="249"/>
  <c r="O21" i="249"/>
  <c r="AC21" i="249"/>
  <c r="O29" i="249"/>
  <c r="S45" i="249"/>
  <c r="AC7" i="248"/>
  <c r="AD12" i="248"/>
  <c r="AC15" i="248"/>
  <c r="AD20" i="248"/>
  <c r="AB6" i="249"/>
  <c r="S7" i="249"/>
  <c r="AD8" i="249"/>
  <c r="O11" i="249"/>
  <c r="AC11" i="249"/>
  <c r="AB14" i="249"/>
  <c r="S15" i="249"/>
  <c r="AD16" i="249"/>
  <c r="O19" i="249"/>
  <c r="AC19" i="249"/>
  <c r="S23" i="249"/>
  <c r="AD24" i="249"/>
  <c r="O27" i="249"/>
  <c r="AC27" i="249"/>
  <c r="S31" i="249"/>
  <c r="O44" i="249"/>
  <c r="S46" i="249"/>
  <c r="AC10" i="249"/>
  <c r="AD15" i="249"/>
  <c r="O13" i="249"/>
  <c r="AD7" i="248"/>
  <c r="AD15" i="248"/>
  <c r="O6" i="249"/>
  <c r="AC6" i="249"/>
  <c r="J44" i="249" s="1"/>
  <c r="S10" i="249"/>
  <c r="O14" i="249"/>
  <c r="AC14" i="249"/>
  <c r="J45" i="249" s="1"/>
  <c r="S18" i="249"/>
  <c r="AD19" i="249"/>
  <c r="O22" i="249"/>
  <c r="S26" i="249"/>
  <c r="AD27" i="249"/>
  <c r="S13" i="247"/>
  <c r="S21" i="247"/>
  <c r="AD22" i="247"/>
  <c r="O25" i="247"/>
  <c r="AD30" i="247"/>
  <c r="S8" i="247"/>
  <c r="AD9" i="247"/>
  <c r="AC12" i="247"/>
  <c r="AC20" i="247"/>
  <c r="AD25" i="247"/>
  <c r="O28" i="247"/>
  <c r="AB31" i="247"/>
  <c r="O7" i="247"/>
  <c r="S11" i="247"/>
  <c r="O15" i="247"/>
  <c r="S27" i="247"/>
  <c r="O31" i="247"/>
  <c r="O46" i="247"/>
  <c r="O18" i="247"/>
  <c r="AC18" i="247"/>
  <c r="AB21" i="247"/>
  <c r="S22" i="247"/>
  <c r="AD23" i="247"/>
  <c r="K46" i="247" s="1"/>
  <c r="O26" i="247"/>
  <c r="AC26" i="247"/>
  <c r="AB29" i="247"/>
  <c r="S30" i="247"/>
  <c r="AD31" i="247"/>
  <c r="AB8" i="247"/>
  <c r="S9" i="247"/>
  <c r="AD10" i="247"/>
  <c r="O13" i="247"/>
  <c r="AC13" i="247"/>
  <c r="AB16" i="247"/>
  <c r="S17" i="247"/>
  <c r="AD18" i="247"/>
  <c r="O21" i="247"/>
  <c r="AC21" i="247"/>
  <c r="AB24" i="247"/>
  <c r="S25" i="247"/>
  <c r="AD26" i="247"/>
  <c r="O29" i="247"/>
  <c r="AC29" i="247"/>
  <c r="S45" i="247"/>
  <c r="O17" i="247"/>
  <c r="O45" i="247"/>
  <c r="AF6" i="247"/>
  <c r="AB7" i="247"/>
  <c r="O12" i="247"/>
  <c r="O20" i="247"/>
  <c r="AC28" i="247"/>
  <c r="AC7" i="247"/>
  <c r="AB10" i="247"/>
  <c r="AB18" i="247"/>
  <c r="O23" i="247"/>
  <c r="S6" i="247"/>
  <c r="O10" i="247"/>
  <c r="AC10" i="247"/>
  <c r="AD15" i="247"/>
  <c r="O8" i="247"/>
  <c r="AC8" i="247"/>
  <c r="S12" i="247"/>
  <c r="S20" i="247"/>
  <c r="AD21" i="247"/>
  <c r="O24" i="247"/>
  <c r="AC24" i="247"/>
  <c r="AB6" i="247"/>
  <c r="S7" i="247"/>
  <c r="AD8" i="247"/>
  <c r="O11" i="247"/>
  <c r="AC11" i="247"/>
  <c r="AB14" i="247"/>
  <c r="S15" i="247"/>
  <c r="AD16" i="247"/>
  <c r="O19" i="247"/>
  <c r="AC19" i="247"/>
  <c r="S23" i="247"/>
  <c r="AD24" i="247"/>
  <c r="O27" i="247"/>
  <c r="AC27" i="247"/>
  <c r="S31" i="247"/>
  <c r="O44" i="247"/>
  <c r="S46" i="247"/>
  <c r="S29" i="247"/>
  <c r="S16" i="247"/>
  <c r="AD17" i="247"/>
  <c r="AC15" i="247"/>
  <c r="S19" i="247"/>
  <c r="AC23" i="247"/>
  <c r="J46" i="247" s="1"/>
  <c r="AB26" i="247"/>
  <c r="AD28" i="247"/>
  <c r="AC31" i="247"/>
  <c r="S44" i="247"/>
  <c r="AD7" i="247"/>
  <c r="S14" i="247"/>
  <c r="AD13" i="247"/>
  <c r="O16" i="247"/>
  <c r="AC16" i="247"/>
  <c r="S28" i="247"/>
  <c r="O6" i="247"/>
  <c r="AC6" i="247"/>
  <c r="J44" i="247" s="1"/>
  <c r="S10" i="247"/>
  <c r="O14" i="247"/>
  <c r="AC14" i="247"/>
  <c r="J45" i="247" s="1"/>
  <c r="S18" i="247"/>
  <c r="AD19" i="247"/>
  <c r="O22" i="247"/>
  <c r="S26" i="247"/>
  <c r="AD27" i="247"/>
  <c r="T46" i="246" l="1"/>
  <c r="R46" i="246"/>
  <c r="Q46" i="246"/>
  <c r="M46" i="246" s="1"/>
  <c r="P46" i="246"/>
  <c r="N46" i="246"/>
  <c r="T45" i="246"/>
  <c r="R45" i="246"/>
  <c r="Q45" i="246"/>
  <c r="P45" i="246"/>
  <c r="N45" i="246"/>
  <c r="T44" i="246"/>
  <c r="R44" i="246"/>
  <c r="Q44" i="246"/>
  <c r="P44" i="246"/>
  <c r="N44" i="246"/>
  <c r="AJ31" i="246"/>
  <c r="AI31" i="246"/>
  <c r="AH31" i="246"/>
  <c r="AG31" i="246"/>
  <c r="U31" i="246"/>
  <c r="T31" i="246"/>
  <c r="R31" i="246"/>
  <c r="Q31" i="246"/>
  <c r="P31" i="246"/>
  <c r="N31" i="246"/>
  <c r="E31" i="246"/>
  <c r="AJ30" i="246"/>
  <c r="AI30" i="246"/>
  <c r="AH30" i="246"/>
  <c r="AG30" i="246"/>
  <c r="U30" i="246"/>
  <c r="T30" i="246"/>
  <c r="R30" i="246"/>
  <c r="Q30" i="246"/>
  <c r="P30" i="246"/>
  <c r="N30" i="246"/>
  <c r="E30" i="246"/>
  <c r="AF13" i="246" s="1"/>
  <c r="AJ29" i="246"/>
  <c r="AI29" i="246"/>
  <c r="AH29" i="246"/>
  <c r="AG29" i="246"/>
  <c r="U29" i="246"/>
  <c r="T29" i="246"/>
  <c r="R29" i="246"/>
  <c r="Q29" i="246"/>
  <c r="P29" i="246"/>
  <c r="N29" i="246"/>
  <c r="E29" i="246"/>
  <c r="AF21" i="246" s="1"/>
  <c r="AJ28" i="246"/>
  <c r="AI28" i="246"/>
  <c r="AH28" i="246"/>
  <c r="AG28" i="246"/>
  <c r="U28" i="246"/>
  <c r="T28" i="246"/>
  <c r="R28" i="246"/>
  <c r="Q28" i="246"/>
  <c r="P28" i="246"/>
  <c r="N28" i="246"/>
  <c r="E28" i="246"/>
  <c r="AF31" i="246" s="1"/>
  <c r="AJ27" i="246"/>
  <c r="AI27" i="246"/>
  <c r="AH27" i="246"/>
  <c r="AG27" i="246"/>
  <c r="U27" i="246"/>
  <c r="T27" i="246"/>
  <c r="R27" i="246"/>
  <c r="Q27" i="246"/>
  <c r="M27" i="246" s="1"/>
  <c r="AK12" i="246" s="1"/>
  <c r="P27" i="246"/>
  <c r="N27" i="246"/>
  <c r="E27" i="246"/>
  <c r="AJ26" i="246"/>
  <c r="AI26" i="246"/>
  <c r="AH26" i="246"/>
  <c r="AG26" i="246"/>
  <c r="U26" i="246"/>
  <c r="T26" i="246"/>
  <c r="R26" i="246"/>
  <c r="Q26" i="246"/>
  <c r="P26" i="246"/>
  <c r="N26" i="246"/>
  <c r="E26" i="246"/>
  <c r="AF30" i="246" s="1"/>
  <c r="AJ25" i="246"/>
  <c r="AI25" i="246"/>
  <c r="AH25" i="246"/>
  <c r="AG25" i="246"/>
  <c r="U25" i="246"/>
  <c r="T25" i="246"/>
  <c r="R25" i="246"/>
  <c r="Q25" i="246"/>
  <c r="P25" i="246"/>
  <c r="N25" i="246"/>
  <c r="E25" i="246"/>
  <c r="AF20" i="246" s="1"/>
  <c r="AJ24" i="246"/>
  <c r="AI24" i="246"/>
  <c r="AH24" i="246"/>
  <c r="AG24" i="246"/>
  <c r="U24" i="246"/>
  <c r="T24" i="246"/>
  <c r="R24" i="246"/>
  <c r="Q24" i="246"/>
  <c r="P24" i="246"/>
  <c r="N24" i="246"/>
  <c r="E24" i="246"/>
  <c r="AF11" i="246" s="1"/>
  <c r="AJ23" i="246"/>
  <c r="AI23" i="246"/>
  <c r="AH23" i="246"/>
  <c r="AG23" i="246"/>
  <c r="U23" i="246"/>
  <c r="T23" i="246"/>
  <c r="R23" i="246"/>
  <c r="Q23" i="246"/>
  <c r="M23" i="246" s="1"/>
  <c r="AK10" i="246" s="1"/>
  <c r="P23" i="246"/>
  <c r="N23" i="246"/>
  <c r="E23" i="246"/>
  <c r="AF10" i="246" s="1"/>
  <c r="AJ22" i="246"/>
  <c r="AI22" i="246"/>
  <c r="AH22" i="246"/>
  <c r="AG22" i="246"/>
  <c r="AF22" i="246"/>
  <c r="U22" i="246"/>
  <c r="T22" i="246"/>
  <c r="R22" i="246"/>
  <c r="Q22" i="246"/>
  <c r="P22" i="246"/>
  <c r="N22" i="246"/>
  <c r="E22" i="246"/>
  <c r="AF9" i="246" s="1"/>
  <c r="AJ21" i="246"/>
  <c r="AI21" i="246"/>
  <c r="AH21" i="246"/>
  <c r="AG21" i="246"/>
  <c r="U21" i="246"/>
  <c r="T21" i="246"/>
  <c r="R21" i="246"/>
  <c r="Q21" i="246"/>
  <c r="M21" i="246" s="1"/>
  <c r="AK29" i="246" s="1"/>
  <c r="P21" i="246"/>
  <c r="N21" i="246"/>
  <c r="E21" i="246"/>
  <c r="AF29" i="246" s="1"/>
  <c r="AJ20" i="246"/>
  <c r="AI20" i="246"/>
  <c r="AH20" i="246"/>
  <c r="AG20" i="246"/>
  <c r="U20" i="246"/>
  <c r="T20" i="246"/>
  <c r="R20" i="246"/>
  <c r="Q20" i="246"/>
  <c r="P20" i="246"/>
  <c r="N20" i="246"/>
  <c r="E20" i="246"/>
  <c r="AF19" i="246" s="1"/>
  <c r="AJ19" i="246"/>
  <c r="AI19" i="246"/>
  <c r="AH19" i="246"/>
  <c r="AG19" i="246"/>
  <c r="U19" i="246"/>
  <c r="T19" i="246"/>
  <c r="R19" i="246"/>
  <c r="Q19" i="246"/>
  <c r="P19" i="246"/>
  <c r="N19" i="246"/>
  <c r="E19" i="246"/>
  <c r="AF28" i="246" s="1"/>
  <c r="AJ18" i="246"/>
  <c r="AI18" i="246"/>
  <c r="AH18" i="246"/>
  <c r="AG18" i="246"/>
  <c r="U18" i="246"/>
  <c r="T18" i="246"/>
  <c r="R18" i="246"/>
  <c r="Q18" i="246"/>
  <c r="M18" i="246" s="1"/>
  <c r="AK8" i="246" s="1"/>
  <c r="P18" i="246"/>
  <c r="N18" i="246"/>
  <c r="E18" i="246"/>
  <c r="AF8" i="246" s="1"/>
  <c r="AJ17" i="246"/>
  <c r="AI17" i="246"/>
  <c r="AH17" i="246"/>
  <c r="AG17" i="246"/>
  <c r="U17" i="246"/>
  <c r="T17" i="246"/>
  <c r="R17" i="246"/>
  <c r="Q17" i="246"/>
  <c r="P17" i="246"/>
  <c r="N17" i="246"/>
  <c r="E17" i="246"/>
  <c r="AF27" i="246" s="1"/>
  <c r="AJ16" i="246"/>
  <c r="AI16" i="246"/>
  <c r="AH16" i="246"/>
  <c r="AG16" i="246"/>
  <c r="U16" i="246"/>
  <c r="T16" i="246"/>
  <c r="R16" i="246"/>
  <c r="Q16" i="246"/>
  <c r="P16" i="246"/>
  <c r="N16" i="246"/>
  <c r="E16" i="246"/>
  <c r="AF26" i="246" s="1"/>
  <c r="AJ15" i="246"/>
  <c r="AI15" i="246"/>
  <c r="AH15" i="246"/>
  <c r="AG15" i="246"/>
  <c r="U15" i="246"/>
  <c r="T15" i="246"/>
  <c r="R15" i="246"/>
  <c r="Q15" i="246"/>
  <c r="P15" i="246"/>
  <c r="N15" i="246"/>
  <c r="E15" i="246"/>
  <c r="AF18" i="246" s="1"/>
  <c r="AJ14" i="246"/>
  <c r="AI14" i="246"/>
  <c r="AH14" i="246"/>
  <c r="AG14" i="246"/>
  <c r="U14" i="246"/>
  <c r="T14" i="246"/>
  <c r="R14" i="246"/>
  <c r="Q14" i="246"/>
  <c r="P14" i="246"/>
  <c r="N14" i="246"/>
  <c r="E14" i="246"/>
  <c r="AF17" i="246" s="1"/>
  <c r="AJ13" i="246"/>
  <c r="AI13" i="246"/>
  <c r="AH13" i="246"/>
  <c r="AG13" i="246"/>
  <c r="U13" i="246"/>
  <c r="T13" i="246"/>
  <c r="R13" i="246"/>
  <c r="Q13" i="246"/>
  <c r="P13" i="246"/>
  <c r="N13" i="246"/>
  <c r="E13" i="246"/>
  <c r="AF16" i="246" s="1"/>
  <c r="AJ12" i="246"/>
  <c r="AI12" i="246"/>
  <c r="AH12" i="246"/>
  <c r="AG12" i="246"/>
  <c r="AF12" i="246"/>
  <c r="U12" i="246"/>
  <c r="T12" i="246"/>
  <c r="R12" i="246"/>
  <c r="Q12" i="246"/>
  <c r="P12" i="246"/>
  <c r="N12" i="246"/>
  <c r="E12" i="246"/>
  <c r="AJ11" i="246"/>
  <c r="AI11" i="246"/>
  <c r="AH11" i="246"/>
  <c r="AG11" i="246"/>
  <c r="U11" i="246"/>
  <c r="T11" i="246"/>
  <c r="R11" i="246"/>
  <c r="Q11" i="246"/>
  <c r="P11" i="246"/>
  <c r="N11" i="246"/>
  <c r="E11" i="246"/>
  <c r="AF25" i="246" s="1"/>
  <c r="AJ10" i="246"/>
  <c r="AI10" i="246"/>
  <c r="AH10" i="246"/>
  <c r="AG10" i="246"/>
  <c r="U10" i="246"/>
  <c r="T10" i="246"/>
  <c r="R10" i="246"/>
  <c r="Q10" i="246"/>
  <c r="P10" i="246"/>
  <c r="N10" i="246"/>
  <c r="E10" i="246"/>
  <c r="AJ9" i="246"/>
  <c r="AI9" i="246"/>
  <c r="AH9" i="246"/>
  <c r="AG9" i="246"/>
  <c r="U9" i="246"/>
  <c r="T9" i="246"/>
  <c r="R9" i="246"/>
  <c r="Q9" i="246"/>
  <c r="P9" i="246"/>
  <c r="N9" i="246"/>
  <c r="E9" i="246"/>
  <c r="AF15" i="246" s="1"/>
  <c r="AJ8" i="246"/>
  <c r="AI8" i="246"/>
  <c r="AH8" i="246"/>
  <c r="AG8" i="246"/>
  <c r="U8" i="246"/>
  <c r="T8" i="246"/>
  <c r="R8" i="246"/>
  <c r="Q8" i="246"/>
  <c r="P8" i="246"/>
  <c r="N8" i="246"/>
  <c r="E8" i="246"/>
  <c r="AF24" i="246" s="1"/>
  <c r="AJ7" i="246"/>
  <c r="AI7" i="246"/>
  <c r="AH7" i="246"/>
  <c r="AG7" i="246"/>
  <c r="U7" i="246"/>
  <c r="T7" i="246"/>
  <c r="R7" i="246"/>
  <c r="Q7" i="246"/>
  <c r="P7" i="246"/>
  <c r="N7" i="246"/>
  <c r="E7" i="246"/>
  <c r="AF23" i="246" s="1"/>
  <c r="AJ6" i="246"/>
  <c r="AI6" i="246"/>
  <c r="AH6" i="246"/>
  <c r="AG6" i="246"/>
  <c r="U6" i="246"/>
  <c r="T6" i="246"/>
  <c r="R6" i="246"/>
  <c r="Q6" i="246"/>
  <c r="P6" i="246"/>
  <c r="N6" i="246"/>
  <c r="E6" i="246"/>
  <c r="T46" i="245"/>
  <c r="R46" i="245"/>
  <c r="M46" i="245" s="1"/>
  <c r="Q46" i="245"/>
  <c r="P46" i="245"/>
  <c r="N46" i="245"/>
  <c r="T45" i="245"/>
  <c r="R45" i="245"/>
  <c r="Q45" i="245"/>
  <c r="M45" i="245" s="1"/>
  <c r="P45" i="245"/>
  <c r="N45" i="245"/>
  <c r="T44" i="245"/>
  <c r="R44" i="245"/>
  <c r="Q44" i="245"/>
  <c r="P44" i="245"/>
  <c r="N44" i="245"/>
  <c r="AJ31" i="245"/>
  <c r="AI31" i="245"/>
  <c r="AH31" i="245"/>
  <c r="AG31" i="245"/>
  <c r="U31" i="245"/>
  <c r="T31" i="245"/>
  <c r="R31" i="245"/>
  <c r="Q31" i="245"/>
  <c r="M31" i="245" s="1"/>
  <c r="AK22" i="245" s="1"/>
  <c r="P31" i="245"/>
  <c r="N31" i="245"/>
  <c r="E31" i="245"/>
  <c r="AF22" i="245" s="1"/>
  <c r="AJ30" i="245"/>
  <c r="AI30" i="245"/>
  <c r="AH30" i="245"/>
  <c r="AG30" i="245"/>
  <c r="U30" i="245"/>
  <c r="T30" i="245"/>
  <c r="R30" i="245"/>
  <c r="Q30" i="245"/>
  <c r="P30" i="245"/>
  <c r="N30" i="245"/>
  <c r="E30" i="245"/>
  <c r="AF13" i="245" s="1"/>
  <c r="AJ29" i="245"/>
  <c r="AI29" i="245"/>
  <c r="AH29" i="245"/>
  <c r="AG29" i="245"/>
  <c r="U29" i="245"/>
  <c r="T29" i="245"/>
  <c r="R29" i="245"/>
  <c r="Q29" i="245"/>
  <c r="M29" i="245" s="1"/>
  <c r="AK21" i="245" s="1"/>
  <c r="P29" i="245"/>
  <c r="N29" i="245"/>
  <c r="E29" i="245"/>
  <c r="AF21" i="245" s="1"/>
  <c r="AJ28" i="245"/>
  <c r="AI28" i="245"/>
  <c r="AH28" i="245"/>
  <c r="AG28" i="245"/>
  <c r="U28" i="245"/>
  <c r="T28" i="245"/>
  <c r="R28" i="245"/>
  <c r="Q28" i="245"/>
  <c r="P28" i="245"/>
  <c r="N28" i="245"/>
  <c r="E28" i="245"/>
  <c r="AF31" i="245" s="1"/>
  <c r="AJ27" i="245"/>
  <c r="AI27" i="245"/>
  <c r="AH27" i="245"/>
  <c r="AG27" i="245"/>
  <c r="U27" i="245"/>
  <c r="T27" i="245"/>
  <c r="R27" i="245"/>
  <c r="Q27" i="245"/>
  <c r="P27" i="245"/>
  <c r="N27" i="245"/>
  <c r="E27" i="245"/>
  <c r="AF12" i="245" s="1"/>
  <c r="AJ26" i="245"/>
  <c r="AI26" i="245"/>
  <c r="AH26" i="245"/>
  <c r="AG26" i="245"/>
  <c r="U26" i="245"/>
  <c r="T26" i="245"/>
  <c r="R26" i="245"/>
  <c r="Q26" i="245"/>
  <c r="P26" i="245"/>
  <c r="N26" i="245"/>
  <c r="E26" i="245"/>
  <c r="AF30" i="245" s="1"/>
  <c r="AJ25" i="245"/>
  <c r="AI25" i="245"/>
  <c r="AH25" i="245"/>
  <c r="AG25" i="245"/>
  <c r="U25" i="245"/>
  <c r="T25" i="245"/>
  <c r="R25" i="245"/>
  <c r="Q25" i="245"/>
  <c r="P25" i="245"/>
  <c r="N25" i="245"/>
  <c r="E25" i="245"/>
  <c r="AF20" i="245" s="1"/>
  <c r="AJ24" i="245"/>
  <c r="AI24" i="245"/>
  <c r="AH24" i="245"/>
  <c r="AG24" i="245"/>
  <c r="U24" i="245"/>
  <c r="T24" i="245"/>
  <c r="R24" i="245"/>
  <c r="Q24" i="245"/>
  <c r="P24" i="245"/>
  <c r="N24" i="245"/>
  <c r="E24" i="245"/>
  <c r="AJ23" i="245"/>
  <c r="AI23" i="245"/>
  <c r="AH23" i="245"/>
  <c r="AG23" i="245"/>
  <c r="U23" i="245"/>
  <c r="T23" i="245"/>
  <c r="R23" i="245"/>
  <c r="Q23" i="245"/>
  <c r="M23" i="245" s="1"/>
  <c r="AK10" i="245" s="1"/>
  <c r="P23" i="245"/>
  <c r="N23" i="245"/>
  <c r="E23" i="245"/>
  <c r="AF10" i="245" s="1"/>
  <c r="AJ22" i="245"/>
  <c r="AI22" i="245"/>
  <c r="AH22" i="245"/>
  <c r="AG22" i="245"/>
  <c r="U22" i="245"/>
  <c r="T22" i="245"/>
  <c r="R22" i="245"/>
  <c r="Q22" i="245"/>
  <c r="M22" i="245" s="1"/>
  <c r="AK9" i="245" s="1"/>
  <c r="P22" i="245"/>
  <c r="N22" i="245"/>
  <c r="E22" i="245"/>
  <c r="AJ21" i="245"/>
  <c r="AI21" i="245"/>
  <c r="AH21" i="245"/>
  <c r="AG21" i="245"/>
  <c r="U21" i="245"/>
  <c r="T21" i="245"/>
  <c r="R21" i="245"/>
  <c r="Q21" i="245"/>
  <c r="M21" i="245" s="1"/>
  <c r="AK29" i="245" s="1"/>
  <c r="P21" i="245"/>
  <c r="N21" i="245"/>
  <c r="E21" i="245"/>
  <c r="AF29" i="245" s="1"/>
  <c r="AJ20" i="245"/>
  <c r="AI20" i="245"/>
  <c r="AH20" i="245"/>
  <c r="AG20" i="245"/>
  <c r="U20" i="245"/>
  <c r="T20" i="245"/>
  <c r="R20" i="245"/>
  <c r="Q20" i="245"/>
  <c r="M20" i="245" s="1"/>
  <c r="AK19" i="245" s="1"/>
  <c r="P20" i="245"/>
  <c r="N20" i="245"/>
  <c r="E20" i="245"/>
  <c r="AF19" i="245" s="1"/>
  <c r="AJ19" i="245"/>
  <c r="AI19" i="245"/>
  <c r="AH19" i="245"/>
  <c r="AG19" i="245"/>
  <c r="U19" i="245"/>
  <c r="T19" i="245"/>
  <c r="R19" i="245"/>
  <c r="Q19" i="245"/>
  <c r="P19" i="245"/>
  <c r="N19" i="245"/>
  <c r="E19" i="245"/>
  <c r="AF28" i="245" s="1"/>
  <c r="AJ18" i="245"/>
  <c r="AI18" i="245"/>
  <c r="AH18" i="245"/>
  <c r="AG18" i="245"/>
  <c r="U18" i="245"/>
  <c r="T18" i="245"/>
  <c r="R18" i="245"/>
  <c r="Q18" i="245"/>
  <c r="P18" i="245"/>
  <c r="N18" i="245"/>
  <c r="E18" i="245"/>
  <c r="AF8" i="245" s="1"/>
  <c r="AJ17" i="245"/>
  <c r="AI17" i="245"/>
  <c r="AH17" i="245"/>
  <c r="AG17" i="245"/>
  <c r="U17" i="245"/>
  <c r="T17" i="245"/>
  <c r="R17" i="245"/>
  <c r="Q17" i="245"/>
  <c r="P17" i="245"/>
  <c r="N17" i="245"/>
  <c r="E17" i="245"/>
  <c r="AF27" i="245" s="1"/>
  <c r="AJ16" i="245"/>
  <c r="AI16" i="245"/>
  <c r="AH16" i="245"/>
  <c r="AG16" i="245"/>
  <c r="U16" i="245"/>
  <c r="T16" i="245"/>
  <c r="R16" i="245"/>
  <c r="Q16" i="245"/>
  <c r="P16" i="245"/>
  <c r="N16" i="245"/>
  <c r="E16" i="245"/>
  <c r="AF26" i="245" s="1"/>
  <c r="AJ15" i="245"/>
  <c r="AI15" i="245"/>
  <c r="AH15" i="245"/>
  <c r="AG15" i="245"/>
  <c r="U15" i="245"/>
  <c r="T15" i="245"/>
  <c r="R15" i="245"/>
  <c r="Q15" i="245"/>
  <c r="P15" i="245"/>
  <c r="N15" i="245"/>
  <c r="E15" i="245"/>
  <c r="AF18" i="245" s="1"/>
  <c r="AJ14" i="245"/>
  <c r="AI14" i="245"/>
  <c r="AH14" i="245"/>
  <c r="AG14" i="245"/>
  <c r="U14" i="245"/>
  <c r="T14" i="245"/>
  <c r="R14" i="245"/>
  <c r="Q14" i="245"/>
  <c r="M14" i="245" s="1"/>
  <c r="AK17" i="245" s="1"/>
  <c r="P14" i="245"/>
  <c r="N14" i="245"/>
  <c r="E14" i="245"/>
  <c r="AF17" i="245" s="1"/>
  <c r="AJ13" i="245"/>
  <c r="AI13" i="245"/>
  <c r="AH13" i="245"/>
  <c r="AG13" i="245"/>
  <c r="U13" i="245"/>
  <c r="T13" i="245"/>
  <c r="R13" i="245"/>
  <c r="Q13" i="245"/>
  <c r="M13" i="245" s="1"/>
  <c r="AK16" i="245" s="1"/>
  <c r="P13" i="245"/>
  <c r="N13" i="245"/>
  <c r="E13" i="245"/>
  <c r="AF16" i="245" s="1"/>
  <c r="AJ12" i="245"/>
  <c r="AI12" i="245"/>
  <c r="AH12" i="245"/>
  <c r="AG12" i="245"/>
  <c r="U12" i="245"/>
  <c r="T12" i="245"/>
  <c r="R12" i="245"/>
  <c r="Q12" i="245"/>
  <c r="M12" i="245" s="1"/>
  <c r="AK7" i="245" s="1"/>
  <c r="P12" i="245"/>
  <c r="N12" i="245"/>
  <c r="E12" i="245"/>
  <c r="AF7" i="245" s="1"/>
  <c r="AJ11" i="245"/>
  <c r="AI11" i="245"/>
  <c r="AH11" i="245"/>
  <c r="AG11" i="245"/>
  <c r="AF11" i="245"/>
  <c r="U11" i="245"/>
  <c r="T11" i="245"/>
  <c r="R11" i="245"/>
  <c r="Q11" i="245"/>
  <c r="P11" i="245"/>
  <c r="N11" i="245"/>
  <c r="E11" i="245"/>
  <c r="AF25" i="245" s="1"/>
  <c r="AJ10" i="245"/>
  <c r="AI10" i="245"/>
  <c r="AH10" i="245"/>
  <c r="AG10" i="245"/>
  <c r="U10" i="245"/>
  <c r="T10" i="245"/>
  <c r="R10" i="245"/>
  <c r="Q10" i="245"/>
  <c r="P10" i="245"/>
  <c r="N10" i="245"/>
  <c r="E10" i="245"/>
  <c r="AJ9" i="245"/>
  <c r="AI9" i="245"/>
  <c r="AH9" i="245"/>
  <c r="AG9" i="245"/>
  <c r="AF9" i="245"/>
  <c r="U9" i="245"/>
  <c r="T9" i="245"/>
  <c r="R9" i="245"/>
  <c r="Q9" i="245"/>
  <c r="P9" i="245"/>
  <c r="N9" i="245"/>
  <c r="E9" i="245"/>
  <c r="AF15" i="245" s="1"/>
  <c r="AJ8" i="245"/>
  <c r="AI8" i="245"/>
  <c r="AH8" i="245"/>
  <c r="AG8" i="245"/>
  <c r="U8" i="245"/>
  <c r="T8" i="245"/>
  <c r="R8" i="245"/>
  <c r="Q8" i="245"/>
  <c r="P8" i="245"/>
  <c r="N8" i="245"/>
  <c r="E8" i="245"/>
  <c r="AF24" i="245" s="1"/>
  <c r="AJ7" i="245"/>
  <c r="AI7" i="245"/>
  <c r="AH7" i="245"/>
  <c r="AG7" i="245"/>
  <c r="U7" i="245"/>
  <c r="T7" i="245"/>
  <c r="R7" i="245"/>
  <c r="Q7" i="245"/>
  <c r="P7" i="245"/>
  <c r="N7" i="245"/>
  <c r="E7" i="245"/>
  <c r="AF23" i="245" s="1"/>
  <c r="AJ6" i="245"/>
  <c r="AI6" i="245"/>
  <c r="AH6" i="245"/>
  <c r="AG6" i="245"/>
  <c r="U6" i="245"/>
  <c r="T6" i="245"/>
  <c r="R6" i="245"/>
  <c r="Q6" i="245"/>
  <c r="P6" i="245"/>
  <c r="N6" i="245"/>
  <c r="E6" i="245"/>
  <c r="AF14" i="245" s="1"/>
  <c r="T46" i="244"/>
  <c r="R46" i="244"/>
  <c r="Q46" i="244"/>
  <c r="P46" i="244"/>
  <c r="N46" i="244"/>
  <c r="T45" i="244"/>
  <c r="R45" i="244"/>
  <c r="Q45" i="244"/>
  <c r="P45" i="244"/>
  <c r="N45" i="244"/>
  <c r="T44" i="244"/>
  <c r="R44" i="244"/>
  <c r="Q44" i="244"/>
  <c r="P44" i="244"/>
  <c r="N44" i="244"/>
  <c r="AJ31" i="244"/>
  <c r="AI31" i="244"/>
  <c r="AH31" i="244"/>
  <c r="AG31" i="244"/>
  <c r="U31" i="244"/>
  <c r="T31" i="244"/>
  <c r="R31" i="244"/>
  <c r="Q31" i="244"/>
  <c r="P31" i="244"/>
  <c r="N31" i="244"/>
  <c r="E31" i="244"/>
  <c r="AJ30" i="244"/>
  <c r="AI30" i="244"/>
  <c r="AH30" i="244"/>
  <c r="AG30" i="244"/>
  <c r="U30" i="244"/>
  <c r="T30" i="244"/>
  <c r="R30" i="244"/>
  <c r="Q30" i="244"/>
  <c r="P30" i="244"/>
  <c r="N30" i="244"/>
  <c r="E30" i="244"/>
  <c r="AF13" i="244" s="1"/>
  <c r="AJ29" i="244"/>
  <c r="AI29" i="244"/>
  <c r="AH29" i="244"/>
  <c r="AG29" i="244"/>
  <c r="U29" i="244"/>
  <c r="T29" i="244"/>
  <c r="R29" i="244"/>
  <c r="Q29" i="244"/>
  <c r="M29" i="244" s="1"/>
  <c r="AK21" i="244" s="1"/>
  <c r="P29" i="244"/>
  <c r="N29" i="244"/>
  <c r="E29" i="244"/>
  <c r="AF21" i="244" s="1"/>
  <c r="AJ28" i="244"/>
  <c r="AI28" i="244"/>
  <c r="AH28" i="244"/>
  <c r="AG28" i="244"/>
  <c r="U28" i="244"/>
  <c r="T28" i="244"/>
  <c r="R28" i="244"/>
  <c r="Q28" i="244"/>
  <c r="P28" i="244"/>
  <c r="N28" i="244"/>
  <c r="E28" i="244"/>
  <c r="AF31" i="244" s="1"/>
  <c r="AJ27" i="244"/>
  <c r="AI27" i="244"/>
  <c r="AH27" i="244"/>
  <c r="AG27" i="244"/>
  <c r="U27" i="244"/>
  <c r="T27" i="244"/>
  <c r="R27" i="244"/>
  <c r="Q27" i="244"/>
  <c r="P27" i="244"/>
  <c r="N27" i="244"/>
  <c r="E27" i="244"/>
  <c r="AF12" i="244" s="1"/>
  <c r="AJ26" i="244"/>
  <c r="AI26" i="244"/>
  <c r="AH26" i="244"/>
  <c r="AG26" i="244"/>
  <c r="U26" i="244"/>
  <c r="T26" i="244"/>
  <c r="R26" i="244"/>
  <c r="Q26" i="244"/>
  <c r="P26" i="244"/>
  <c r="N26" i="244"/>
  <c r="E26" i="244"/>
  <c r="AF30" i="244" s="1"/>
  <c r="AJ25" i="244"/>
  <c r="AI25" i="244"/>
  <c r="AH25" i="244"/>
  <c r="AG25" i="244"/>
  <c r="U25" i="244"/>
  <c r="T25" i="244"/>
  <c r="R25" i="244"/>
  <c r="Q25" i="244"/>
  <c r="P25" i="244"/>
  <c r="N25" i="244"/>
  <c r="E25" i="244"/>
  <c r="AF20" i="244" s="1"/>
  <c r="AJ24" i="244"/>
  <c r="AI24" i="244"/>
  <c r="AH24" i="244"/>
  <c r="AG24" i="244"/>
  <c r="U24" i="244"/>
  <c r="T24" i="244"/>
  <c r="R24" i="244"/>
  <c r="Q24" i="244"/>
  <c r="P24" i="244"/>
  <c r="N24" i="244"/>
  <c r="E24" i="244"/>
  <c r="AF11" i="244" s="1"/>
  <c r="AJ23" i="244"/>
  <c r="AI23" i="244"/>
  <c r="AH23" i="244"/>
  <c r="AG23" i="244"/>
  <c r="U23" i="244"/>
  <c r="T23" i="244"/>
  <c r="R23" i="244"/>
  <c r="Q23" i="244"/>
  <c r="M23" i="244" s="1"/>
  <c r="AK10" i="244" s="1"/>
  <c r="P23" i="244"/>
  <c r="N23" i="244"/>
  <c r="E23" i="244"/>
  <c r="AF10" i="244" s="1"/>
  <c r="AJ22" i="244"/>
  <c r="AI22" i="244"/>
  <c r="AH22" i="244"/>
  <c r="AG22" i="244"/>
  <c r="AF22" i="244"/>
  <c r="U22" i="244"/>
  <c r="T22" i="244"/>
  <c r="R22" i="244"/>
  <c r="Q22" i="244"/>
  <c r="P22" i="244"/>
  <c r="N22" i="244"/>
  <c r="E22" i="244"/>
  <c r="AF9" i="244" s="1"/>
  <c r="AJ21" i="244"/>
  <c r="AI21" i="244"/>
  <c r="AH21" i="244"/>
  <c r="AG21" i="244"/>
  <c r="U21" i="244"/>
  <c r="T21" i="244"/>
  <c r="R21" i="244"/>
  <c r="Q21" i="244"/>
  <c r="P21" i="244"/>
  <c r="N21" i="244"/>
  <c r="E21" i="244"/>
  <c r="AF29" i="244" s="1"/>
  <c r="AJ20" i="244"/>
  <c r="AI20" i="244"/>
  <c r="AH20" i="244"/>
  <c r="AG20" i="244"/>
  <c r="U20" i="244"/>
  <c r="T20" i="244"/>
  <c r="R20" i="244"/>
  <c r="Q20" i="244"/>
  <c r="M20" i="244" s="1"/>
  <c r="AK19" i="244" s="1"/>
  <c r="P20" i="244"/>
  <c r="N20" i="244"/>
  <c r="E20" i="244"/>
  <c r="AF19" i="244" s="1"/>
  <c r="AJ19" i="244"/>
  <c r="AI19" i="244"/>
  <c r="AH19" i="244"/>
  <c r="AG19" i="244"/>
  <c r="U19" i="244"/>
  <c r="T19" i="244"/>
  <c r="R19" i="244"/>
  <c r="Q19" i="244"/>
  <c r="P19" i="244"/>
  <c r="N19" i="244"/>
  <c r="E19" i="244"/>
  <c r="AF28" i="244" s="1"/>
  <c r="AJ18" i="244"/>
  <c r="AI18" i="244"/>
  <c r="AH18" i="244"/>
  <c r="AG18" i="244"/>
  <c r="U18" i="244"/>
  <c r="T18" i="244"/>
  <c r="R18" i="244"/>
  <c r="Q18" i="244"/>
  <c r="P18" i="244"/>
  <c r="N18" i="244"/>
  <c r="E18" i="244"/>
  <c r="AF8" i="244" s="1"/>
  <c r="AJ17" i="244"/>
  <c r="AI17" i="244"/>
  <c r="AH17" i="244"/>
  <c r="AG17" i="244"/>
  <c r="U17" i="244"/>
  <c r="T17" i="244"/>
  <c r="R17" i="244"/>
  <c r="Q17" i="244"/>
  <c r="P17" i="244"/>
  <c r="N17" i="244"/>
  <c r="E17" i="244"/>
  <c r="AF27" i="244" s="1"/>
  <c r="AJ16" i="244"/>
  <c r="AI16" i="244"/>
  <c r="AH16" i="244"/>
  <c r="AG16" i="244"/>
  <c r="U16" i="244"/>
  <c r="T16" i="244"/>
  <c r="R16" i="244"/>
  <c r="Q16" i="244"/>
  <c r="P16" i="244"/>
  <c r="N16" i="244"/>
  <c r="E16" i="244"/>
  <c r="AF26" i="244" s="1"/>
  <c r="AJ15" i="244"/>
  <c r="AI15" i="244"/>
  <c r="AH15" i="244"/>
  <c r="AG15" i="244"/>
  <c r="U15" i="244"/>
  <c r="T15" i="244"/>
  <c r="R15" i="244"/>
  <c r="Q15" i="244"/>
  <c r="P15" i="244"/>
  <c r="N15" i="244"/>
  <c r="E15" i="244"/>
  <c r="AF18" i="244" s="1"/>
  <c r="AJ14" i="244"/>
  <c r="AI14" i="244"/>
  <c r="AH14" i="244"/>
  <c r="AG14" i="244"/>
  <c r="U14" i="244"/>
  <c r="T14" i="244"/>
  <c r="R14" i="244"/>
  <c r="Q14" i="244"/>
  <c r="P14" i="244"/>
  <c r="N14" i="244"/>
  <c r="E14" i="244"/>
  <c r="AF17" i="244" s="1"/>
  <c r="AJ13" i="244"/>
  <c r="AI13" i="244"/>
  <c r="AH13" i="244"/>
  <c r="AG13" i="244"/>
  <c r="U13" i="244"/>
  <c r="T13" i="244"/>
  <c r="R13" i="244"/>
  <c r="Q13" i="244"/>
  <c r="P13" i="244"/>
  <c r="N13" i="244"/>
  <c r="E13" i="244"/>
  <c r="AF16" i="244" s="1"/>
  <c r="AJ12" i="244"/>
  <c r="AI12" i="244"/>
  <c r="AH12" i="244"/>
  <c r="AG12" i="244"/>
  <c r="U12" i="244"/>
  <c r="T12" i="244"/>
  <c r="R12" i="244"/>
  <c r="Q12" i="244"/>
  <c r="P12" i="244"/>
  <c r="N12" i="244"/>
  <c r="E12" i="244"/>
  <c r="AF7" i="244" s="1"/>
  <c r="AJ11" i="244"/>
  <c r="AI11" i="244"/>
  <c r="AH11" i="244"/>
  <c r="AG11" i="244"/>
  <c r="U11" i="244"/>
  <c r="T11" i="244"/>
  <c r="R11" i="244"/>
  <c r="Q11" i="244"/>
  <c r="P11" i="244"/>
  <c r="N11" i="244"/>
  <c r="E11" i="244"/>
  <c r="AF25" i="244" s="1"/>
  <c r="AJ10" i="244"/>
  <c r="AI10" i="244"/>
  <c r="AH10" i="244"/>
  <c r="AG10" i="244"/>
  <c r="U10" i="244"/>
  <c r="T10" i="244"/>
  <c r="R10" i="244"/>
  <c r="Q10" i="244"/>
  <c r="P10" i="244"/>
  <c r="N10" i="244"/>
  <c r="E10" i="244"/>
  <c r="AJ9" i="244"/>
  <c r="AI9" i="244"/>
  <c r="AH9" i="244"/>
  <c r="AG9" i="244"/>
  <c r="U9" i="244"/>
  <c r="T9" i="244"/>
  <c r="R9" i="244"/>
  <c r="Q9" i="244"/>
  <c r="P9" i="244"/>
  <c r="N9" i="244"/>
  <c r="E9" i="244"/>
  <c r="AF15" i="244" s="1"/>
  <c r="AJ8" i="244"/>
  <c r="AI8" i="244"/>
  <c r="AH8" i="244"/>
  <c r="AG8" i="244"/>
  <c r="U8" i="244"/>
  <c r="T8" i="244"/>
  <c r="R8" i="244"/>
  <c r="Q8" i="244"/>
  <c r="P8" i="244"/>
  <c r="N8" i="244"/>
  <c r="E8" i="244"/>
  <c r="AF24" i="244" s="1"/>
  <c r="AJ7" i="244"/>
  <c r="AI7" i="244"/>
  <c r="AH7" i="244"/>
  <c r="AG7" i="244"/>
  <c r="U7" i="244"/>
  <c r="T7" i="244"/>
  <c r="R7" i="244"/>
  <c r="Q7" i="244"/>
  <c r="P7" i="244"/>
  <c r="N7" i="244"/>
  <c r="E7" i="244"/>
  <c r="AF23" i="244" s="1"/>
  <c r="AJ6" i="244"/>
  <c r="AI6" i="244"/>
  <c r="AH6" i="244"/>
  <c r="AG6" i="244"/>
  <c r="U6" i="244"/>
  <c r="T6" i="244"/>
  <c r="R6" i="244"/>
  <c r="Q6" i="244"/>
  <c r="P6" i="244"/>
  <c r="N6" i="244"/>
  <c r="E6" i="244"/>
  <c r="T46" i="243"/>
  <c r="R46" i="243"/>
  <c r="Q46" i="243"/>
  <c r="P46" i="243"/>
  <c r="N46" i="243"/>
  <c r="T45" i="243"/>
  <c r="R45" i="243"/>
  <c r="Q45" i="243"/>
  <c r="P45" i="243"/>
  <c r="N45" i="243"/>
  <c r="T44" i="243"/>
  <c r="R44" i="243"/>
  <c r="Q44" i="243"/>
  <c r="P44" i="243"/>
  <c r="N44" i="243"/>
  <c r="AJ31" i="243"/>
  <c r="AI31" i="243"/>
  <c r="AH31" i="243"/>
  <c r="AG31" i="243"/>
  <c r="U31" i="243"/>
  <c r="T31" i="243"/>
  <c r="R31" i="243"/>
  <c r="Q31" i="243"/>
  <c r="P31" i="243"/>
  <c r="N31" i="243"/>
  <c r="E31" i="243"/>
  <c r="AF22" i="243" s="1"/>
  <c r="AJ30" i="243"/>
  <c r="AI30" i="243"/>
  <c r="AH30" i="243"/>
  <c r="AG30" i="243"/>
  <c r="U30" i="243"/>
  <c r="T30" i="243"/>
  <c r="R30" i="243"/>
  <c r="Q30" i="243"/>
  <c r="P30" i="243"/>
  <c r="N30" i="243"/>
  <c r="E30" i="243"/>
  <c r="AF13" i="243" s="1"/>
  <c r="AJ29" i="243"/>
  <c r="AI29" i="243"/>
  <c r="AH29" i="243"/>
  <c r="AG29" i="243"/>
  <c r="U29" i="243"/>
  <c r="T29" i="243"/>
  <c r="R29" i="243"/>
  <c r="Q29" i="243"/>
  <c r="P29" i="243"/>
  <c r="N29" i="243"/>
  <c r="E29" i="243"/>
  <c r="AF21" i="243" s="1"/>
  <c r="AJ28" i="243"/>
  <c r="AI28" i="243"/>
  <c r="AH28" i="243"/>
  <c r="AG28" i="243"/>
  <c r="U28" i="243"/>
  <c r="T28" i="243"/>
  <c r="R28" i="243"/>
  <c r="Q28" i="243"/>
  <c r="P28" i="243"/>
  <c r="N28" i="243"/>
  <c r="E28" i="243"/>
  <c r="AF31" i="243" s="1"/>
  <c r="AJ27" i="243"/>
  <c r="AI27" i="243"/>
  <c r="AH27" i="243"/>
  <c r="AG27" i="243"/>
  <c r="U27" i="243"/>
  <c r="T27" i="243"/>
  <c r="R27" i="243"/>
  <c r="Q27" i="243"/>
  <c r="P27" i="243"/>
  <c r="N27" i="243"/>
  <c r="E27" i="243"/>
  <c r="AF12" i="243" s="1"/>
  <c r="AJ26" i="243"/>
  <c r="AI26" i="243"/>
  <c r="AH26" i="243"/>
  <c r="AG26" i="243"/>
  <c r="U26" i="243"/>
  <c r="T26" i="243"/>
  <c r="R26" i="243"/>
  <c r="Q26" i="243"/>
  <c r="P26" i="243"/>
  <c r="N26" i="243"/>
  <c r="E26" i="243"/>
  <c r="AF30" i="243" s="1"/>
  <c r="AJ25" i="243"/>
  <c r="AI25" i="243"/>
  <c r="AH25" i="243"/>
  <c r="AG25" i="243"/>
  <c r="U25" i="243"/>
  <c r="T25" i="243"/>
  <c r="R25" i="243"/>
  <c r="Q25" i="243"/>
  <c r="P25" i="243"/>
  <c r="N25" i="243"/>
  <c r="E25" i="243"/>
  <c r="AF20" i="243" s="1"/>
  <c r="AJ24" i="243"/>
  <c r="AI24" i="243"/>
  <c r="AH24" i="243"/>
  <c r="AG24" i="243"/>
  <c r="U24" i="243"/>
  <c r="T24" i="243"/>
  <c r="R24" i="243"/>
  <c r="Q24" i="243"/>
  <c r="P24" i="243"/>
  <c r="N24" i="243"/>
  <c r="E24" i="243"/>
  <c r="AF11" i="243" s="1"/>
  <c r="AJ23" i="243"/>
  <c r="AI23" i="243"/>
  <c r="AH23" i="243"/>
  <c r="AG23" i="243"/>
  <c r="U23" i="243"/>
  <c r="T23" i="243"/>
  <c r="R23" i="243"/>
  <c r="Q23" i="243"/>
  <c r="P23" i="243"/>
  <c r="N23" i="243"/>
  <c r="E23" i="243"/>
  <c r="AF10" i="243" s="1"/>
  <c r="AJ22" i="243"/>
  <c r="AI22" i="243"/>
  <c r="AH22" i="243"/>
  <c r="AG22" i="243"/>
  <c r="U22" i="243"/>
  <c r="T22" i="243"/>
  <c r="R22" i="243"/>
  <c r="Q22" i="243"/>
  <c r="P22" i="243"/>
  <c r="N22" i="243"/>
  <c r="E22" i="243"/>
  <c r="AF9" i="243" s="1"/>
  <c r="AJ21" i="243"/>
  <c r="AI21" i="243"/>
  <c r="AH21" i="243"/>
  <c r="AG21" i="243"/>
  <c r="U21" i="243"/>
  <c r="T21" i="243"/>
  <c r="R21" i="243"/>
  <c r="Q21" i="243"/>
  <c r="P21" i="243"/>
  <c r="N21" i="243"/>
  <c r="E21" i="243"/>
  <c r="AF29" i="243" s="1"/>
  <c r="AJ20" i="243"/>
  <c r="AI20" i="243"/>
  <c r="AH20" i="243"/>
  <c r="AG20" i="243"/>
  <c r="U20" i="243"/>
  <c r="T20" i="243"/>
  <c r="R20" i="243"/>
  <c r="Q20" i="243"/>
  <c r="P20" i="243"/>
  <c r="N20" i="243"/>
  <c r="E20" i="243"/>
  <c r="AF19" i="243" s="1"/>
  <c r="AJ19" i="243"/>
  <c r="AI19" i="243"/>
  <c r="AH19" i="243"/>
  <c r="AG19" i="243"/>
  <c r="U19" i="243"/>
  <c r="T19" i="243"/>
  <c r="R19" i="243"/>
  <c r="Q19" i="243"/>
  <c r="P19" i="243"/>
  <c r="N19" i="243"/>
  <c r="E19" i="243"/>
  <c r="AF28" i="243" s="1"/>
  <c r="AJ18" i="243"/>
  <c r="AI18" i="243"/>
  <c r="AH18" i="243"/>
  <c r="AG18" i="243"/>
  <c r="U18" i="243"/>
  <c r="T18" i="243"/>
  <c r="R18" i="243"/>
  <c r="Q18" i="243"/>
  <c r="P18" i="243"/>
  <c r="N18" i="243"/>
  <c r="E18" i="243"/>
  <c r="AF8" i="243" s="1"/>
  <c r="AJ17" i="243"/>
  <c r="AI17" i="243"/>
  <c r="AH17" i="243"/>
  <c r="AG17" i="243"/>
  <c r="U17" i="243"/>
  <c r="T17" i="243"/>
  <c r="R17" i="243"/>
  <c r="Q17" i="243"/>
  <c r="P17" i="243"/>
  <c r="N17" i="243"/>
  <c r="E17" i="243"/>
  <c r="AF27" i="243" s="1"/>
  <c r="AJ16" i="243"/>
  <c r="AI16" i="243"/>
  <c r="AH16" i="243"/>
  <c r="AG16" i="243"/>
  <c r="U16" i="243"/>
  <c r="T16" i="243"/>
  <c r="R16" i="243"/>
  <c r="Q16" i="243"/>
  <c r="P16" i="243"/>
  <c r="N16" i="243"/>
  <c r="E16" i="243"/>
  <c r="AF26" i="243" s="1"/>
  <c r="AJ15" i="243"/>
  <c r="AI15" i="243"/>
  <c r="AH15" i="243"/>
  <c r="AG15" i="243"/>
  <c r="U15" i="243"/>
  <c r="T15" i="243"/>
  <c r="R15" i="243"/>
  <c r="Q15" i="243"/>
  <c r="P15" i="243"/>
  <c r="N15" i="243"/>
  <c r="E15" i="243"/>
  <c r="AF18" i="243" s="1"/>
  <c r="AJ14" i="243"/>
  <c r="AI14" i="243"/>
  <c r="AH14" i="243"/>
  <c r="AG14" i="243"/>
  <c r="U14" i="243"/>
  <c r="T14" i="243"/>
  <c r="R14" i="243"/>
  <c r="Q14" i="243"/>
  <c r="P14" i="243"/>
  <c r="N14" i="243"/>
  <c r="E14" i="243"/>
  <c r="AF17" i="243" s="1"/>
  <c r="AJ13" i="243"/>
  <c r="AI13" i="243"/>
  <c r="AH13" i="243"/>
  <c r="AG13" i="243"/>
  <c r="U13" i="243"/>
  <c r="T13" i="243"/>
  <c r="R13" i="243"/>
  <c r="Q13" i="243"/>
  <c r="P13" i="243"/>
  <c r="N13" i="243"/>
  <c r="E13" i="243"/>
  <c r="AF16" i="243" s="1"/>
  <c r="AJ12" i="243"/>
  <c r="AI12" i="243"/>
  <c r="AH12" i="243"/>
  <c r="AG12" i="243"/>
  <c r="U12" i="243"/>
  <c r="T12" i="243"/>
  <c r="R12" i="243"/>
  <c r="Q12" i="243"/>
  <c r="P12" i="243"/>
  <c r="N12" i="243"/>
  <c r="E12" i="243"/>
  <c r="AJ11" i="243"/>
  <c r="AI11" i="243"/>
  <c r="AH11" i="243"/>
  <c r="AG11" i="243"/>
  <c r="U11" i="243"/>
  <c r="T11" i="243"/>
  <c r="R11" i="243"/>
  <c r="Q11" i="243"/>
  <c r="P11" i="243"/>
  <c r="N11" i="243"/>
  <c r="E11" i="243"/>
  <c r="AF25" i="243" s="1"/>
  <c r="AJ10" i="243"/>
  <c r="AI10" i="243"/>
  <c r="AH10" i="243"/>
  <c r="AG10" i="243"/>
  <c r="U10" i="243"/>
  <c r="T10" i="243"/>
  <c r="R10" i="243"/>
  <c r="Q10" i="243"/>
  <c r="P10" i="243"/>
  <c r="N10" i="243"/>
  <c r="E10" i="243"/>
  <c r="AJ9" i="243"/>
  <c r="AI9" i="243"/>
  <c r="AH9" i="243"/>
  <c r="AG9" i="243"/>
  <c r="U9" i="243"/>
  <c r="T9" i="243"/>
  <c r="R9" i="243"/>
  <c r="Q9" i="243"/>
  <c r="P9" i="243"/>
  <c r="N9" i="243"/>
  <c r="E9" i="243"/>
  <c r="AF15" i="243" s="1"/>
  <c r="AJ8" i="243"/>
  <c r="AI8" i="243"/>
  <c r="AH8" i="243"/>
  <c r="AG8" i="243"/>
  <c r="U8" i="243"/>
  <c r="T8" i="243"/>
  <c r="R8" i="243"/>
  <c r="Q8" i="243"/>
  <c r="P8" i="243"/>
  <c r="N8" i="243"/>
  <c r="E8" i="243"/>
  <c r="AF24" i="243" s="1"/>
  <c r="AJ7" i="243"/>
  <c r="AI7" i="243"/>
  <c r="AH7" i="243"/>
  <c r="AG7" i="243"/>
  <c r="AF7" i="243"/>
  <c r="U7" i="243"/>
  <c r="T7" i="243"/>
  <c r="R7" i="243"/>
  <c r="Q7" i="243"/>
  <c r="P7" i="243"/>
  <c r="N7" i="243"/>
  <c r="E7" i="243"/>
  <c r="AF23" i="243" s="1"/>
  <c r="AJ6" i="243"/>
  <c r="AI6" i="243"/>
  <c r="AH6" i="243"/>
  <c r="AG6" i="243"/>
  <c r="U6" i="243"/>
  <c r="T6" i="243"/>
  <c r="R6" i="243"/>
  <c r="Q6" i="243"/>
  <c r="P6" i="243"/>
  <c r="N6" i="243"/>
  <c r="E6" i="243"/>
  <c r="AF14" i="243" s="1"/>
  <c r="AD14" i="245" l="1"/>
  <c r="K45" i="245" s="1"/>
  <c r="M6" i="246"/>
  <c r="AK14" i="246" s="1"/>
  <c r="M19" i="246"/>
  <c r="AK28" i="246" s="1"/>
  <c r="M9" i="244"/>
  <c r="AK15" i="244" s="1"/>
  <c r="M30" i="244"/>
  <c r="AK13" i="244" s="1"/>
  <c r="M7" i="245"/>
  <c r="AK23" i="245" s="1"/>
  <c r="M17" i="245"/>
  <c r="AK27" i="245" s="1"/>
  <c r="M27" i="245"/>
  <c r="AK12" i="245" s="1"/>
  <c r="M7" i="244"/>
  <c r="AK23" i="244" s="1"/>
  <c r="M10" i="245"/>
  <c r="AK6" i="245" s="1"/>
  <c r="M15" i="245"/>
  <c r="AK18" i="245" s="1"/>
  <c r="M10" i="243"/>
  <c r="AK6" i="243" s="1"/>
  <c r="M26" i="243"/>
  <c r="AK30" i="243" s="1"/>
  <c r="M13" i="243"/>
  <c r="AK16" i="243" s="1"/>
  <c r="M21" i="243"/>
  <c r="AK29" i="243" s="1"/>
  <c r="M29" i="243"/>
  <c r="AK21" i="243" s="1"/>
  <c r="M44" i="243"/>
  <c r="M30" i="243"/>
  <c r="AK13" i="243" s="1"/>
  <c r="M11" i="244"/>
  <c r="AK25" i="244" s="1"/>
  <c r="M18" i="244"/>
  <c r="AK8" i="244" s="1"/>
  <c r="M46" i="244"/>
  <c r="M15" i="244"/>
  <c r="AK18" i="244" s="1"/>
  <c r="M13" i="246"/>
  <c r="AK16" i="246" s="1"/>
  <c r="M15" i="246"/>
  <c r="AK18" i="246" s="1"/>
  <c r="M8" i="245"/>
  <c r="AK24" i="245" s="1"/>
  <c r="M18" i="245"/>
  <c r="AK8" i="245" s="1"/>
  <c r="M30" i="245"/>
  <c r="AK13" i="245" s="1"/>
  <c r="M19" i="245"/>
  <c r="AK28" i="245" s="1"/>
  <c r="M26" i="245"/>
  <c r="AK30" i="245" s="1"/>
  <c r="AC30" i="245"/>
  <c r="M15" i="243"/>
  <c r="AK18" i="243" s="1"/>
  <c r="M23" i="243"/>
  <c r="AK10" i="243" s="1"/>
  <c r="M31" i="243"/>
  <c r="AK22" i="243" s="1"/>
  <c r="M17" i="243"/>
  <c r="AK27" i="243" s="1"/>
  <c r="M25" i="243"/>
  <c r="AK20" i="243" s="1"/>
  <c r="M17" i="244"/>
  <c r="AK27" i="244" s="1"/>
  <c r="M27" i="244"/>
  <c r="AK12" i="244" s="1"/>
  <c r="AB28" i="244"/>
  <c r="M13" i="244"/>
  <c r="AK16" i="244" s="1"/>
  <c r="M26" i="246"/>
  <c r="AK30" i="246" s="1"/>
  <c r="M24" i="246"/>
  <c r="AK11" i="246" s="1"/>
  <c r="AB12" i="246"/>
  <c r="O9" i="246"/>
  <c r="M29" i="246"/>
  <c r="AK21" i="246" s="1"/>
  <c r="M7" i="246"/>
  <c r="AK23" i="246" s="1"/>
  <c r="M10" i="246"/>
  <c r="AK6" i="246" s="1"/>
  <c r="M12" i="246"/>
  <c r="AK7" i="246" s="1"/>
  <c r="M14" i="246"/>
  <c r="AK17" i="246" s="1"/>
  <c r="M30" i="246"/>
  <c r="AK13" i="246" s="1"/>
  <c r="M28" i="246"/>
  <c r="AK31" i="246" s="1"/>
  <c r="M8" i="246"/>
  <c r="AK24" i="246" s="1"/>
  <c r="M17" i="246"/>
  <c r="AK27" i="246" s="1"/>
  <c r="M31" i="246"/>
  <c r="AK22" i="246" s="1"/>
  <c r="AB18" i="244"/>
  <c r="M10" i="244"/>
  <c r="AK6" i="244" s="1"/>
  <c r="M26" i="244"/>
  <c r="AK30" i="244" s="1"/>
  <c r="M28" i="244"/>
  <c r="AK31" i="244" s="1"/>
  <c r="M8" i="244"/>
  <c r="AK24" i="244" s="1"/>
  <c r="AB30" i="244"/>
  <c r="M31" i="244"/>
  <c r="AK22" i="244" s="1"/>
  <c r="M24" i="244"/>
  <c r="AK11" i="244" s="1"/>
  <c r="M45" i="244"/>
  <c r="O30" i="244"/>
  <c r="AB20" i="243"/>
  <c r="M27" i="243"/>
  <c r="AK12" i="243" s="1"/>
  <c r="AD6" i="243"/>
  <c r="K44" i="243" s="1"/>
  <c r="AB28" i="243"/>
  <c r="M12" i="243"/>
  <c r="AK7" i="243" s="1"/>
  <c r="M24" i="243"/>
  <c r="AK11" i="243" s="1"/>
  <c r="AC22" i="243"/>
  <c r="M18" i="243"/>
  <c r="AK8" i="243" s="1"/>
  <c r="M46" i="243"/>
  <c r="M7" i="243"/>
  <c r="AK23" i="243" s="1"/>
  <c r="M28" i="243"/>
  <c r="AK31" i="243" s="1"/>
  <c r="M14" i="243"/>
  <c r="AK17" i="243" s="1"/>
  <c r="M19" i="243"/>
  <c r="AK28" i="243" s="1"/>
  <c r="AD29" i="243"/>
  <c r="M9" i="245"/>
  <c r="AK15" i="245" s="1"/>
  <c r="M11" i="245"/>
  <c r="AK25" i="245" s="1"/>
  <c r="M28" i="245"/>
  <c r="AK31" i="245" s="1"/>
  <c r="M24" i="245"/>
  <c r="AK11" i="245" s="1"/>
  <c r="M16" i="245"/>
  <c r="AK26" i="245" s="1"/>
  <c r="M25" i="245"/>
  <c r="AK20" i="245" s="1"/>
  <c r="M6" i="245"/>
  <c r="AK14" i="245" s="1"/>
  <c r="M44" i="245"/>
  <c r="AB17" i="245"/>
  <c r="AB19" i="245"/>
  <c r="AD6" i="245"/>
  <c r="K44" i="245" s="1"/>
  <c r="AB28" i="245"/>
  <c r="O28" i="245"/>
  <c r="AC9" i="245"/>
  <c r="O30" i="245"/>
  <c r="AC17" i="245"/>
  <c r="AB20" i="245"/>
  <c r="AD31" i="245"/>
  <c r="AD22" i="245"/>
  <c r="AB25" i="245"/>
  <c r="AB27" i="245"/>
  <c r="AB29" i="245"/>
  <c r="AB16" i="245"/>
  <c r="AB9" i="245"/>
  <c r="AB11" i="245"/>
  <c r="AB22" i="245"/>
  <c r="AB30" i="245"/>
  <c r="AC22" i="245"/>
  <c r="AB13" i="245"/>
  <c r="AD11" i="245"/>
  <c r="AB8" i="245"/>
  <c r="AB12" i="245"/>
  <c r="AC25" i="245"/>
  <c r="M16" i="246"/>
  <c r="AK26" i="246" s="1"/>
  <c r="M25" i="246"/>
  <c r="AK20" i="246" s="1"/>
  <c r="M44" i="246"/>
  <c r="M9" i="246"/>
  <c r="AK15" i="246" s="1"/>
  <c r="M11" i="246"/>
  <c r="AK25" i="246" s="1"/>
  <c r="M20" i="246"/>
  <c r="AK19" i="246" s="1"/>
  <c r="M22" i="246"/>
  <c r="AK9" i="246" s="1"/>
  <c r="M45" i="246"/>
  <c r="AD14" i="246"/>
  <c r="K45" i="246" s="1"/>
  <c r="AB28" i="246"/>
  <c r="AF7" i="246"/>
  <c r="AB20" i="246"/>
  <c r="AD27" i="246"/>
  <c r="O30" i="246"/>
  <c r="AD11" i="246"/>
  <c r="O28" i="246"/>
  <c r="AF14" i="246"/>
  <c r="AC25" i="246"/>
  <c r="AB22" i="246"/>
  <c r="AB30" i="246"/>
  <c r="AB17" i="246"/>
  <c r="AB7" i="246"/>
  <c r="AC9" i="246"/>
  <c r="AB19" i="246"/>
  <c r="AC22" i="246"/>
  <c r="AD17" i="246"/>
  <c r="AC30" i="246"/>
  <c r="AB25" i="246"/>
  <c r="AB27" i="246"/>
  <c r="AB29" i="246"/>
  <c r="AD6" i="246"/>
  <c r="K44" i="246" s="1"/>
  <c r="AB9" i="246"/>
  <c r="AB8" i="246"/>
  <c r="AB15" i="246"/>
  <c r="AB11" i="246"/>
  <c r="AC17" i="246"/>
  <c r="M25" i="244"/>
  <c r="AK20" i="244" s="1"/>
  <c r="M19" i="244"/>
  <c r="AK28" i="244" s="1"/>
  <c r="M21" i="244"/>
  <c r="AK29" i="244" s="1"/>
  <c r="M44" i="244"/>
  <c r="M22" i="244"/>
  <c r="AK9" i="244" s="1"/>
  <c r="M6" i="244"/>
  <c r="AK14" i="244" s="1"/>
  <c r="M12" i="244"/>
  <c r="AK7" i="244" s="1"/>
  <c r="M14" i="244"/>
  <c r="AK17" i="244" s="1"/>
  <c r="M16" i="244"/>
  <c r="AK26" i="244" s="1"/>
  <c r="S30" i="244"/>
  <c r="AC25" i="244"/>
  <c r="AB20" i="244"/>
  <c r="AD6" i="244"/>
  <c r="K44" i="244" s="1"/>
  <c r="O9" i="244"/>
  <c r="AD14" i="244"/>
  <c r="K45" i="244" s="1"/>
  <c r="AC17" i="244"/>
  <c r="AB13" i="244"/>
  <c r="AB17" i="244"/>
  <c r="AB21" i="244"/>
  <c r="AB25" i="244"/>
  <c r="AD31" i="244"/>
  <c r="AB9" i="244"/>
  <c r="AB22" i="244"/>
  <c r="AB26" i="244"/>
  <c r="AD11" i="244"/>
  <c r="AC30" i="244"/>
  <c r="AB27" i="244"/>
  <c r="AB12" i="244"/>
  <c r="AC9" i="244"/>
  <c r="AC22" i="244"/>
  <c r="S13" i="246"/>
  <c r="O25" i="246"/>
  <c r="AD30" i="246"/>
  <c r="AF6" i="246"/>
  <c r="AC12" i="246"/>
  <c r="AC20" i="246"/>
  <c r="AB23" i="246"/>
  <c r="S24" i="246"/>
  <c r="AD25" i="246"/>
  <c r="O7" i="246"/>
  <c r="AC7" i="246"/>
  <c r="AB10" i="246"/>
  <c r="S11" i="246"/>
  <c r="AD12" i="246"/>
  <c r="O15" i="246"/>
  <c r="AC15" i="246"/>
  <c r="AB18" i="246"/>
  <c r="S19" i="246"/>
  <c r="AD20" i="246"/>
  <c r="O23" i="246"/>
  <c r="AC23" i="246"/>
  <c r="J46" i="246" s="1"/>
  <c r="AB26" i="246"/>
  <c r="S27" i="246"/>
  <c r="AD28" i="246"/>
  <c r="O31" i="246"/>
  <c r="AC31" i="246"/>
  <c r="S44" i="246"/>
  <c r="O46" i="246"/>
  <c r="S6" i="246"/>
  <c r="AD7" i="246"/>
  <c r="O10" i="246"/>
  <c r="AC10" i="246"/>
  <c r="AB13" i="246"/>
  <c r="S14" i="246"/>
  <c r="AD15" i="246"/>
  <c r="O18" i="246"/>
  <c r="AC18" i="246"/>
  <c r="AB21" i="246"/>
  <c r="S22" i="246"/>
  <c r="AD23" i="246"/>
  <c r="K46" i="246" s="1"/>
  <c r="O26" i="246"/>
  <c r="AC26" i="246"/>
  <c r="S30" i="246"/>
  <c r="AD31" i="246"/>
  <c r="S21" i="246"/>
  <c r="S29" i="246"/>
  <c r="S8" i="246"/>
  <c r="O20" i="246"/>
  <c r="S9" i="246"/>
  <c r="AD10" i="246"/>
  <c r="O13" i="246"/>
  <c r="AC13" i="246"/>
  <c r="AB16" i="246"/>
  <c r="S17" i="246"/>
  <c r="AD18" i="246"/>
  <c r="O21" i="246"/>
  <c r="AC21" i="246"/>
  <c r="AB24" i="246"/>
  <c r="S45" i="246"/>
  <c r="O8" i="246"/>
  <c r="AC8" i="246"/>
  <c r="AD13" i="246"/>
  <c r="O16" i="246"/>
  <c r="AC16" i="246"/>
  <c r="AD21" i="246"/>
  <c r="O24" i="246"/>
  <c r="AC24" i="246"/>
  <c r="S28" i="246"/>
  <c r="AD29" i="246"/>
  <c r="AB6" i="246"/>
  <c r="S7" i="246"/>
  <c r="AD8" i="246"/>
  <c r="O11" i="246"/>
  <c r="AC11" i="246"/>
  <c r="AB14" i="246"/>
  <c r="S15" i="246"/>
  <c r="AD16" i="246"/>
  <c r="O19" i="246"/>
  <c r="AC19" i="246"/>
  <c r="S23" i="246"/>
  <c r="AD24" i="246"/>
  <c r="O27" i="246"/>
  <c r="AC27" i="246"/>
  <c r="S31" i="246"/>
  <c r="O44" i="246"/>
  <c r="S46" i="246"/>
  <c r="O17" i="246"/>
  <c r="AD22" i="246"/>
  <c r="O45" i="246"/>
  <c r="AD9" i="246"/>
  <c r="O12" i="246"/>
  <c r="S16" i="246"/>
  <c r="AC28" i="246"/>
  <c r="AB31" i="246"/>
  <c r="S25" i="246"/>
  <c r="AD26" i="246"/>
  <c r="O29" i="246"/>
  <c r="AC29" i="246"/>
  <c r="S12" i="246"/>
  <c r="S20" i="246"/>
  <c r="O6" i="246"/>
  <c r="AC6" i="246"/>
  <c r="J44" i="246" s="1"/>
  <c r="S10" i="246"/>
  <c r="O14" i="246"/>
  <c r="AC14" i="246"/>
  <c r="J45" i="246" s="1"/>
  <c r="S18" i="246"/>
  <c r="AD19" i="246"/>
  <c r="O22" i="246"/>
  <c r="S26" i="246"/>
  <c r="S13" i="245"/>
  <c r="O25" i="245"/>
  <c r="AD30" i="245"/>
  <c r="AF6" i="245"/>
  <c r="S8" i="245"/>
  <c r="O20" i="245"/>
  <c r="AC20" i="245"/>
  <c r="AB23" i="245"/>
  <c r="S24" i="245"/>
  <c r="AC7" i="245"/>
  <c r="AC23" i="245"/>
  <c r="J46" i="245" s="1"/>
  <c r="AB26" i="245"/>
  <c r="S44" i="245"/>
  <c r="S6" i="245"/>
  <c r="O10" i="245"/>
  <c r="AD15" i="245"/>
  <c r="O18" i="245"/>
  <c r="O26" i="245"/>
  <c r="AC26" i="245"/>
  <c r="S30" i="245"/>
  <c r="AC13" i="245"/>
  <c r="AD26" i="245"/>
  <c r="O29" i="245"/>
  <c r="AC29" i="245"/>
  <c r="O8" i="245"/>
  <c r="AC8" i="245"/>
  <c r="S12" i="245"/>
  <c r="AD13" i="245"/>
  <c r="O16" i="245"/>
  <c r="AC16" i="245"/>
  <c r="S20" i="245"/>
  <c r="AD21" i="245"/>
  <c r="O24" i="245"/>
  <c r="AC24" i="245"/>
  <c r="S28" i="245"/>
  <c r="AD29" i="245"/>
  <c r="O17" i="245"/>
  <c r="S29" i="245"/>
  <c r="AB15" i="245"/>
  <c r="S16" i="245"/>
  <c r="AD17" i="245"/>
  <c r="AC28" i="245"/>
  <c r="AB31" i="245"/>
  <c r="O7" i="245"/>
  <c r="S11" i="245"/>
  <c r="AD12" i="245"/>
  <c r="O15" i="245"/>
  <c r="AB18" i="245"/>
  <c r="AD20" i="245"/>
  <c r="AC31" i="245"/>
  <c r="O46" i="245"/>
  <c r="AC18" i="245"/>
  <c r="AB21" i="245"/>
  <c r="AD23" i="245"/>
  <c r="K46" i="245" s="1"/>
  <c r="O13" i="245"/>
  <c r="AB24" i="245"/>
  <c r="S25" i="245"/>
  <c r="S45" i="245"/>
  <c r="AB6" i="245"/>
  <c r="S7" i="245"/>
  <c r="AD8" i="245"/>
  <c r="O11" i="245"/>
  <c r="AC11" i="245"/>
  <c r="AB14" i="245"/>
  <c r="S15" i="245"/>
  <c r="AD16" i="245"/>
  <c r="O19" i="245"/>
  <c r="AC19" i="245"/>
  <c r="S23" i="245"/>
  <c r="AD24" i="245"/>
  <c r="O27" i="245"/>
  <c r="AC27" i="245"/>
  <c r="S31" i="245"/>
  <c r="O44" i="245"/>
  <c r="S46" i="245"/>
  <c r="O9" i="245"/>
  <c r="S21" i="245"/>
  <c r="O45" i="245"/>
  <c r="AB7" i="245"/>
  <c r="AD9" i="245"/>
  <c r="O12" i="245"/>
  <c r="AC12" i="245"/>
  <c r="AD25" i="245"/>
  <c r="AB10" i="245"/>
  <c r="AC15" i="245"/>
  <c r="S19" i="245"/>
  <c r="O23" i="245"/>
  <c r="S27" i="245"/>
  <c r="AD28" i="245"/>
  <c r="O31" i="245"/>
  <c r="AD7" i="245"/>
  <c r="AC10" i="245"/>
  <c r="S14" i="245"/>
  <c r="S22" i="245"/>
  <c r="S9" i="245"/>
  <c r="AD10" i="245"/>
  <c r="S17" i="245"/>
  <c r="AD18" i="245"/>
  <c r="O21" i="245"/>
  <c r="AC21" i="245"/>
  <c r="O6" i="245"/>
  <c r="AC6" i="245"/>
  <c r="J44" i="245" s="1"/>
  <c r="S10" i="245"/>
  <c r="O14" i="245"/>
  <c r="AC14" i="245"/>
  <c r="J45" i="245" s="1"/>
  <c r="S18" i="245"/>
  <c r="AD19" i="245"/>
  <c r="O22" i="245"/>
  <c r="S26" i="245"/>
  <c r="AD27" i="245"/>
  <c r="S13" i="244"/>
  <c r="S21" i="244"/>
  <c r="AD22" i="244"/>
  <c r="O25" i="244"/>
  <c r="S29" i="244"/>
  <c r="AD30" i="244"/>
  <c r="O45" i="244"/>
  <c r="AF6" i="244"/>
  <c r="AB7" i="244"/>
  <c r="S8" i="244"/>
  <c r="AD9" i="244"/>
  <c r="O12" i="244"/>
  <c r="AC12" i="244"/>
  <c r="AF14" i="244"/>
  <c r="AB15" i="244"/>
  <c r="S16" i="244"/>
  <c r="AD17" i="244"/>
  <c r="O20" i="244"/>
  <c r="AC20" i="244"/>
  <c r="AB23" i="244"/>
  <c r="S24" i="244"/>
  <c r="AD25" i="244"/>
  <c r="O28" i="244"/>
  <c r="AC28" i="244"/>
  <c r="AB31" i="244"/>
  <c r="O7" i="244"/>
  <c r="AC7" i="244"/>
  <c r="AB10" i="244"/>
  <c r="S11" i="244"/>
  <c r="AD12" i="244"/>
  <c r="O15" i="244"/>
  <c r="AC15" i="244"/>
  <c r="S19" i="244"/>
  <c r="AD20" i="244"/>
  <c r="O23" i="244"/>
  <c r="AC23" i="244"/>
  <c r="J46" i="244" s="1"/>
  <c r="S27" i="244"/>
  <c r="AD28" i="244"/>
  <c r="O31" i="244"/>
  <c r="AC31" i="244"/>
  <c r="S44" i="244"/>
  <c r="O46" i="244"/>
  <c r="O17" i="244"/>
  <c r="AD7" i="244"/>
  <c r="S14" i="244"/>
  <c r="S22" i="244"/>
  <c r="O26" i="244"/>
  <c r="AC26" i="244"/>
  <c r="AB29" i="244"/>
  <c r="AB8" i="244"/>
  <c r="AD10" i="244"/>
  <c r="AB16" i="244"/>
  <c r="AD18" i="244"/>
  <c r="AC21" i="244"/>
  <c r="AB24" i="244"/>
  <c r="O8" i="244"/>
  <c r="AC8" i="244"/>
  <c r="S12" i="244"/>
  <c r="O16" i="244"/>
  <c r="AC16" i="244"/>
  <c r="AB19" i="244"/>
  <c r="AD21" i="244"/>
  <c r="O24" i="244"/>
  <c r="S28" i="244"/>
  <c r="AD29" i="244"/>
  <c r="AB6" i="244"/>
  <c r="S7" i="244"/>
  <c r="AD8" i="244"/>
  <c r="O11" i="244"/>
  <c r="AC11" i="244"/>
  <c r="AB14" i="244"/>
  <c r="S15" i="244"/>
  <c r="AD16" i="244"/>
  <c r="O19" i="244"/>
  <c r="AC19" i="244"/>
  <c r="S23" i="244"/>
  <c r="AD24" i="244"/>
  <c r="O27" i="244"/>
  <c r="AC27" i="244"/>
  <c r="S31" i="244"/>
  <c r="O44" i="244"/>
  <c r="S46" i="244"/>
  <c r="S6" i="244"/>
  <c r="O10" i="244"/>
  <c r="AC10" i="244"/>
  <c r="AD15" i="244"/>
  <c r="O18" i="244"/>
  <c r="AC18" i="244"/>
  <c r="AD23" i="244"/>
  <c r="K46" i="244" s="1"/>
  <c r="S9" i="244"/>
  <c r="O13" i="244"/>
  <c r="AC13" i="244"/>
  <c r="S17" i="244"/>
  <c r="O21" i="244"/>
  <c r="S25" i="244"/>
  <c r="AD26" i="244"/>
  <c r="O29" i="244"/>
  <c r="AC29" i="244"/>
  <c r="S45" i="244"/>
  <c r="AB11" i="244"/>
  <c r="AD13" i="244"/>
  <c r="S20" i="244"/>
  <c r="AC24" i="244"/>
  <c r="O6" i="244"/>
  <c r="AC6" i="244"/>
  <c r="J44" i="244" s="1"/>
  <c r="S10" i="244"/>
  <c r="O14" i="244"/>
  <c r="AC14" i="244"/>
  <c r="J45" i="244" s="1"/>
  <c r="S18" i="244"/>
  <c r="AD19" i="244"/>
  <c r="O22" i="244"/>
  <c r="S26" i="244"/>
  <c r="AD27" i="244"/>
  <c r="M16" i="243"/>
  <c r="AK26" i="243" s="1"/>
  <c r="M6" i="243"/>
  <c r="AK14" i="243" s="1"/>
  <c r="M8" i="243"/>
  <c r="AK24" i="243" s="1"/>
  <c r="M9" i="243"/>
  <c r="AK15" i="243" s="1"/>
  <c r="M11" i="243"/>
  <c r="AK25" i="243" s="1"/>
  <c r="M20" i="243"/>
  <c r="AK19" i="243" s="1"/>
  <c r="M22" i="243"/>
  <c r="AK9" i="243" s="1"/>
  <c r="M45" i="243"/>
  <c r="AD11" i="243"/>
  <c r="AC7" i="243"/>
  <c r="O28" i="243"/>
  <c r="AB13" i="243"/>
  <c r="AC25" i="243"/>
  <c r="AB30" i="243"/>
  <c r="AB22" i="243"/>
  <c r="AB12" i="243"/>
  <c r="AD14" i="243"/>
  <c r="K45" i="243" s="1"/>
  <c r="AD22" i="243"/>
  <c r="AC30" i="243"/>
  <c r="AB27" i="243"/>
  <c r="AB29" i="243"/>
  <c r="O30" i="243"/>
  <c r="AB11" i="243"/>
  <c r="AC17" i="243"/>
  <c r="AC9" i="243"/>
  <c r="AB19" i="243"/>
  <c r="O9" i="243"/>
  <c r="AC15" i="243"/>
  <c r="S13" i="243"/>
  <c r="O17" i="243"/>
  <c r="AD30" i="243"/>
  <c r="O12" i="243"/>
  <c r="AC12" i="243"/>
  <c r="AB15" i="243"/>
  <c r="AD17" i="243"/>
  <c r="O20" i="243"/>
  <c r="AB23" i="243"/>
  <c r="AD25" i="243"/>
  <c r="AC28" i="243"/>
  <c r="S11" i="243"/>
  <c r="O15" i="243"/>
  <c r="AB18" i="243"/>
  <c r="O23" i="243"/>
  <c r="S27" i="243"/>
  <c r="AD28" i="243"/>
  <c r="O46" i="243"/>
  <c r="AD7" i="243"/>
  <c r="AC10" i="243"/>
  <c r="S14" i="243"/>
  <c r="O18" i="243"/>
  <c r="AC18" i="243"/>
  <c r="AB21" i="243"/>
  <c r="S22" i="243"/>
  <c r="AD23" i="243"/>
  <c r="K46" i="243" s="1"/>
  <c r="O26" i="243"/>
  <c r="AC26" i="243"/>
  <c r="S30" i="243"/>
  <c r="AD31" i="243"/>
  <c r="AB8" i="243"/>
  <c r="S9" i="243"/>
  <c r="AD10" i="243"/>
  <c r="O13" i="243"/>
  <c r="AC13" i="243"/>
  <c r="AB16" i="243"/>
  <c r="S17" i="243"/>
  <c r="AD18" i="243"/>
  <c r="O21" i="243"/>
  <c r="AC21" i="243"/>
  <c r="AB24" i="243"/>
  <c r="S25" i="243"/>
  <c r="AD26" i="243"/>
  <c r="O29" i="243"/>
  <c r="AC29" i="243"/>
  <c r="S45" i="243"/>
  <c r="S21" i="243"/>
  <c r="O25" i="243"/>
  <c r="S29" i="243"/>
  <c r="O45" i="243"/>
  <c r="S8" i="243"/>
  <c r="AD9" i="243"/>
  <c r="S16" i="243"/>
  <c r="AC20" i="243"/>
  <c r="O7" i="243"/>
  <c r="AB10" i="243"/>
  <c r="AD12" i="243"/>
  <c r="S19" i="243"/>
  <c r="AD20" i="243"/>
  <c r="AB26" i="243"/>
  <c r="S6" i="243"/>
  <c r="AD15" i="243"/>
  <c r="O8" i="243"/>
  <c r="AC8" i="243"/>
  <c r="S12" i="243"/>
  <c r="O16" i="243"/>
  <c r="AC16" i="243"/>
  <c r="AB6" i="243"/>
  <c r="S7" i="243"/>
  <c r="AD8" i="243"/>
  <c r="O11" i="243"/>
  <c r="AC11" i="243"/>
  <c r="AB14" i="243"/>
  <c r="S15" i="243"/>
  <c r="AD16" i="243"/>
  <c r="O19" i="243"/>
  <c r="AC19" i="243"/>
  <c r="S23" i="243"/>
  <c r="AD24" i="243"/>
  <c r="O27" i="243"/>
  <c r="AC27" i="243"/>
  <c r="S31" i="243"/>
  <c r="O44" i="243"/>
  <c r="S46" i="243"/>
  <c r="AF6" i="243"/>
  <c r="AB7" i="243"/>
  <c r="S24" i="243"/>
  <c r="AB31" i="243"/>
  <c r="AC23" i="243"/>
  <c r="J46" i="243" s="1"/>
  <c r="O31" i="243"/>
  <c r="AC31" i="243"/>
  <c r="S44" i="243"/>
  <c r="O10" i="243"/>
  <c r="AD13" i="243"/>
  <c r="S20" i="243"/>
  <c r="AD21" i="243"/>
  <c r="O24" i="243"/>
  <c r="AC24" i="243"/>
  <c r="S28" i="243"/>
  <c r="O6" i="243"/>
  <c r="AC6" i="243"/>
  <c r="J44" i="243" s="1"/>
  <c r="AB9" i="243"/>
  <c r="S10" i="243"/>
  <c r="O14" i="243"/>
  <c r="AC14" i="243"/>
  <c r="J45" i="243" s="1"/>
  <c r="AB17" i="243"/>
  <c r="S18" i="243"/>
  <c r="AD19" i="243"/>
  <c r="O22" i="243"/>
  <c r="AB25" i="243"/>
  <c r="S26" i="243"/>
  <c r="AD27" i="243"/>
  <c r="T46" i="241" l="1"/>
  <c r="R46" i="241"/>
  <c r="Q46" i="241"/>
  <c r="P46" i="241"/>
  <c r="N46" i="241"/>
  <c r="T45" i="241"/>
  <c r="R45" i="241"/>
  <c r="Q45" i="241"/>
  <c r="M45" i="241" s="1"/>
  <c r="P45" i="241"/>
  <c r="N45" i="241"/>
  <c r="T44" i="241"/>
  <c r="R44" i="241"/>
  <c r="Q44" i="241"/>
  <c r="M44" i="241" s="1"/>
  <c r="P44" i="241"/>
  <c r="N44" i="241"/>
  <c r="AJ31" i="241"/>
  <c r="AI31" i="241"/>
  <c r="AH31" i="241"/>
  <c r="AG31" i="241"/>
  <c r="U31" i="241"/>
  <c r="T31" i="241"/>
  <c r="R31" i="241"/>
  <c r="Q31" i="241"/>
  <c r="P31" i="241"/>
  <c r="N31" i="241"/>
  <c r="E31" i="241"/>
  <c r="AF22" i="241" s="1"/>
  <c r="AJ30" i="241"/>
  <c r="AI30" i="241"/>
  <c r="AH30" i="241"/>
  <c r="AG30" i="241"/>
  <c r="U30" i="241"/>
  <c r="T30" i="241"/>
  <c r="R30" i="241"/>
  <c r="Q30" i="241"/>
  <c r="P30" i="241"/>
  <c r="N30" i="241"/>
  <c r="M30" i="241"/>
  <c r="AK13" i="241" s="1"/>
  <c r="E30" i="241"/>
  <c r="AF13" i="241" s="1"/>
  <c r="AJ29" i="241"/>
  <c r="AI29" i="241"/>
  <c r="AH29" i="241"/>
  <c r="AG29" i="241"/>
  <c r="U29" i="241"/>
  <c r="T29" i="241"/>
  <c r="R29" i="241"/>
  <c r="Q29" i="241"/>
  <c r="P29" i="241"/>
  <c r="N29" i="241"/>
  <c r="E29" i="241"/>
  <c r="AJ28" i="241"/>
  <c r="AI28" i="241"/>
  <c r="AH28" i="241"/>
  <c r="AG28" i="241"/>
  <c r="U28" i="241"/>
  <c r="T28" i="241"/>
  <c r="R28" i="241"/>
  <c r="Q28" i="241"/>
  <c r="P28" i="241"/>
  <c r="N28" i="241"/>
  <c r="E28" i="241"/>
  <c r="AF31" i="241" s="1"/>
  <c r="AJ27" i="241"/>
  <c r="AI27" i="241"/>
  <c r="AH27" i="241"/>
  <c r="AG27" i="241"/>
  <c r="U27" i="241"/>
  <c r="T27" i="241"/>
  <c r="R27" i="241"/>
  <c r="Q27" i="241"/>
  <c r="P27" i="241"/>
  <c r="N27" i="241"/>
  <c r="E27" i="241"/>
  <c r="AF12" i="241" s="1"/>
  <c r="AJ26" i="241"/>
  <c r="AI26" i="241"/>
  <c r="AH26" i="241"/>
  <c r="AG26" i="241"/>
  <c r="U26" i="241"/>
  <c r="T26" i="241"/>
  <c r="R26" i="241"/>
  <c r="Q26" i="241"/>
  <c r="P26" i="241"/>
  <c r="N26" i="241"/>
  <c r="E26" i="241"/>
  <c r="AF30" i="241" s="1"/>
  <c r="AJ25" i="241"/>
  <c r="AI25" i="241"/>
  <c r="AH25" i="241"/>
  <c r="AG25" i="241"/>
  <c r="U25" i="241"/>
  <c r="T25" i="241"/>
  <c r="R25" i="241"/>
  <c r="Q25" i="241"/>
  <c r="P25" i="241"/>
  <c r="N25" i="241"/>
  <c r="E25" i="241"/>
  <c r="AF20" i="241" s="1"/>
  <c r="AJ24" i="241"/>
  <c r="AI24" i="241"/>
  <c r="AH24" i="241"/>
  <c r="AG24" i="241"/>
  <c r="U24" i="241"/>
  <c r="T24" i="241"/>
  <c r="R24" i="241"/>
  <c r="Q24" i="241"/>
  <c r="P24" i="241"/>
  <c r="N24" i="241"/>
  <c r="E24" i="241"/>
  <c r="AF11" i="241" s="1"/>
  <c r="AJ23" i="241"/>
  <c r="AI23" i="241"/>
  <c r="AH23" i="241"/>
  <c r="AG23" i="241"/>
  <c r="U23" i="241"/>
  <c r="T23" i="241"/>
  <c r="R23" i="241"/>
  <c r="Q23" i="241"/>
  <c r="P23" i="241"/>
  <c r="N23" i="241"/>
  <c r="E23" i="241"/>
  <c r="AJ22" i="241"/>
  <c r="AI22" i="241"/>
  <c r="AH22" i="241"/>
  <c r="AG22" i="241"/>
  <c r="U22" i="241"/>
  <c r="T22" i="241"/>
  <c r="R22" i="241"/>
  <c r="Q22" i="241"/>
  <c r="P22" i="241"/>
  <c r="N22" i="241"/>
  <c r="E22" i="241"/>
  <c r="AJ21" i="241"/>
  <c r="AI21" i="241"/>
  <c r="AH21" i="241"/>
  <c r="AG21" i="241"/>
  <c r="AF21" i="241"/>
  <c r="U21" i="241"/>
  <c r="T21" i="241"/>
  <c r="R21" i="241"/>
  <c r="Q21" i="241"/>
  <c r="P21" i="241"/>
  <c r="N21" i="241"/>
  <c r="E21" i="241"/>
  <c r="AF29" i="241" s="1"/>
  <c r="AJ20" i="241"/>
  <c r="AI20" i="241"/>
  <c r="AH20" i="241"/>
  <c r="AG20" i="241"/>
  <c r="U20" i="241"/>
  <c r="T20" i="241"/>
  <c r="R20" i="241"/>
  <c r="Q20" i="241"/>
  <c r="P20" i="241"/>
  <c r="N20" i="241"/>
  <c r="E20" i="241"/>
  <c r="AF19" i="241" s="1"/>
  <c r="AJ19" i="241"/>
  <c r="AI19" i="241"/>
  <c r="AH19" i="241"/>
  <c r="AG19" i="241"/>
  <c r="U19" i="241"/>
  <c r="T19" i="241"/>
  <c r="R19" i="241"/>
  <c r="Q19" i="241"/>
  <c r="M19" i="241" s="1"/>
  <c r="AK28" i="241" s="1"/>
  <c r="P19" i="241"/>
  <c r="N19" i="241"/>
  <c r="E19" i="241"/>
  <c r="AF28" i="241" s="1"/>
  <c r="AJ18" i="241"/>
  <c r="AI18" i="241"/>
  <c r="AH18" i="241"/>
  <c r="AG18" i="241"/>
  <c r="U18" i="241"/>
  <c r="T18" i="241"/>
  <c r="R18" i="241"/>
  <c r="Q18" i="241"/>
  <c r="M18" i="241" s="1"/>
  <c r="AK8" i="241" s="1"/>
  <c r="P18" i="241"/>
  <c r="N18" i="241"/>
  <c r="E18" i="241"/>
  <c r="AF8" i="241" s="1"/>
  <c r="AJ17" i="241"/>
  <c r="AI17" i="241"/>
  <c r="AH17" i="241"/>
  <c r="AG17" i="241"/>
  <c r="U17" i="241"/>
  <c r="T17" i="241"/>
  <c r="R17" i="241"/>
  <c r="Q17" i="241"/>
  <c r="M17" i="241" s="1"/>
  <c r="AK27" i="241" s="1"/>
  <c r="P17" i="241"/>
  <c r="N17" i="241"/>
  <c r="E17" i="241"/>
  <c r="AF27" i="241" s="1"/>
  <c r="AJ16" i="241"/>
  <c r="AI16" i="241"/>
  <c r="AH16" i="241"/>
  <c r="AG16" i="241"/>
  <c r="U16" i="241"/>
  <c r="T16" i="241"/>
  <c r="R16" i="241"/>
  <c r="Q16" i="241"/>
  <c r="P16" i="241"/>
  <c r="N16" i="241"/>
  <c r="E16" i="241"/>
  <c r="AF26" i="241" s="1"/>
  <c r="AJ15" i="241"/>
  <c r="AI15" i="241"/>
  <c r="AH15" i="241"/>
  <c r="AG15" i="241"/>
  <c r="U15" i="241"/>
  <c r="T15" i="241"/>
  <c r="R15" i="241"/>
  <c r="Q15" i="241"/>
  <c r="P15" i="241"/>
  <c r="N15" i="241"/>
  <c r="E15" i="241"/>
  <c r="AF18" i="241" s="1"/>
  <c r="AJ14" i="241"/>
  <c r="AI14" i="241"/>
  <c r="AH14" i="241"/>
  <c r="AG14" i="241"/>
  <c r="U14" i="241"/>
  <c r="T14" i="241"/>
  <c r="R14" i="241"/>
  <c r="Q14" i="241"/>
  <c r="P14" i="241"/>
  <c r="N14" i="241"/>
  <c r="E14" i="241"/>
  <c r="AF17" i="241" s="1"/>
  <c r="AJ13" i="241"/>
  <c r="AI13" i="241"/>
  <c r="AH13" i="241"/>
  <c r="AG13" i="241"/>
  <c r="U13" i="241"/>
  <c r="T13" i="241"/>
  <c r="R13" i="241"/>
  <c r="Q13" i="241"/>
  <c r="P13" i="241"/>
  <c r="N13" i="241"/>
  <c r="E13" i="241"/>
  <c r="AF16" i="241" s="1"/>
  <c r="AJ12" i="241"/>
  <c r="AI12" i="241"/>
  <c r="AH12" i="241"/>
  <c r="AG12" i="241"/>
  <c r="U12" i="241"/>
  <c r="T12" i="241"/>
  <c r="R12" i="241"/>
  <c r="Q12" i="241"/>
  <c r="P12" i="241"/>
  <c r="N12" i="241"/>
  <c r="E12" i="241"/>
  <c r="AF7" i="241" s="1"/>
  <c r="AJ11" i="241"/>
  <c r="AI11" i="241"/>
  <c r="AH11" i="241"/>
  <c r="AG11" i="241"/>
  <c r="U11" i="241"/>
  <c r="T11" i="241"/>
  <c r="R11" i="241"/>
  <c r="Q11" i="241"/>
  <c r="P11" i="241"/>
  <c r="N11" i="241"/>
  <c r="E11" i="241"/>
  <c r="AF25" i="241" s="1"/>
  <c r="AJ10" i="241"/>
  <c r="AI10" i="241"/>
  <c r="AH10" i="241"/>
  <c r="AG10" i="241"/>
  <c r="AF10" i="241"/>
  <c r="U10" i="241"/>
  <c r="T10" i="241"/>
  <c r="R10" i="241"/>
  <c r="Q10" i="241"/>
  <c r="P10" i="241"/>
  <c r="N10" i="241"/>
  <c r="E10" i="241"/>
  <c r="AF6" i="241" s="1"/>
  <c r="AJ9" i="241"/>
  <c r="AI9" i="241"/>
  <c r="AH9" i="241"/>
  <c r="AG9" i="241"/>
  <c r="AF9" i="241"/>
  <c r="U9" i="241"/>
  <c r="T9" i="241"/>
  <c r="R9" i="241"/>
  <c r="Q9" i="241"/>
  <c r="M9" i="241" s="1"/>
  <c r="AK15" i="241" s="1"/>
  <c r="P9" i="241"/>
  <c r="N9" i="241"/>
  <c r="E9" i="241"/>
  <c r="AF15" i="241" s="1"/>
  <c r="AJ8" i="241"/>
  <c r="AI8" i="241"/>
  <c r="AH8" i="241"/>
  <c r="AG8" i="241"/>
  <c r="U8" i="241"/>
  <c r="T8" i="241"/>
  <c r="R8" i="241"/>
  <c r="Q8" i="241"/>
  <c r="M8" i="241" s="1"/>
  <c r="AK24" i="241" s="1"/>
  <c r="P8" i="241"/>
  <c r="N8" i="241"/>
  <c r="E8" i="241"/>
  <c r="AF24" i="241" s="1"/>
  <c r="AJ7" i="241"/>
  <c r="AI7" i="241"/>
  <c r="AH7" i="241"/>
  <c r="AG7" i="241"/>
  <c r="U7" i="241"/>
  <c r="T7" i="241"/>
  <c r="R7" i="241"/>
  <c r="Q7" i="241"/>
  <c r="M7" i="241" s="1"/>
  <c r="AK23" i="241" s="1"/>
  <c r="P7" i="241"/>
  <c r="N7" i="241"/>
  <c r="E7" i="241"/>
  <c r="AF23" i="241" s="1"/>
  <c r="AJ6" i="241"/>
  <c r="AI6" i="241"/>
  <c r="AH6" i="241"/>
  <c r="AG6" i="241"/>
  <c r="U6" i="241"/>
  <c r="T6" i="241"/>
  <c r="R6" i="241"/>
  <c r="Q6" i="241"/>
  <c r="P6" i="241"/>
  <c r="N6" i="241"/>
  <c r="E6" i="241"/>
  <c r="M13" i="241" l="1"/>
  <c r="AK16" i="241" s="1"/>
  <c r="M21" i="241"/>
  <c r="AK29" i="241" s="1"/>
  <c r="M16" i="241"/>
  <c r="AK26" i="241" s="1"/>
  <c r="M15" i="241"/>
  <c r="AK18" i="241" s="1"/>
  <c r="AB22" i="241"/>
  <c r="M24" i="241"/>
  <c r="AK11" i="241" s="1"/>
  <c r="M27" i="241"/>
  <c r="AK12" i="241" s="1"/>
  <c r="AB9" i="241"/>
  <c r="M11" i="241"/>
  <c r="AK25" i="241" s="1"/>
  <c r="M25" i="241"/>
  <c r="AK20" i="241" s="1"/>
  <c r="AC26" i="241"/>
  <c r="O30" i="241"/>
  <c r="M23" i="241"/>
  <c r="AK10" i="241" s="1"/>
  <c r="M22" i="241"/>
  <c r="AK9" i="241" s="1"/>
  <c r="M10" i="241"/>
  <c r="AK6" i="241" s="1"/>
  <c r="M12" i="241"/>
  <c r="AK7" i="241" s="1"/>
  <c r="M14" i="241"/>
  <c r="AK17" i="241" s="1"/>
  <c r="M46" i="241"/>
  <c r="M26" i="241"/>
  <c r="AK30" i="241" s="1"/>
  <c r="M28" i="241"/>
  <c r="AK31" i="241" s="1"/>
  <c r="M6" i="241"/>
  <c r="AK14" i="241" s="1"/>
  <c r="M20" i="241"/>
  <c r="AK19" i="241" s="1"/>
  <c r="M29" i="241"/>
  <c r="AK21" i="241" s="1"/>
  <c r="M31" i="241"/>
  <c r="AK22" i="241" s="1"/>
  <c r="AB24" i="241"/>
  <c r="AD23" i="241"/>
  <c r="K46" i="241" s="1"/>
  <c r="AC23" i="241"/>
  <c r="J46" i="241" s="1"/>
  <c r="AB10" i="241"/>
  <c r="AB11" i="241"/>
  <c r="AB15" i="241"/>
  <c r="AB17" i="241"/>
  <c r="AB26" i="241"/>
  <c r="AB19" i="241"/>
  <c r="AB31" i="241"/>
  <c r="AB18" i="241"/>
  <c r="AB29" i="241"/>
  <c r="AD11" i="241"/>
  <c r="AC7" i="241"/>
  <c r="AB12" i="241"/>
  <c r="AC22" i="241"/>
  <c r="AD12" i="241"/>
  <c r="O7" i="241"/>
  <c r="AC30" i="241"/>
  <c r="AB25" i="241"/>
  <c r="AB28" i="241"/>
  <c r="AB7" i="241"/>
  <c r="AC15" i="241"/>
  <c r="AB20" i="241"/>
  <c r="O15" i="241"/>
  <c r="S19" i="241"/>
  <c r="AD20" i="241"/>
  <c r="O23" i="241"/>
  <c r="S6" i="241"/>
  <c r="O10" i="241"/>
  <c r="AC10" i="241"/>
  <c r="AB13" i="241"/>
  <c r="AD15" i="241"/>
  <c r="O13" i="241"/>
  <c r="AB16" i="241"/>
  <c r="O16" i="241"/>
  <c r="S20" i="241"/>
  <c r="O24" i="241"/>
  <c r="AD29" i="241"/>
  <c r="O6" i="241"/>
  <c r="AD6" i="241"/>
  <c r="K44" i="241" s="1"/>
  <c r="O9" i="241"/>
  <c r="AC9" i="241"/>
  <c r="S13" i="241"/>
  <c r="AD14" i="241"/>
  <c r="K45" i="241" s="1"/>
  <c r="O17" i="241"/>
  <c r="AC17" i="241"/>
  <c r="S21" i="241"/>
  <c r="AD22" i="241"/>
  <c r="O25" i="241"/>
  <c r="AC25" i="241"/>
  <c r="S29" i="241"/>
  <c r="AD30" i="241"/>
  <c r="O45" i="241"/>
  <c r="S14" i="241"/>
  <c r="O18" i="241"/>
  <c r="AC18" i="241"/>
  <c r="AB21" i="241"/>
  <c r="S22" i="241"/>
  <c r="O26" i="241"/>
  <c r="S17" i="241"/>
  <c r="S25" i="241"/>
  <c r="O29" i="241"/>
  <c r="S12" i="241"/>
  <c r="AD13" i="241"/>
  <c r="AC16" i="241"/>
  <c r="AD21" i="241"/>
  <c r="AC24" i="241"/>
  <c r="AB6" i="241"/>
  <c r="S7" i="241"/>
  <c r="AD8" i="241"/>
  <c r="S8" i="241"/>
  <c r="AD9" i="241"/>
  <c r="O12" i="241"/>
  <c r="AC12" i="241"/>
  <c r="AF14" i="241"/>
  <c r="S16" i="241"/>
  <c r="AD17" i="241"/>
  <c r="O20" i="241"/>
  <c r="AC20" i="241"/>
  <c r="AB23" i="241"/>
  <c r="S24" i="241"/>
  <c r="AD25" i="241"/>
  <c r="O28" i="241"/>
  <c r="AC28" i="241"/>
  <c r="S27" i="241"/>
  <c r="AD28" i="241"/>
  <c r="O31" i="241"/>
  <c r="AC31" i="241"/>
  <c r="S44" i="241"/>
  <c r="O46" i="241"/>
  <c r="S30" i="241"/>
  <c r="AD31" i="241"/>
  <c r="S45" i="241"/>
  <c r="S11" i="241"/>
  <c r="AD7" i="241"/>
  <c r="AB8" i="241"/>
  <c r="S9" i="241"/>
  <c r="AD10" i="241"/>
  <c r="AC13" i="241"/>
  <c r="AD18" i="241"/>
  <c r="O21" i="241"/>
  <c r="AD26" i="241"/>
  <c r="AC29" i="241"/>
  <c r="O8" i="241"/>
  <c r="O11" i="241"/>
  <c r="AC11" i="241"/>
  <c r="AB14" i="241"/>
  <c r="S15" i="241"/>
  <c r="AD16" i="241"/>
  <c r="O19" i="241"/>
  <c r="AC19" i="241"/>
  <c r="S23" i="241"/>
  <c r="AD24" i="241"/>
  <c r="O27" i="241"/>
  <c r="AC27" i="241"/>
  <c r="AB30" i="241"/>
  <c r="S31" i="241"/>
  <c r="O44" i="241"/>
  <c r="S46" i="241"/>
  <c r="AC21" i="241"/>
  <c r="AC8" i="241"/>
  <c r="AB27" i="241"/>
  <c r="S28" i="241"/>
  <c r="AC6" i="241"/>
  <c r="J44" i="241" s="1"/>
  <c r="S10" i="241"/>
  <c r="O14" i="241"/>
  <c r="AC14" i="241"/>
  <c r="J45" i="241" s="1"/>
  <c r="S18" i="241"/>
  <c r="AD19" i="241"/>
  <c r="O22" i="241"/>
  <c r="S26" i="241"/>
  <c r="AD27" i="241"/>
  <c r="T46" i="240" l="1"/>
  <c r="R46" i="240"/>
  <c r="Q46" i="240"/>
  <c r="M46" i="240" s="1"/>
  <c r="P46" i="240"/>
  <c r="N46" i="240"/>
  <c r="T45" i="240"/>
  <c r="R45" i="240"/>
  <c r="Q45" i="240"/>
  <c r="P45" i="240"/>
  <c r="N45" i="240"/>
  <c r="T44" i="240"/>
  <c r="R44" i="240"/>
  <c r="Q44" i="240"/>
  <c r="P44" i="240"/>
  <c r="N44" i="240"/>
  <c r="M44" i="240"/>
  <c r="AJ31" i="240"/>
  <c r="AI31" i="240"/>
  <c r="AH31" i="240"/>
  <c r="AG31" i="240"/>
  <c r="U31" i="240"/>
  <c r="T31" i="240"/>
  <c r="R31" i="240"/>
  <c r="Q31" i="240"/>
  <c r="P31" i="240"/>
  <c r="N31" i="240"/>
  <c r="E31" i="240"/>
  <c r="AJ30" i="240"/>
  <c r="AI30" i="240"/>
  <c r="AH30" i="240"/>
  <c r="AG30" i="240"/>
  <c r="U30" i="240"/>
  <c r="T30" i="240"/>
  <c r="R30" i="240"/>
  <c r="Q30" i="240"/>
  <c r="P30" i="240"/>
  <c r="N30" i="240"/>
  <c r="M30" i="240"/>
  <c r="E30" i="240"/>
  <c r="AF13" i="240" s="1"/>
  <c r="AJ29" i="240"/>
  <c r="AI29" i="240"/>
  <c r="AH29" i="240"/>
  <c r="AG29" i="240"/>
  <c r="U29" i="240"/>
  <c r="T29" i="240"/>
  <c r="R29" i="240"/>
  <c r="Q29" i="240"/>
  <c r="M29" i="240" s="1"/>
  <c r="AK21" i="240" s="1"/>
  <c r="P29" i="240"/>
  <c r="N29" i="240"/>
  <c r="E29" i="240"/>
  <c r="AF21" i="240" s="1"/>
  <c r="AJ28" i="240"/>
  <c r="AI28" i="240"/>
  <c r="AH28" i="240"/>
  <c r="AG28" i="240"/>
  <c r="U28" i="240"/>
  <c r="T28" i="240"/>
  <c r="R28" i="240"/>
  <c r="Q28" i="240"/>
  <c r="P28" i="240"/>
  <c r="N28" i="240"/>
  <c r="E28" i="240"/>
  <c r="AF31" i="240" s="1"/>
  <c r="AJ27" i="240"/>
  <c r="AI27" i="240"/>
  <c r="AH27" i="240"/>
  <c r="AG27" i="240"/>
  <c r="U27" i="240"/>
  <c r="T27" i="240"/>
  <c r="R27" i="240"/>
  <c r="Q27" i="240"/>
  <c r="P27" i="240"/>
  <c r="N27" i="240"/>
  <c r="E27" i="240"/>
  <c r="AF12" i="240" s="1"/>
  <c r="AJ26" i="240"/>
  <c r="AI26" i="240"/>
  <c r="AH26" i="240"/>
  <c r="AG26" i="240"/>
  <c r="U26" i="240"/>
  <c r="T26" i="240"/>
  <c r="R26" i="240"/>
  <c r="Q26" i="240"/>
  <c r="M26" i="240" s="1"/>
  <c r="AK30" i="240" s="1"/>
  <c r="P26" i="240"/>
  <c r="N26" i="240"/>
  <c r="E26" i="240"/>
  <c r="AF30" i="240" s="1"/>
  <c r="AJ25" i="240"/>
  <c r="AI25" i="240"/>
  <c r="AH25" i="240"/>
  <c r="AG25" i="240"/>
  <c r="U25" i="240"/>
  <c r="T25" i="240"/>
  <c r="R25" i="240"/>
  <c r="Q25" i="240"/>
  <c r="P25" i="240"/>
  <c r="N25" i="240"/>
  <c r="E25" i="240"/>
  <c r="AF20" i="240" s="1"/>
  <c r="AJ24" i="240"/>
  <c r="AI24" i="240"/>
  <c r="AH24" i="240"/>
  <c r="AG24" i="240"/>
  <c r="U24" i="240"/>
  <c r="T24" i="240"/>
  <c r="R24" i="240"/>
  <c r="Q24" i="240"/>
  <c r="M24" i="240" s="1"/>
  <c r="AK11" i="240" s="1"/>
  <c r="P24" i="240"/>
  <c r="N24" i="240"/>
  <c r="E24" i="240"/>
  <c r="AF11" i="240" s="1"/>
  <c r="AJ23" i="240"/>
  <c r="AI23" i="240"/>
  <c r="AH23" i="240"/>
  <c r="AG23" i="240"/>
  <c r="U23" i="240"/>
  <c r="T23" i="240"/>
  <c r="R23" i="240"/>
  <c r="Q23" i="240"/>
  <c r="P23" i="240"/>
  <c r="N23" i="240"/>
  <c r="E23" i="240"/>
  <c r="AJ22" i="240"/>
  <c r="AI22" i="240"/>
  <c r="AH22" i="240"/>
  <c r="AG22" i="240"/>
  <c r="AF22" i="240"/>
  <c r="U22" i="240"/>
  <c r="T22" i="240"/>
  <c r="R22" i="240"/>
  <c r="Q22" i="240"/>
  <c r="M22" i="240" s="1"/>
  <c r="AK9" i="240" s="1"/>
  <c r="P22" i="240"/>
  <c r="N22" i="240"/>
  <c r="E22" i="240"/>
  <c r="AF9" i="240" s="1"/>
  <c r="AJ21" i="240"/>
  <c r="AI21" i="240"/>
  <c r="AH21" i="240"/>
  <c r="AG21" i="240"/>
  <c r="U21" i="240"/>
  <c r="T21" i="240"/>
  <c r="R21" i="240"/>
  <c r="Q21" i="240"/>
  <c r="M21" i="240" s="1"/>
  <c r="AK29" i="240" s="1"/>
  <c r="P21" i="240"/>
  <c r="N21" i="240"/>
  <c r="E21" i="240"/>
  <c r="AF29" i="240" s="1"/>
  <c r="AJ20" i="240"/>
  <c r="AI20" i="240"/>
  <c r="AH20" i="240"/>
  <c r="AG20" i="240"/>
  <c r="U20" i="240"/>
  <c r="T20" i="240"/>
  <c r="R20" i="240"/>
  <c r="Q20" i="240"/>
  <c r="M20" i="240" s="1"/>
  <c r="AK19" i="240" s="1"/>
  <c r="P20" i="240"/>
  <c r="N20" i="240"/>
  <c r="E20" i="240"/>
  <c r="AF19" i="240" s="1"/>
  <c r="AJ19" i="240"/>
  <c r="AI19" i="240"/>
  <c r="AH19" i="240"/>
  <c r="AG19" i="240"/>
  <c r="U19" i="240"/>
  <c r="T19" i="240"/>
  <c r="R19" i="240"/>
  <c r="Q19" i="240"/>
  <c r="P19" i="240"/>
  <c r="N19" i="240"/>
  <c r="E19" i="240"/>
  <c r="AF28" i="240" s="1"/>
  <c r="AJ18" i="240"/>
  <c r="AI18" i="240"/>
  <c r="AH18" i="240"/>
  <c r="AG18" i="240"/>
  <c r="U18" i="240"/>
  <c r="T18" i="240"/>
  <c r="R18" i="240"/>
  <c r="Q18" i="240"/>
  <c r="P18" i="240"/>
  <c r="N18" i="240"/>
  <c r="E18" i="240"/>
  <c r="AF8" i="240" s="1"/>
  <c r="AJ17" i="240"/>
  <c r="AI17" i="240"/>
  <c r="AH17" i="240"/>
  <c r="AG17" i="240"/>
  <c r="U17" i="240"/>
  <c r="T17" i="240"/>
  <c r="R17" i="240"/>
  <c r="Q17" i="240"/>
  <c r="P17" i="240"/>
  <c r="N17" i="240"/>
  <c r="E17" i="240"/>
  <c r="AF27" i="240" s="1"/>
  <c r="AJ16" i="240"/>
  <c r="AI16" i="240"/>
  <c r="AH16" i="240"/>
  <c r="AG16" i="240"/>
  <c r="U16" i="240"/>
  <c r="T16" i="240"/>
  <c r="R16" i="240"/>
  <c r="Q16" i="240"/>
  <c r="M16" i="240" s="1"/>
  <c r="AK26" i="240" s="1"/>
  <c r="P16" i="240"/>
  <c r="N16" i="240"/>
  <c r="E16" i="240"/>
  <c r="AF26" i="240" s="1"/>
  <c r="AJ15" i="240"/>
  <c r="AI15" i="240"/>
  <c r="AH15" i="240"/>
  <c r="AG15" i="240"/>
  <c r="U15" i="240"/>
  <c r="T15" i="240"/>
  <c r="R15" i="240"/>
  <c r="Q15" i="240"/>
  <c r="M15" i="240" s="1"/>
  <c r="AK18" i="240" s="1"/>
  <c r="P15" i="240"/>
  <c r="N15" i="240"/>
  <c r="E15" i="240"/>
  <c r="AF18" i="240" s="1"/>
  <c r="AJ14" i="240"/>
  <c r="AI14" i="240"/>
  <c r="AH14" i="240"/>
  <c r="AG14" i="240"/>
  <c r="U14" i="240"/>
  <c r="T14" i="240"/>
  <c r="R14" i="240"/>
  <c r="Q14" i="240"/>
  <c r="M14" i="240" s="1"/>
  <c r="AK17" i="240" s="1"/>
  <c r="P14" i="240"/>
  <c r="N14" i="240"/>
  <c r="E14" i="240"/>
  <c r="AF17" i="240" s="1"/>
  <c r="AK13" i="240"/>
  <c r="AJ13" i="240"/>
  <c r="AI13" i="240"/>
  <c r="AH13" i="240"/>
  <c r="AG13" i="240"/>
  <c r="U13" i="240"/>
  <c r="T13" i="240"/>
  <c r="R13" i="240"/>
  <c r="Q13" i="240"/>
  <c r="M13" i="240" s="1"/>
  <c r="AK16" i="240" s="1"/>
  <c r="P13" i="240"/>
  <c r="N13" i="240"/>
  <c r="E13" i="240"/>
  <c r="AF16" i="240" s="1"/>
  <c r="AJ12" i="240"/>
  <c r="AI12" i="240"/>
  <c r="AH12" i="240"/>
  <c r="AG12" i="240"/>
  <c r="U12" i="240"/>
  <c r="T12" i="240"/>
  <c r="R12" i="240"/>
  <c r="Q12" i="240"/>
  <c r="M12" i="240" s="1"/>
  <c r="AK7" i="240" s="1"/>
  <c r="P12" i="240"/>
  <c r="N12" i="240"/>
  <c r="E12" i="240"/>
  <c r="AF7" i="240" s="1"/>
  <c r="AJ11" i="240"/>
  <c r="AI11" i="240"/>
  <c r="AH11" i="240"/>
  <c r="AG11" i="240"/>
  <c r="U11" i="240"/>
  <c r="T11" i="240"/>
  <c r="R11" i="240"/>
  <c r="Q11" i="240"/>
  <c r="P11" i="240"/>
  <c r="N11" i="240"/>
  <c r="E11" i="240"/>
  <c r="AF25" i="240" s="1"/>
  <c r="AJ10" i="240"/>
  <c r="AI10" i="240"/>
  <c r="AH10" i="240"/>
  <c r="AG10" i="240"/>
  <c r="AF10" i="240"/>
  <c r="U10" i="240"/>
  <c r="T10" i="240"/>
  <c r="R10" i="240"/>
  <c r="Q10" i="240"/>
  <c r="P10" i="240"/>
  <c r="N10" i="240"/>
  <c r="E10" i="240"/>
  <c r="AF6" i="240" s="1"/>
  <c r="AJ9" i="240"/>
  <c r="AI9" i="240"/>
  <c r="AH9" i="240"/>
  <c r="AG9" i="240"/>
  <c r="U9" i="240"/>
  <c r="T9" i="240"/>
  <c r="R9" i="240"/>
  <c r="Q9" i="240"/>
  <c r="P9" i="240"/>
  <c r="N9" i="240"/>
  <c r="E9" i="240"/>
  <c r="AF15" i="240" s="1"/>
  <c r="AJ8" i="240"/>
  <c r="AI8" i="240"/>
  <c r="AH8" i="240"/>
  <c r="AG8" i="240"/>
  <c r="U8" i="240"/>
  <c r="T8" i="240"/>
  <c r="R8" i="240"/>
  <c r="Q8" i="240"/>
  <c r="M8" i="240" s="1"/>
  <c r="AK24" i="240" s="1"/>
  <c r="P8" i="240"/>
  <c r="N8" i="240"/>
  <c r="E8" i="240"/>
  <c r="AF24" i="240" s="1"/>
  <c r="AJ7" i="240"/>
  <c r="AI7" i="240"/>
  <c r="AH7" i="240"/>
  <c r="AG7" i="240"/>
  <c r="U7" i="240"/>
  <c r="T7" i="240"/>
  <c r="R7" i="240"/>
  <c r="Q7" i="240"/>
  <c r="P7" i="240"/>
  <c r="N7" i="240"/>
  <c r="E7" i="240"/>
  <c r="AF23" i="240" s="1"/>
  <c r="AJ6" i="240"/>
  <c r="AI6" i="240"/>
  <c r="AH6" i="240"/>
  <c r="AG6" i="240"/>
  <c r="U6" i="240"/>
  <c r="T6" i="240"/>
  <c r="R6" i="240"/>
  <c r="Q6" i="240"/>
  <c r="M6" i="240" s="1"/>
  <c r="AK14" i="240" s="1"/>
  <c r="P6" i="240"/>
  <c r="N6" i="240"/>
  <c r="E6" i="240"/>
  <c r="T46" i="239"/>
  <c r="R46" i="239"/>
  <c r="Q46" i="239"/>
  <c r="P46" i="239"/>
  <c r="N46" i="239"/>
  <c r="T45" i="239"/>
  <c r="R45" i="239"/>
  <c r="Q45" i="239"/>
  <c r="P45" i="239"/>
  <c r="N45" i="239"/>
  <c r="T44" i="239"/>
  <c r="R44" i="239"/>
  <c r="Q44" i="239"/>
  <c r="P44" i="239"/>
  <c r="N44" i="239"/>
  <c r="AJ31" i="239"/>
  <c r="AI31" i="239"/>
  <c r="AH31" i="239"/>
  <c r="AG31" i="239"/>
  <c r="U31" i="239"/>
  <c r="T31" i="239"/>
  <c r="R31" i="239"/>
  <c r="Q31" i="239"/>
  <c r="M31" i="239" s="1"/>
  <c r="AK22" i="239" s="1"/>
  <c r="P31" i="239"/>
  <c r="N31" i="239"/>
  <c r="E31" i="239"/>
  <c r="AF22" i="239" s="1"/>
  <c r="AJ30" i="239"/>
  <c r="AI30" i="239"/>
  <c r="AH30" i="239"/>
  <c r="AG30" i="239"/>
  <c r="U30" i="239"/>
  <c r="T30" i="239"/>
  <c r="R30" i="239"/>
  <c r="Q30" i="239"/>
  <c r="P30" i="239"/>
  <c r="N30" i="239"/>
  <c r="E30" i="239"/>
  <c r="AF13" i="239" s="1"/>
  <c r="AJ29" i="239"/>
  <c r="AI29" i="239"/>
  <c r="AH29" i="239"/>
  <c r="AG29" i="239"/>
  <c r="U29" i="239"/>
  <c r="T29" i="239"/>
  <c r="R29" i="239"/>
  <c r="Q29" i="239"/>
  <c r="P29" i="239"/>
  <c r="N29" i="239"/>
  <c r="E29" i="239"/>
  <c r="AF21" i="239" s="1"/>
  <c r="AJ28" i="239"/>
  <c r="AI28" i="239"/>
  <c r="AH28" i="239"/>
  <c r="AG28" i="239"/>
  <c r="U28" i="239"/>
  <c r="T28" i="239"/>
  <c r="R28" i="239"/>
  <c r="Q28" i="239"/>
  <c r="P28" i="239"/>
  <c r="N28" i="239"/>
  <c r="E28" i="239"/>
  <c r="AF31" i="239" s="1"/>
  <c r="AJ27" i="239"/>
  <c r="AI27" i="239"/>
  <c r="AH27" i="239"/>
  <c r="AG27" i="239"/>
  <c r="U27" i="239"/>
  <c r="T27" i="239"/>
  <c r="R27" i="239"/>
  <c r="Q27" i="239"/>
  <c r="P27" i="239"/>
  <c r="N27" i="239"/>
  <c r="E27" i="239"/>
  <c r="AJ26" i="239"/>
  <c r="AI26" i="239"/>
  <c r="AH26" i="239"/>
  <c r="AG26" i="239"/>
  <c r="U26" i="239"/>
  <c r="T26" i="239"/>
  <c r="R26" i="239"/>
  <c r="Q26" i="239"/>
  <c r="P26" i="239"/>
  <c r="N26" i="239"/>
  <c r="E26" i="239"/>
  <c r="AF30" i="239" s="1"/>
  <c r="AJ25" i="239"/>
  <c r="AI25" i="239"/>
  <c r="AH25" i="239"/>
  <c r="AG25" i="239"/>
  <c r="U25" i="239"/>
  <c r="T25" i="239"/>
  <c r="R25" i="239"/>
  <c r="Q25" i="239"/>
  <c r="P25" i="239"/>
  <c r="N25" i="239"/>
  <c r="M25" i="239"/>
  <c r="AK20" i="239" s="1"/>
  <c r="E25" i="239"/>
  <c r="AF20" i="239" s="1"/>
  <c r="AJ24" i="239"/>
  <c r="AI24" i="239"/>
  <c r="AH24" i="239"/>
  <c r="AG24" i="239"/>
  <c r="U24" i="239"/>
  <c r="T24" i="239"/>
  <c r="R24" i="239"/>
  <c r="Q24" i="239"/>
  <c r="P24" i="239"/>
  <c r="N24" i="239"/>
  <c r="E24" i="239"/>
  <c r="AF11" i="239" s="1"/>
  <c r="AJ23" i="239"/>
  <c r="AI23" i="239"/>
  <c r="AH23" i="239"/>
  <c r="AG23" i="239"/>
  <c r="U23" i="239"/>
  <c r="T23" i="239"/>
  <c r="R23" i="239"/>
  <c r="Q23" i="239"/>
  <c r="P23" i="239"/>
  <c r="N23" i="239"/>
  <c r="M23" i="239"/>
  <c r="AK10" i="239" s="1"/>
  <c r="E23" i="239"/>
  <c r="AF10" i="239" s="1"/>
  <c r="AJ22" i="239"/>
  <c r="AI22" i="239"/>
  <c r="AH22" i="239"/>
  <c r="AG22" i="239"/>
  <c r="U22" i="239"/>
  <c r="T22" i="239"/>
  <c r="R22" i="239"/>
  <c r="Q22" i="239"/>
  <c r="M22" i="239" s="1"/>
  <c r="AK9" i="239" s="1"/>
  <c r="P22" i="239"/>
  <c r="N22" i="239"/>
  <c r="E22" i="239"/>
  <c r="AF9" i="239" s="1"/>
  <c r="AJ21" i="239"/>
  <c r="AI21" i="239"/>
  <c r="AH21" i="239"/>
  <c r="AG21" i="239"/>
  <c r="U21" i="239"/>
  <c r="T21" i="239"/>
  <c r="R21" i="239"/>
  <c r="Q21" i="239"/>
  <c r="P21" i="239"/>
  <c r="N21" i="239"/>
  <c r="E21" i="239"/>
  <c r="AF29" i="239" s="1"/>
  <c r="AJ20" i="239"/>
  <c r="AI20" i="239"/>
  <c r="AH20" i="239"/>
  <c r="AG20" i="239"/>
  <c r="U20" i="239"/>
  <c r="T20" i="239"/>
  <c r="R20" i="239"/>
  <c r="Q20" i="239"/>
  <c r="M20" i="239" s="1"/>
  <c r="AK19" i="239" s="1"/>
  <c r="P20" i="239"/>
  <c r="N20" i="239"/>
  <c r="E20" i="239"/>
  <c r="AF19" i="239" s="1"/>
  <c r="AJ19" i="239"/>
  <c r="AI19" i="239"/>
  <c r="AH19" i="239"/>
  <c r="AG19" i="239"/>
  <c r="U19" i="239"/>
  <c r="T19" i="239"/>
  <c r="R19" i="239"/>
  <c r="Q19" i="239"/>
  <c r="P19" i="239"/>
  <c r="N19" i="239"/>
  <c r="E19" i="239"/>
  <c r="AF28" i="239" s="1"/>
  <c r="AJ18" i="239"/>
  <c r="AI18" i="239"/>
  <c r="AH18" i="239"/>
  <c r="AG18" i="239"/>
  <c r="U18" i="239"/>
  <c r="T18" i="239"/>
  <c r="R18" i="239"/>
  <c r="Q18" i="239"/>
  <c r="M18" i="239" s="1"/>
  <c r="AK8" i="239" s="1"/>
  <c r="P18" i="239"/>
  <c r="N18" i="239"/>
  <c r="E18" i="239"/>
  <c r="AF8" i="239" s="1"/>
  <c r="AJ17" i="239"/>
  <c r="AI17" i="239"/>
  <c r="AH17" i="239"/>
  <c r="AG17" i="239"/>
  <c r="U17" i="239"/>
  <c r="T17" i="239"/>
  <c r="R17" i="239"/>
  <c r="Q17" i="239"/>
  <c r="P17" i="239"/>
  <c r="N17" i="239"/>
  <c r="E17" i="239"/>
  <c r="AF27" i="239" s="1"/>
  <c r="AJ16" i="239"/>
  <c r="AI16" i="239"/>
  <c r="AH16" i="239"/>
  <c r="AG16" i="239"/>
  <c r="U16" i="239"/>
  <c r="T16" i="239"/>
  <c r="R16" i="239"/>
  <c r="Q16" i="239"/>
  <c r="P16" i="239"/>
  <c r="N16" i="239"/>
  <c r="E16" i="239"/>
  <c r="AF26" i="239" s="1"/>
  <c r="AJ15" i="239"/>
  <c r="AI15" i="239"/>
  <c r="AH15" i="239"/>
  <c r="AG15" i="239"/>
  <c r="U15" i="239"/>
  <c r="T15" i="239"/>
  <c r="R15" i="239"/>
  <c r="Q15" i="239"/>
  <c r="P15" i="239"/>
  <c r="N15" i="239"/>
  <c r="E15" i="239"/>
  <c r="AF18" i="239" s="1"/>
  <c r="AJ14" i="239"/>
  <c r="AI14" i="239"/>
  <c r="AH14" i="239"/>
  <c r="AG14" i="239"/>
  <c r="U14" i="239"/>
  <c r="T14" i="239"/>
  <c r="R14" i="239"/>
  <c r="Q14" i="239"/>
  <c r="M14" i="239" s="1"/>
  <c r="AK17" i="239" s="1"/>
  <c r="P14" i="239"/>
  <c r="N14" i="239"/>
  <c r="E14" i="239"/>
  <c r="AF17" i="239" s="1"/>
  <c r="AJ13" i="239"/>
  <c r="AI13" i="239"/>
  <c r="AH13" i="239"/>
  <c r="AG13" i="239"/>
  <c r="U13" i="239"/>
  <c r="T13" i="239"/>
  <c r="R13" i="239"/>
  <c r="Q13" i="239"/>
  <c r="P13" i="239"/>
  <c r="N13" i="239"/>
  <c r="E13" i="239"/>
  <c r="AF16" i="239" s="1"/>
  <c r="AJ12" i="239"/>
  <c r="AI12" i="239"/>
  <c r="AH12" i="239"/>
  <c r="AG12" i="239"/>
  <c r="AF12" i="239"/>
  <c r="U12" i="239"/>
  <c r="T12" i="239"/>
  <c r="R12" i="239"/>
  <c r="Q12" i="239"/>
  <c r="P12" i="239"/>
  <c r="N12" i="239"/>
  <c r="E12" i="239"/>
  <c r="AF7" i="239" s="1"/>
  <c r="AJ11" i="239"/>
  <c r="AI11" i="239"/>
  <c r="AH11" i="239"/>
  <c r="AG11" i="239"/>
  <c r="U11" i="239"/>
  <c r="T11" i="239"/>
  <c r="R11" i="239"/>
  <c r="Q11" i="239"/>
  <c r="P11" i="239"/>
  <c r="N11" i="239"/>
  <c r="E11" i="239"/>
  <c r="AF25" i="239" s="1"/>
  <c r="AJ10" i="239"/>
  <c r="AI10" i="239"/>
  <c r="AH10" i="239"/>
  <c r="AG10" i="239"/>
  <c r="U10" i="239"/>
  <c r="T10" i="239"/>
  <c r="R10" i="239"/>
  <c r="Q10" i="239"/>
  <c r="P10" i="239"/>
  <c r="N10" i="239"/>
  <c r="E10" i="239"/>
  <c r="AF6" i="239" s="1"/>
  <c r="AJ9" i="239"/>
  <c r="AI9" i="239"/>
  <c r="AH9" i="239"/>
  <c r="AG9" i="239"/>
  <c r="U9" i="239"/>
  <c r="T9" i="239"/>
  <c r="R9" i="239"/>
  <c r="Q9" i="239"/>
  <c r="P9" i="239"/>
  <c r="N9" i="239"/>
  <c r="E9" i="239"/>
  <c r="AF15" i="239" s="1"/>
  <c r="AJ8" i="239"/>
  <c r="AI8" i="239"/>
  <c r="AH8" i="239"/>
  <c r="AG8" i="239"/>
  <c r="U8" i="239"/>
  <c r="T8" i="239"/>
  <c r="R8" i="239"/>
  <c r="Q8" i="239"/>
  <c r="P8" i="239"/>
  <c r="N8" i="239"/>
  <c r="E8" i="239"/>
  <c r="AF24" i="239" s="1"/>
  <c r="AJ7" i="239"/>
  <c r="AI7" i="239"/>
  <c r="AH7" i="239"/>
  <c r="AG7" i="239"/>
  <c r="U7" i="239"/>
  <c r="T7" i="239"/>
  <c r="R7" i="239"/>
  <c r="Q7" i="239"/>
  <c r="P7" i="239"/>
  <c r="N7" i="239"/>
  <c r="E7" i="239"/>
  <c r="AJ6" i="239"/>
  <c r="AI6" i="239"/>
  <c r="AH6" i="239"/>
  <c r="AG6" i="239"/>
  <c r="U6" i="239"/>
  <c r="T6" i="239"/>
  <c r="R6" i="239"/>
  <c r="Q6" i="239"/>
  <c r="P6" i="239"/>
  <c r="N6" i="239"/>
  <c r="E6" i="239"/>
  <c r="T46" i="238"/>
  <c r="R46" i="238"/>
  <c r="M46" i="238" s="1"/>
  <c r="Q46" i="238"/>
  <c r="P46" i="238"/>
  <c r="N46" i="238"/>
  <c r="T45" i="238"/>
  <c r="R45" i="238"/>
  <c r="Q45" i="238"/>
  <c r="P45" i="238"/>
  <c r="N45" i="238"/>
  <c r="T44" i="238"/>
  <c r="R44" i="238"/>
  <c r="Q44" i="238"/>
  <c r="P44" i="238"/>
  <c r="N44" i="238"/>
  <c r="AJ31" i="238"/>
  <c r="AI31" i="238"/>
  <c r="AH31" i="238"/>
  <c r="AG31" i="238"/>
  <c r="U31" i="238"/>
  <c r="T31" i="238"/>
  <c r="R31" i="238"/>
  <c r="Q31" i="238"/>
  <c r="M31" i="238" s="1"/>
  <c r="AK22" i="238" s="1"/>
  <c r="P31" i="238"/>
  <c r="N31" i="238"/>
  <c r="E31" i="238"/>
  <c r="AF22" i="238" s="1"/>
  <c r="AJ30" i="238"/>
  <c r="AI30" i="238"/>
  <c r="AH30" i="238"/>
  <c r="AG30" i="238"/>
  <c r="U30" i="238"/>
  <c r="T30" i="238"/>
  <c r="R30" i="238"/>
  <c r="Q30" i="238"/>
  <c r="M30" i="238" s="1"/>
  <c r="AK13" i="238" s="1"/>
  <c r="P30" i="238"/>
  <c r="N30" i="238"/>
  <c r="E30" i="238"/>
  <c r="AF13" i="238" s="1"/>
  <c r="AJ29" i="238"/>
  <c r="AI29" i="238"/>
  <c r="AH29" i="238"/>
  <c r="AG29" i="238"/>
  <c r="U29" i="238"/>
  <c r="T29" i="238"/>
  <c r="R29" i="238"/>
  <c r="Q29" i="238"/>
  <c r="M29" i="238" s="1"/>
  <c r="AK21" i="238" s="1"/>
  <c r="P29" i="238"/>
  <c r="N29" i="238"/>
  <c r="E29" i="238"/>
  <c r="AF21" i="238" s="1"/>
  <c r="AJ28" i="238"/>
  <c r="AI28" i="238"/>
  <c r="AH28" i="238"/>
  <c r="AG28" i="238"/>
  <c r="U28" i="238"/>
  <c r="T28" i="238"/>
  <c r="R28" i="238"/>
  <c r="Q28" i="238"/>
  <c r="P28" i="238"/>
  <c r="N28" i="238"/>
  <c r="E28" i="238"/>
  <c r="AF31" i="238" s="1"/>
  <c r="AJ27" i="238"/>
  <c r="AI27" i="238"/>
  <c r="AH27" i="238"/>
  <c r="AG27" i="238"/>
  <c r="U27" i="238"/>
  <c r="T27" i="238"/>
  <c r="R27" i="238"/>
  <c r="Q27" i="238"/>
  <c r="P27" i="238"/>
  <c r="N27" i="238"/>
  <c r="E27" i="238"/>
  <c r="AF12" i="238" s="1"/>
  <c r="AJ26" i="238"/>
  <c r="AI26" i="238"/>
  <c r="AH26" i="238"/>
  <c r="AG26" i="238"/>
  <c r="U26" i="238"/>
  <c r="T26" i="238"/>
  <c r="R26" i="238"/>
  <c r="Q26" i="238"/>
  <c r="P26" i="238"/>
  <c r="N26" i="238"/>
  <c r="E26" i="238"/>
  <c r="AF30" i="238" s="1"/>
  <c r="AJ25" i="238"/>
  <c r="AI25" i="238"/>
  <c r="AH25" i="238"/>
  <c r="AG25" i="238"/>
  <c r="U25" i="238"/>
  <c r="T25" i="238"/>
  <c r="R25" i="238"/>
  <c r="Q25" i="238"/>
  <c r="P25" i="238"/>
  <c r="N25" i="238"/>
  <c r="E25" i="238"/>
  <c r="AJ24" i="238"/>
  <c r="AI24" i="238"/>
  <c r="AH24" i="238"/>
  <c r="AG24" i="238"/>
  <c r="U24" i="238"/>
  <c r="T24" i="238"/>
  <c r="R24" i="238"/>
  <c r="Q24" i="238"/>
  <c r="P24" i="238"/>
  <c r="N24" i="238"/>
  <c r="E24" i="238"/>
  <c r="AF11" i="238" s="1"/>
  <c r="AJ23" i="238"/>
  <c r="AI23" i="238"/>
  <c r="AH23" i="238"/>
  <c r="AG23" i="238"/>
  <c r="U23" i="238"/>
  <c r="T23" i="238"/>
  <c r="R23" i="238"/>
  <c r="Q23" i="238"/>
  <c r="P23" i="238"/>
  <c r="N23" i="238"/>
  <c r="E23" i="238"/>
  <c r="AF10" i="238" s="1"/>
  <c r="AJ22" i="238"/>
  <c r="AI22" i="238"/>
  <c r="AH22" i="238"/>
  <c r="AG22" i="238"/>
  <c r="U22" i="238"/>
  <c r="T22" i="238"/>
  <c r="R22" i="238"/>
  <c r="Q22" i="238"/>
  <c r="P22" i="238"/>
  <c r="N22" i="238"/>
  <c r="E22" i="238"/>
  <c r="AF9" i="238" s="1"/>
  <c r="AJ21" i="238"/>
  <c r="AI21" i="238"/>
  <c r="AH21" i="238"/>
  <c r="AG21" i="238"/>
  <c r="U21" i="238"/>
  <c r="T21" i="238"/>
  <c r="R21" i="238"/>
  <c r="Q21" i="238"/>
  <c r="M21" i="238" s="1"/>
  <c r="AK29" i="238" s="1"/>
  <c r="P21" i="238"/>
  <c r="N21" i="238"/>
  <c r="E21" i="238"/>
  <c r="AF29" i="238" s="1"/>
  <c r="AJ20" i="238"/>
  <c r="AI20" i="238"/>
  <c r="AH20" i="238"/>
  <c r="AG20" i="238"/>
  <c r="AF20" i="238"/>
  <c r="U20" i="238"/>
  <c r="T20" i="238"/>
  <c r="R20" i="238"/>
  <c r="Q20" i="238"/>
  <c r="P20" i="238"/>
  <c r="N20" i="238"/>
  <c r="E20" i="238"/>
  <c r="AF19" i="238" s="1"/>
  <c r="AJ19" i="238"/>
  <c r="AI19" i="238"/>
  <c r="AH19" i="238"/>
  <c r="AG19" i="238"/>
  <c r="U19" i="238"/>
  <c r="T19" i="238"/>
  <c r="R19" i="238"/>
  <c r="Q19" i="238"/>
  <c r="P19" i="238"/>
  <c r="N19" i="238"/>
  <c r="E19" i="238"/>
  <c r="AF28" i="238" s="1"/>
  <c r="AJ18" i="238"/>
  <c r="AI18" i="238"/>
  <c r="AH18" i="238"/>
  <c r="AG18" i="238"/>
  <c r="U18" i="238"/>
  <c r="T18" i="238"/>
  <c r="R18" i="238"/>
  <c r="Q18" i="238"/>
  <c r="P18" i="238"/>
  <c r="N18" i="238"/>
  <c r="E18" i="238"/>
  <c r="AF8" i="238" s="1"/>
  <c r="AJ17" i="238"/>
  <c r="AI17" i="238"/>
  <c r="AH17" i="238"/>
  <c r="AG17" i="238"/>
  <c r="U17" i="238"/>
  <c r="T17" i="238"/>
  <c r="R17" i="238"/>
  <c r="Q17" i="238"/>
  <c r="P17" i="238"/>
  <c r="N17" i="238"/>
  <c r="E17" i="238"/>
  <c r="AF27" i="238" s="1"/>
  <c r="AJ16" i="238"/>
  <c r="AI16" i="238"/>
  <c r="AH16" i="238"/>
  <c r="AG16" i="238"/>
  <c r="U16" i="238"/>
  <c r="T16" i="238"/>
  <c r="R16" i="238"/>
  <c r="Q16" i="238"/>
  <c r="P16" i="238"/>
  <c r="N16" i="238"/>
  <c r="E16" i="238"/>
  <c r="AF26" i="238" s="1"/>
  <c r="AJ15" i="238"/>
  <c r="AI15" i="238"/>
  <c r="AH15" i="238"/>
  <c r="AG15" i="238"/>
  <c r="U15" i="238"/>
  <c r="T15" i="238"/>
  <c r="R15" i="238"/>
  <c r="M15" i="238" s="1"/>
  <c r="AK18" i="238" s="1"/>
  <c r="Q15" i="238"/>
  <c r="P15" i="238"/>
  <c r="N15" i="238"/>
  <c r="E15" i="238"/>
  <c r="AF18" i="238" s="1"/>
  <c r="AJ14" i="238"/>
  <c r="AI14" i="238"/>
  <c r="AH14" i="238"/>
  <c r="AG14" i="238"/>
  <c r="U14" i="238"/>
  <c r="T14" i="238"/>
  <c r="R14" i="238"/>
  <c r="Q14" i="238"/>
  <c r="P14" i="238"/>
  <c r="N14" i="238"/>
  <c r="E14" i="238"/>
  <c r="AF17" i="238" s="1"/>
  <c r="AJ13" i="238"/>
  <c r="AI13" i="238"/>
  <c r="AH13" i="238"/>
  <c r="AG13" i="238"/>
  <c r="U13" i="238"/>
  <c r="T13" i="238"/>
  <c r="R13" i="238"/>
  <c r="Q13" i="238"/>
  <c r="P13" i="238"/>
  <c r="N13" i="238"/>
  <c r="E13" i="238"/>
  <c r="AF16" i="238" s="1"/>
  <c r="AJ12" i="238"/>
  <c r="AI12" i="238"/>
  <c r="AH12" i="238"/>
  <c r="AG12" i="238"/>
  <c r="U12" i="238"/>
  <c r="T12" i="238"/>
  <c r="R12" i="238"/>
  <c r="Q12" i="238"/>
  <c r="P12" i="238"/>
  <c r="N12" i="238"/>
  <c r="E12" i="238"/>
  <c r="AF7" i="238" s="1"/>
  <c r="AJ11" i="238"/>
  <c r="AI11" i="238"/>
  <c r="AH11" i="238"/>
  <c r="AG11" i="238"/>
  <c r="U11" i="238"/>
  <c r="T11" i="238"/>
  <c r="R11" i="238"/>
  <c r="Q11" i="238"/>
  <c r="P11" i="238"/>
  <c r="N11" i="238"/>
  <c r="E11" i="238"/>
  <c r="AF25" i="238" s="1"/>
  <c r="AJ10" i="238"/>
  <c r="AI10" i="238"/>
  <c r="AH10" i="238"/>
  <c r="AG10" i="238"/>
  <c r="U10" i="238"/>
  <c r="T10" i="238"/>
  <c r="R10" i="238"/>
  <c r="Q10" i="238"/>
  <c r="P10" i="238"/>
  <c r="N10" i="238"/>
  <c r="E10" i="238"/>
  <c r="AJ9" i="238"/>
  <c r="AI9" i="238"/>
  <c r="AH9" i="238"/>
  <c r="AG9" i="238"/>
  <c r="U9" i="238"/>
  <c r="T9" i="238"/>
  <c r="R9" i="238"/>
  <c r="Q9" i="238"/>
  <c r="P9" i="238"/>
  <c r="N9" i="238"/>
  <c r="E9" i="238"/>
  <c r="AF15" i="238" s="1"/>
  <c r="AJ8" i="238"/>
  <c r="AI8" i="238"/>
  <c r="AH8" i="238"/>
  <c r="AG8" i="238"/>
  <c r="U8" i="238"/>
  <c r="T8" i="238"/>
  <c r="R8" i="238"/>
  <c r="Q8" i="238"/>
  <c r="P8" i="238"/>
  <c r="N8" i="238"/>
  <c r="E8" i="238"/>
  <c r="AF24" i="238" s="1"/>
  <c r="AJ7" i="238"/>
  <c r="AI7" i="238"/>
  <c r="AH7" i="238"/>
  <c r="AG7" i="238"/>
  <c r="U7" i="238"/>
  <c r="T7" i="238"/>
  <c r="R7" i="238"/>
  <c r="Q7" i="238"/>
  <c r="P7" i="238"/>
  <c r="N7" i="238"/>
  <c r="E7" i="238"/>
  <c r="AF23" i="238" s="1"/>
  <c r="AJ6" i="238"/>
  <c r="AI6" i="238"/>
  <c r="AH6" i="238"/>
  <c r="AG6" i="238"/>
  <c r="U6" i="238"/>
  <c r="T6" i="238"/>
  <c r="R6" i="238"/>
  <c r="Q6" i="238"/>
  <c r="P6" i="238"/>
  <c r="N6" i="238"/>
  <c r="E6" i="238"/>
  <c r="T46" i="237"/>
  <c r="R46" i="237"/>
  <c r="Q46" i="237"/>
  <c r="P46" i="237"/>
  <c r="N46" i="237"/>
  <c r="T45" i="237"/>
  <c r="R45" i="237"/>
  <c r="Q45" i="237"/>
  <c r="P45" i="237"/>
  <c r="N45" i="237"/>
  <c r="T44" i="237"/>
  <c r="R44" i="237"/>
  <c r="M44" i="237" s="1"/>
  <c r="Q44" i="237"/>
  <c r="P44" i="237"/>
  <c r="N44" i="237"/>
  <c r="AJ31" i="237"/>
  <c r="AI31" i="237"/>
  <c r="AH31" i="237"/>
  <c r="AG31" i="237"/>
  <c r="U31" i="237"/>
  <c r="T31" i="237"/>
  <c r="R31" i="237"/>
  <c r="Q31" i="237"/>
  <c r="AK22" i="237" s="1"/>
  <c r="P31" i="237"/>
  <c r="N31" i="237"/>
  <c r="E31" i="237"/>
  <c r="AJ30" i="237"/>
  <c r="AI30" i="237"/>
  <c r="AH30" i="237"/>
  <c r="AG30" i="237"/>
  <c r="U30" i="237"/>
  <c r="T30" i="237"/>
  <c r="R30" i="237"/>
  <c r="Q30" i="237"/>
  <c r="P30" i="237"/>
  <c r="N30" i="237"/>
  <c r="E30" i="237"/>
  <c r="AF13" i="237" s="1"/>
  <c r="AJ29" i="237"/>
  <c r="AI29" i="237"/>
  <c r="AH29" i="237"/>
  <c r="AG29" i="237"/>
  <c r="U29" i="237"/>
  <c r="T29" i="237"/>
  <c r="R29" i="237"/>
  <c r="Q29" i="237"/>
  <c r="P29" i="237"/>
  <c r="N29" i="237"/>
  <c r="E29" i="237"/>
  <c r="AJ28" i="237"/>
  <c r="AI28" i="237"/>
  <c r="AH28" i="237"/>
  <c r="AG28" i="237"/>
  <c r="U28" i="237"/>
  <c r="T28" i="237"/>
  <c r="R28" i="237"/>
  <c r="Q28" i="237"/>
  <c r="P28" i="237"/>
  <c r="N28" i="237"/>
  <c r="E28" i="237"/>
  <c r="AF31" i="237" s="1"/>
  <c r="AJ27" i="237"/>
  <c r="AI27" i="237"/>
  <c r="AH27" i="237"/>
  <c r="AG27" i="237"/>
  <c r="U27" i="237"/>
  <c r="T27" i="237"/>
  <c r="R27" i="237"/>
  <c r="M27" i="237" s="1"/>
  <c r="AK12" i="237" s="1"/>
  <c r="Q27" i="237"/>
  <c r="P27" i="237"/>
  <c r="N27" i="237"/>
  <c r="E27" i="237"/>
  <c r="AF12" i="237" s="1"/>
  <c r="AJ26" i="237"/>
  <c r="AI26" i="237"/>
  <c r="AH26" i="237"/>
  <c r="AG26" i="237"/>
  <c r="U26" i="237"/>
  <c r="T26" i="237"/>
  <c r="R26" i="237"/>
  <c r="Q26" i="237"/>
  <c r="P26" i="237"/>
  <c r="N26" i="237"/>
  <c r="E26" i="237"/>
  <c r="AF30" i="237" s="1"/>
  <c r="AJ25" i="237"/>
  <c r="AI25" i="237"/>
  <c r="AH25" i="237"/>
  <c r="AG25" i="237"/>
  <c r="U25" i="237"/>
  <c r="T25" i="237"/>
  <c r="R25" i="237"/>
  <c r="Q25" i="237"/>
  <c r="P25" i="237"/>
  <c r="N25" i="237"/>
  <c r="E25" i="237"/>
  <c r="AF20" i="237" s="1"/>
  <c r="AJ24" i="237"/>
  <c r="AI24" i="237"/>
  <c r="AH24" i="237"/>
  <c r="AG24" i="237"/>
  <c r="U24" i="237"/>
  <c r="T24" i="237"/>
  <c r="R24" i="237"/>
  <c r="Q24" i="237"/>
  <c r="M24" i="237" s="1"/>
  <c r="AK11" i="237" s="1"/>
  <c r="P24" i="237"/>
  <c r="N24" i="237"/>
  <c r="E24" i="237"/>
  <c r="AF11" i="237" s="1"/>
  <c r="AJ23" i="237"/>
  <c r="AI23" i="237"/>
  <c r="AH23" i="237"/>
  <c r="AG23" i="237"/>
  <c r="U23" i="237"/>
  <c r="T23" i="237"/>
  <c r="R23" i="237"/>
  <c r="Q23" i="237"/>
  <c r="P23" i="237"/>
  <c r="N23" i="237"/>
  <c r="E23" i="237"/>
  <c r="AF10" i="237" s="1"/>
  <c r="AJ22" i="237"/>
  <c r="AI22" i="237"/>
  <c r="AH22" i="237"/>
  <c r="AG22" i="237"/>
  <c r="AF22" i="237"/>
  <c r="U22" i="237"/>
  <c r="T22" i="237"/>
  <c r="R22" i="237"/>
  <c r="Q22" i="237"/>
  <c r="P22" i="237"/>
  <c r="N22" i="237"/>
  <c r="E22" i="237"/>
  <c r="AF9" i="237" s="1"/>
  <c r="AJ21" i="237"/>
  <c r="AI21" i="237"/>
  <c r="AH21" i="237"/>
  <c r="AG21" i="237"/>
  <c r="AF21" i="237"/>
  <c r="U21" i="237"/>
  <c r="T21" i="237"/>
  <c r="R21" i="237"/>
  <c r="Q21" i="237"/>
  <c r="M21" i="237" s="1"/>
  <c r="AK29" i="237" s="1"/>
  <c r="P21" i="237"/>
  <c r="N21" i="237"/>
  <c r="E21" i="237"/>
  <c r="AF29" i="237" s="1"/>
  <c r="AJ20" i="237"/>
  <c r="AI20" i="237"/>
  <c r="AH20" i="237"/>
  <c r="AG20" i="237"/>
  <c r="U20" i="237"/>
  <c r="T20" i="237"/>
  <c r="R20" i="237"/>
  <c r="Q20" i="237"/>
  <c r="P20" i="237"/>
  <c r="N20" i="237"/>
  <c r="E20" i="237"/>
  <c r="AF19" i="237" s="1"/>
  <c r="AJ19" i="237"/>
  <c r="AI19" i="237"/>
  <c r="AH19" i="237"/>
  <c r="AG19" i="237"/>
  <c r="U19" i="237"/>
  <c r="T19" i="237"/>
  <c r="R19" i="237"/>
  <c r="Q19" i="237"/>
  <c r="P19" i="237"/>
  <c r="N19" i="237"/>
  <c r="E19" i="237"/>
  <c r="AF28" i="237" s="1"/>
  <c r="AJ18" i="237"/>
  <c r="AI18" i="237"/>
  <c r="AH18" i="237"/>
  <c r="AG18" i="237"/>
  <c r="U18" i="237"/>
  <c r="T18" i="237"/>
  <c r="R18" i="237"/>
  <c r="Q18" i="237"/>
  <c r="P18" i="237"/>
  <c r="N18" i="237"/>
  <c r="E18" i="237"/>
  <c r="AF8" i="237" s="1"/>
  <c r="AJ17" i="237"/>
  <c r="AI17" i="237"/>
  <c r="AH17" i="237"/>
  <c r="AG17" i="237"/>
  <c r="U17" i="237"/>
  <c r="T17" i="237"/>
  <c r="R17" i="237"/>
  <c r="Q17" i="237"/>
  <c r="P17" i="237"/>
  <c r="N17" i="237"/>
  <c r="E17" i="237"/>
  <c r="AF27" i="237" s="1"/>
  <c r="AJ16" i="237"/>
  <c r="AI16" i="237"/>
  <c r="AH16" i="237"/>
  <c r="AG16" i="237"/>
  <c r="U16" i="237"/>
  <c r="T16" i="237"/>
  <c r="R16" i="237"/>
  <c r="Q16" i="237"/>
  <c r="M16" i="237" s="1"/>
  <c r="AK26" i="237" s="1"/>
  <c r="P16" i="237"/>
  <c r="N16" i="237"/>
  <c r="E16" i="237"/>
  <c r="AF26" i="237" s="1"/>
  <c r="AJ15" i="237"/>
  <c r="AI15" i="237"/>
  <c r="AH15" i="237"/>
  <c r="AG15" i="237"/>
  <c r="U15" i="237"/>
  <c r="T15" i="237"/>
  <c r="R15" i="237"/>
  <c r="Q15" i="237"/>
  <c r="M15" i="237" s="1"/>
  <c r="AK18" i="237" s="1"/>
  <c r="P15" i="237"/>
  <c r="N15" i="237"/>
  <c r="E15" i="237"/>
  <c r="AF18" i="237" s="1"/>
  <c r="AJ14" i="237"/>
  <c r="AI14" i="237"/>
  <c r="AH14" i="237"/>
  <c r="AG14" i="237"/>
  <c r="U14" i="237"/>
  <c r="T14" i="237"/>
  <c r="R14" i="237"/>
  <c r="Q14" i="237"/>
  <c r="P14" i="237"/>
  <c r="N14" i="237"/>
  <c r="E14" i="237"/>
  <c r="AF17" i="237" s="1"/>
  <c r="AJ13" i="237"/>
  <c r="AI13" i="237"/>
  <c r="AH13" i="237"/>
  <c r="AG13" i="237"/>
  <c r="U13" i="237"/>
  <c r="T13" i="237"/>
  <c r="R13" i="237"/>
  <c r="Q13" i="237"/>
  <c r="M13" i="237" s="1"/>
  <c r="AK16" i="237" s="1"/>
  <c r="P13" i="237"/>
  <c r="N13" i="237"/>
  <c r="E13" i="237"/>
  <c r="AF16" i="237" s="1"/>
  <c r="AJ12" i="237"/>
  <c r="AI12" i="237"/>
  <c r="AH12" i="237"/>
  <c r="AG12" i="237"/>
  <c r="U12" i="237"/>
  <c r="T12" i="237"/>
  <c r="R12" i="237"/>
  <c r="Q12" i="237"/>
  <c r="P12" i="237"/>
  <c r="N12" i="237"/>
  <c r="E12" i="237"/>
  <c r="AF7" i="237" s="1"/>
  <c r="AJ11" i="237"/>
  <c r="AI11" i="237"/>
  <c r="AH11" i="237"/>
  <c r="AG11" i="237"/>
  <c r="U11" i="237"/>
  <c r="T11" i="237"/>
  <c r="R11" i="237"/>
  <c r="Q11" i="237"/>
  <c r="M11" i="237" s="1"/>
  <c r="AK25" i="237" s="1"/>
  <c r="P11" i="237"/>
  <c r="N11" i="237"/>
  <c r="E11" i="237"/>
  <c r="AF25" i="237" s="1"/>
  <c r="AJ10" i="237"/>
  <c r="AI10" i="237"/>
  <c r="AH10" i="237"/>
  <c r="AG10" i="237"/>
  <c r="U10" i="237"/>
  <c r="T10" i="237"/>
  <c r="R10" i="237"/>
  <c r="Q10" i="237"/>
  <c r="P10" i="237"/>
  <c r="N10" i="237"/>
  <c r="E10" i="237"/>
  <c r="AF6" i="237" s="1"/>
  <c r="AJ9" i="237"/>
  <c r="AI9" i="237"/>
  <c r="AH9" i="237"/>
  <c r="AG9" i="237"/>
  <c r="U9" i="237"/>
  <c r="T9" i="237"/>
  <c r="R9" i="237"/>
  <c r="Q9" i="237"/>
  <c r="M9" i="237" s="1"/>
  <c r="AK15" i="237" s="1"/>
  <c r="P9" i="237"/>
  <c r="N9" i="237"/>
  <c r="E9" i="237"/>
  <c r="AF15" i="237" s="1"/>
  <c r="AJ8" i="237"/>
  <c r="AI8" i="237"/>
  <c r="AH8" i="237"/>
  <c r="AG8" i="237"/>
  <c r="U8" i="237"/>
  <c r="T8" i="237"/>
  <c r="R8" i="237"/>
  <c r="Q8" i="237"/>
  <c r="M8" i="237" s="1"/>
  <c r="AK24" i="237" s="1"/>
  <c r="P8" i="237"/>
  <c r="N8" i="237"/>
  <c r="E8" i="237"/>
  <c r="AF24" i="237" s="1"/>
  <c r="AJ7" i="237"/>
  <c r="AI7" i="237"/>
  <c r="AH7" i="237"/>
  <c r="AG7" i="237"/>
  <c r="U7" i="237"/>
  <c r="T7" i="237"/>
  <c r="R7" i="237"/>
  <c r="Q7" i="237"/>
  <c r="P7" i="237"/>
  <c r="N7" i="237"/>
  <c r="E7" i="237"/>
  <c r="AF23" i="237" s="1"/>
  <c r="AJ6" i="237"/>
  <c r="AI6" i="237"/>
  <c r="AH6" i="237"/>
  <c r="AG6" i="237"/>
  <c r="U6" i="237"/>
  <c r="T6" i="237"/>
  <c r="R6" i="237"/>
  <c r="Q6" i="237"/>
  <c r="P6" i="237"/>
  <c r="N6" i="237"/>
  <c r="E6" i="237"/>
  <c r="T46" i="236"/>
  <c r="R46" i="236"/>
  <c r="Q46" i="236"/>
  <c r="P46" i="236"/>
  <c r="N46" i="236"/>
  <c r="T45" i="236"/>
  <c r="R45" i="236"/>
  <c r="Q45" i="236"/>
  <c r="M45" i="236" s="1"/>
  <c r="P45" i="236"/>
  <c r="N45" i="236"/>
  <c r="T44" i="236"/>
  <c r="R44" i="236"/>
  <c r="Q44" i="236"/>
  <c r="P44" i="236"/>
  <c r="N44" i="236"/>
  <c r="AJ31" i="236"/>
  <c r="AI31" i="236"/>
  <c r="AH31" i="236"/>
  <c r="AG31" i="236"/>
  <c r="U31" i="236"/>
  <c r="T31" i="236"/>
  <c r="R31" i="236"/>
  <c r="Q31" i="236"/>
  <c r="M31" i="236" s="1"/>
  <c r="AK22" i="236" s="1"/>
  <c r="P31" i="236"/>
  <c r="N31" i="236"/>
  <c r="E31" i="236"/>
  <c r="AF22" i="236" s="1"/>
  <c r="AJ30" i="236"/>
  <c r="AI30" i="236"/>
  <c r="AH30" i="236"/>
  <c r="AG30" i="236"/>
  <c r="U30" i="236"/>
  <c r="T30" i="236"/>
  <c r="R30" i="236"/>
  <c r="Q30" i="236"/>
  <c r="M30" i="236" s="1"/>
  <c r="AK13" i="236" s="1"/>
  <c r="P30" i="236"/>
  <c r="N30" i="236"/>
  <c r="E30" i="236"/>
  <c r="AF13" i="236" s="1"/>
  <c r="AJ29" i="236"/>
  <c r="AI29" i="236"/>
  <c r="AH29" i="236"/>
  <c r="AG29" i="236"/>
  <c r="U29" i="236"/>
  <c r="T29" i="236"/>
  <c r="R29" i="236"/>
  <c r="Q29" i="236"/>
  <c r="M29" i="236" s="1"/>
  <c r="AK21" i="236" s="1"/>
  <c r="P29" i="236"/>
  <c r="N29" i="236"/>
  <c r="E29" i="236"/>
  <c r="AF21" i="236" s="1"/>
  <c r="AJ28" i="236"/>
  <c r="AI28" i="236"/>
  <c r="AH28" i="236"/>
  <c r="AG28" i="236"/>
  <c r="U28" i="236"/>
  <c r="T28" i="236"/>
  <c r="R28" i="236"/>
  <c r="Q28" i="236"/>
  <c r="M28" i="236" s="1"/>
  <c r="AK31" i="236" s="1"/>
  <c r="P28" i="236"/>
  <c r="N28" i="236"/>
  <c r="E28" i="236"/>
  <c r="AF31" i="236" s="1"/>
  <c r="AJ27" i="236"/>
  <c r="AI27" i="236"/>
  <c r="AH27" i="236"/>
  <c r="AG27" i="236"/>
  <c r="U27" i="236"/>
  <c r="T27" i="236"/>
  <c r="R27" i="236"/>
  <c r="Q27" i="236"/>
  <c r="M27" i="236" s="1"/>
  <c r="AK12" i="236" s="1"/>
  <c r="P27" i="236"/>
  <c r="N27" i="236"/>
  <c r="E27" i="236"/>
  <c r="AJ26" i="236"/>
  <c r="AI26" i="236"/>
  <c r="AH26" i="236"/>
  <c r="AG26" i="236"/>
  <c r="U26" i="236"/>
  <c r="T26" i="236"/>
  <c r="R26" i="236"/>
  <c r="Q26" i="236"/>
  <c r="P26" i="236"/>
  <c r="N26" i="236"/>
  <c r="E26" i="236"/>
  <c r="AF30" i="236" s="1"/>
  <c r="AJ25" i="236"/>
  <c r="AI25" i="236"/>
  <c r="AH25" i="236"/>
  <c r="AG25" i="236"/>
  <c r="U25" i="236"/>
  <c r="T25" i="236"/>
  <c r="R25" i="236"/>
  <c r="Q25" i="236"/>
  <c r="P25" i="236"/>
  <c r="N25" i="236"/>
  <c r="E25" i="236"/>
  <c r="AF20" i="236" s="1"/>
  <c r="AJ24" i="236"/>
  <c r="AI24" i="236"/>
  <c r="AH24" i="236"/>
  <c r="AG24" i="236"/>
  <c r="U24" i="236"/>
  <c r="T24" i="236"/>
  <c r="R24" i="236"/>
  <c r="Q24" i="236"/>
  <c r="P24" i="236"/>
  <c r="N24" i="236"/>
  <c r="E24" i="236"/>
  <c r="AF11" i="236" s="1"/>
  <c r="AJ23" i="236"/>
  <c r="AI23" i="236"/>
  <c r="AH23" i="236"/>
  <c r="AG23" i="236"/>
  <c r="U23" i="236"/>
  <c r="T23" i="236"/>
  <c r="R23" i="236"/>
  <c r="Q23" i="236"/>
  <c r="P23" i="236"/>
  <c r="N23" i="236"/>
  <c r="E23" i="236"/>
  <c r="AF10" i="236" s="1"/>
  <c r="AJ22" i="236"/>
  <c r="AI22" i="236"/>
  <c r="AH22" i="236"/>
  <c r="AG22" i="236"/>
  <c r="U22" i="236"/>
  <c r="T22" i="236"/>
  <c r="R22" i="236"/>
  <c r="Q22" i="236"/>
  <c r="M22" i="236" s="1"/>
  <c r="AK9" i="236" s="1"/>
  <c r="P22" i="236"/>
  <c r="N22" i="236"/>
  <c r="E22" i="236"/>
  <c r="AJ21" i="236"/>
  <c r="AI21" i="236"/>
  <c r="AH21" i="236"/>
  <c r="AG21" i="236"/>
  <c r="U21" i="236"/>
  <c r="T21" i="236"/>
  <c r="R21" i="236"/>
  <c r="Q21" i="236"/>
  <c r="P21" i="236"/>
  <c r="N21" i="236"/>
  <c r="E21" i="236"/>
  <c r="AF29" i="236" s="1"/>
  <c r="AJ20" i="236"/>
  <c r="AI20" i="236"/>
  <c r="AH20" i="236"/>
  <c r="AG20" i="236"/>
  <c r="U20" i="236"/>
  <c r="T20" i="236"/>
  <c r="R20" i="236"/>
  <c r="Q20" i="236"/>
  <c r="P20" i="236"/>
  <c r="N20" i="236"/>
  <c r="E20" i="236"/>
  <c r="AF19" i="236" s="1"/>
  <c r="AJ19" i="236"/>
  <c r="AI19" i="236"/>
  <c r="AH19" i="236"/>
  <c r="AG19" i="236"/>
  <c r="U19" i="236"/>
  <c r="T19" i="236"/>
  <c r="R19" i="236"/>
  <c r="Q19" i="236"/>
  <c r="P19" i="236"/>
  <c r="N19" i="236"/>
  <c r="E19" i="236"/>
  <c r="AF28" i="236" s="1"/>
  <c r="AJ18" i="236"/>
  <c r="AI18" i="236"/>
  <c r="AH18" i="236"/>
  <c r="AG18" i="236"/>
  <c r="U18" i="236"/>
  <c r="T18" i="236"/>
  <c r="R18" i="236"/>
  <c r="Q18" i="236"/>
  <c r="P18" i="236"/>
  <c r="N18" i="236"/>
  <c r="E18" i="236"/>
  <c r="AF8" i="236" s="1"/>
  <c r="AJ17" i="236"/>
  <c r="AI17" i="236"/>
  <c r="AH17" i="236"/>
  <c r="AG17" i="236"/>
  <c r="U17" i="236"/>
  <c r="T17" i="236"/>
  <c r="R17" i="236"/>
  <c r="Q17" i="236"/>
  <c r="P17" i="236"/>
  <c r="N17" i="236"/>
  <c r="E17" i="236"/>
  <c r="AJ16" i="236"/>
  <c r="AI16" i="236"/>
  <c r="AH16" i="236"/>
  <c r="AG16" i="236"/>
  <c r="U16" i="236"/>
  <c r="T16" i="236"/>
  <c r="R16" i="236"/>
  <c r="Q16" i="236"/>
  <c r="M16" i="236" s="1"/>
  <c r="AK26" i="236" s="1"/>
  <c r="P16" i="236"/>
  <c r="N16" i="236"/>
  <c r="E16" i="236"/>
  <c r="AF26" i="236" s="1"/>
  <c r="AJ15" i="236"/>
  <c r="AI15" i="236"/>
  <c r="AH15" i="236"/>
  <c r="AG15" i="236"/>
  <c r="U15" i="236"/>
  <c r="T15" i="236"/>
  <c r="R15" i="236"/>
  <c r="Q15" i="236"/>
  <c r="P15" i="236"/>
  <c r="N15" i="236"/>
  <c r="E15" i="236"/>
  <c r="AF18" i="236" s="1"/>
  <c r="AJ14" i="236"/>
  <c r="AI14" i="236"/>
  <c r="AH14" i="236"/>
  <c r="AG14" i="236"/>
  <c r="U14" i="236"/>
  <c r="T14" i="236"/>
  <c r="R14" i="236"/>
  <c r="Q14" i="236"/>
  <c r="M14" i="236" s="1"/>
  <c r="AK17" i="236" s="1"/>
  <c r="P14" i="236"/>
  <c r="N14" i="236"/>
  <c r="E14" i="236"/>
  <c r="AF17" i="236" s="1"/>
  <c r="AJ13" i="236"/>
  <c r="AI13" i="236"/>
  <c r="AH13" i="236"/>
  <c r="AG13" i="236"/>
  <c r="U13" i="236"/>
  <c r="T13" i="236"/>
  <c r="R13" i="236"/>
  <c r="Q13" i="236"/>
  <c r="P13" i="236"/>
  <c r="N13" i="236"/>
  <c r="E13" i="236"/>
  <c r="AF16" i="236" s="1"/>
  <c r="AJ12" i="236"/>
  <c r="AI12" i="236"/>
  <c r="AH12" i="236"/>
  <c r="AG12" i="236"/>
  <c r="AF12" i="236"/>
  <c r="U12" i="236"/>
  <c r="T12" i="236"/>
  <c r="R12" i="236"/>
  <c r="Q12" i="236"/>
  <c r="M12" i="236" s="1"/>
  <c r="AK7" i="236" s="1"/>
  <c r="P12" i="236"/>
  <c r="N12" i="236"/>
  <c r="E12" i="236"/>
  <c r="AF7" i="236" s="1"/>
  <c r="AJ11" i="236"/>
  <c r="AI11" i="236"/>
  <c r="AH11" i="236"/>
  <c r="AG11" i="236"/>
  <c r="U11" i="236"/>
  <c r="T11" i="236"/>
  <c r="R11" i="236"/>
  <c r="Q11" i="236"/>
  <c r="P11" i="236"/>
  <c r="N11" i="236"/>
  <c r="E11" i="236"/>
  <c r="AF25" i="236" s="1"/>
  <c r="AJ10" i="236"/>
  <c r="AI10" i="236"/>
  <c r="AH10" i="236"/>
  <c r="AG10" i="236"/>
  <c r="U10" i="236"/>
  <c r="T10" i="236"/>
  <c r="R10" i="236"/>
  <c r="Q10" i="236"/>
  <c r="M10" i="236" s="1"/>
  <c r="AK6" i="236" s="1"/>
  <c r="P10" i="236"/>
  <c r="N10" i="236"/>
  <c r="E10" i="236"/>
  <c r="AF6" i="236" s="1"/>
  <c r="AJ9" i="236"/>
  <c r="AI9" i="236"/>
  <c r="AH9" i="236"/>
  <c r="AG9" i="236"/>
  <c r="AF9" i="236"/>
  <c r="U9" i="236"/>
  <c r="T9" i="236"/>
  <c r="R9" i="236"/>
  <c r="M9" i="236" s="1"/>
  <c r="AK15" i="236" s="1"/>
  <c r="Q9" i="236"/>
  <c r="P9" i="236"/>
  <c r="N9" i="236"/>
  <c r="E9" i="236"/>
  <c r="AJ8" i="236"/>
  <c r="AI8" i="236"/>
  <c r="AH8" i="236"/>
  <c r="AG8" i="236"/>
  <c r="U8" i="236"/>
  <c r="T8" i="236"/>
  <c r="R8" i="236"/>
  <c r="M8" i="236" s="1"/>
  <c r="AK24" i="236" s="1"/>
  <c r="Q8" i="236"/>
  <c r="P8" i="236"/>
  <c r="N8" i="236"/>
  <c r="E8" i="236"/>
  <c r="AF24" i="236" s="1"/>
  <c r="AJ7" i="236"/>
  <c r="AI7" i="236"/>
  <c r="AH7" i="236"/>
  <c r="AG7" i="236"/>
  <c r="U7" i="236"/>
  <c r="T7" i="236"/>
  <c r="R7" i="236"/>
  <c r="Q7" i="236"/>
  <c r="P7" i="236"/>
  <c r="N7" i="236"/>
  <c r="E7" i="236"/>
  <c r="AF23" i="236" s="1"/>
  <c r="AJ6" i="236"/>
  <c r="AI6" i="236"/>
  <c r="AH6" i="236"/>
  <c r="AG6" i="236"/>
  <c r="U6" i="236"/>
  <c r="T6" i="236"/>
  <c r="R6" i="236"/>
  <c r="Q6" i="236"/>
  <c r="M6" i="236" s="1"/>
  <c r="AK14" i="236" s="1"/>
  <c r="P6" i="236"/>
  <c r="N6" i="236"/>
  <c r="E6" i="236"/>
  <c r="T46" i="235"/>
  <c r="R46" i="235"/>
  <c r="Q46" i="235"/>
  <c r="P46" i="235"/>
  <c r="N46" i="235"/>
  <c r="T45" i="235"/>
  <c r="R45" i="235"/>
  <c r="Q45" i="235"/>
  <c r="P45" i="235"/>
  <c r="N45" i="235"/>
  <c r="T44" i="235"/>
  <c r="R44" i="235"/>
  <c r="Q44" i="235"/>
  <c r="P44" i="235"/>
  <c r="N44" i="235"/>
  <c r="AJ31" i="235"/>
  <c r="AI31" i="235"/>
  <c r="AH31" i="235"/>
  <c r="AG31" i="235"/>
  <c r="U31" i="235"/>
  <c r="T31" i="235"/>
  <c r="R31" i="235"/>
  <c r="Q31" i="235"/>
  <c r="P31" i="235"/>
  <c r="N31" i="235"/>
  <c r="E31" i="235"/>
  <c r="AF22" i="235" s="1"/>
  <c r="AJ30" i="235"/>
  <c r="AI30" i="235"/>
  <c r="AH30" i="235"/>
  <c r="AG30" i="235"/>
  <c r="U30" i="235"/>
  <c r="T30" i="235"/>
  <c r="R30" i="235"/>
  <c r="Q30" i="235"/>
  <c r="M30" i="235" s="1"/>
  <c r="AK13" i="235" s="1"/>
  <c r="P30" i="235"/>
  <c r="N30" i="235"/>
  <c r="E30" i="235"/>
  <c r="AF13" i="235" s="1"/>
  <c r="AJ29" i="235"/>
  <c r="AI29" i="235"/>
  <c r="AH29" i="235"/>
  <c r="AG29" i="235"/>
  <c r="U29" i="235"/>
  <c r="T29" i="235"/>
  <c r="R29" i="235"/>
  <c r="Q29" i="235"/>
  <c r="P29" i="235"/>
  <c r="N29" i="235"/>
  <c r="E29" i="235"/>
  <c r="AF21" i="235" s="1"/>
  <c r="AJ28" i="235"/>
  <c r="AI28" i="235"/>
  <c r="AH28" i="235"/>
  <c r="AG28" i="235"/>
  <c r="U28" i="235"/>
  <c r="T28" i="235"/>
  <c r="R28" i="235"/>
  <c r="Q28" i="235"/>
  <c r="P28" i="235"/>
  <c r="N28" i="235"/>
  <c r="E28" i="235"/>
  <c r="AF31" i="235" s="1"/>
  <c r="AJ27" i="235"/>
  <c r="AI27" i="235"/>
  <c r="AH27" i="235"/>
  <c r="AG27" i="235"/>
  <c r="U27" i="235"/>
  <c r="T27" i="235"/>
  <c r="R27" i="235"/>
  <c r="Q27" i="235"/>
  <c r="P27" i="235"/>
  <c r="N27" i="235"/>
  <c r="E27" i="235"/>
  <c r="AJ26" i="235"/>
  <c r="AI26" i="235"/>
  <c r="AH26" i="235"/>
  <c r="AG26" i="235"/>
  <c r="U26" i="235"/>
  <c r="T26" i="235"/>
  <c r="R26" i="235"/>
  <c r="Q26" i="235"/>
  <c r="P26" i="235"/>
  <c r="N26" i="235"/>
  <c r="E26" i="235"/>
  <c r="AF30" i="235" s="1"/>
  <c r="AJ25" i="235"/>
  <c r="AI25" i="235"/>
  <c r="AH25" i="235"/>
  <c r="AG25" i="235"/>
  <c r="U25" i="235"/>
  <c r="T25" i="235"/>
  <c r="R25" i="235"/>
  <c r="Q25" i="235"/>
  <c r="M25" i="235" s="1"/>
  <c r="AK20" i="235" s="1"/>
  <c r="P25" i="235"/>
  <c r="N25" i="235"/>
  <c r="E25" i="235"/>
  <c r="AF20" i="235" s="1"/>
  <c r="AJ24" i="235"/>
  <c r="AI24" i="235"/>
  <c r="AH24" i="235"/>
  <c r="AG24" i="235"/>
  <c r="U24" i="235"/>
  <c r="T24" i="235"/>
  <c r="R24" i="235"/>
  <c r="Q24" i="235"/>
  <c r="M24" i="235" s="1"/>
  <c r="AK11" i="235" s="1"/>
  <c r="P24" i="235"/>
  <c r="N24" i="235"/>
  <c r="E24" i="235"/>
  <c r="AF11" i="235" s="1"/>
  <c r="AJ23" i="235"/>
  <c r="AI23" i="235"/>
  <c r="AH23" i="235"/>
  <c r="AG23" i="235"/>
  <c r="U23" i="235"/>
  <c r="T23" i="235"/>
  <c r="R23" i="235"/>
  <c r="Q23" i="235"/>
  <c r="P23" i="235"/>
  <c r="N23" i="235"/>
  <c r="E23" i="235"/>
  <c r="AF10" i="235" s="1"/>
  <c r="AJ22" i="235"/>
  <c r="AI22" i="235"/>
  <c r="AH22" i="235"/>
  <c r="AG22" i="235"/>
  <c r="U22" i="235"/>
  <c r="T22" i="235"/>
  <c r="R22" i="235"/>
  <c r="Q22" i="235"/>
  <c r="P22" i="235"/>
  <c r="N22" i="235"/>
  <c r="E22" i="235"/>
  <c r="AF9" i="235" s="1"/>
  <c r="AJ21" i="235"/>
  <c r="AI21" i="235"/>
  <c r="AH21" i="235"/>
  <c r="AG21" i="235"/>
  <c r="U21" i="235"/>
  <c r="T21" i="235"/>
  <c r="R21" i="235"/>
  <c r="Q21" i="235"/>
  <c r="P21" i="235"/>
  <c r="N21" i="235"/>
  <c r="E21" i="235"/>
  <c r="AF29" i="235" s="1"/>
  <c r="AJ20" i="235"/>
  <c r="AI20" i="235"/>
  <c r="AH20" i="235"/>
  <c r="AG20" i="235"/>
  <c r="U20" i="235"/>
  <c r="T20" i="235"/>
  <c r="R20" i="235"/>
  <c r="Q20" i="235"/>
  <c r="P20" i="235"/>
  <c r="N20" i="235"/>
  <c r="E20" i="235"/>
  <c r="AF19" i="235" s="1"/>
  <c r="AJ19" i="235"/>
  <c r="AI19" i="235"/>
  <c r="AH19" i="235"/>
  <c r="AG19" i="235"/>
  <c r="U19" i="235"/>
  <c r="T19" i="235"/>
  <c r="R19" i="235"/>
  <c r="M19" i="235" s="1"/>
  <c r="AK28" i="235" s="1"/>
  <c r="Q19" i="235"/>
  <c r="P19" i="235"/>
  <c r="N19" i="235"/>
  <c r="E19" i="235"/>
  <c r="AF28" i="235" s="1"/>
  <c r="AJ18" i="235"/>
  <c r="AI18" i="235"/>
  <c r="AH18" i="235"/>
  <c r="AG18" i="235"/>
  <c r="U18" i="235"/>
  <c r="T18" i="235"/>
  <c r="R18" i="235"/>
  <c r="Q18" i="235"/>
  <c r="P18" i="235"/>
  <c r="N18" i="235"/>
  <c r="E18" i="235"/>
  <c r="AF8" i="235" s="1"/>
  <c r="AJ17" i="235"/>
  <c r="AI17" i="235"/>
  <c r="AH17" i="235"/>
  <c r="AG17" i="235"/>
  <c r="U17" i="235"/>
  <c r="T17" i="235"/>
  <c r="R17" i="235"/>
  <c r="Q17" i="235"/>
  <c r="P17" i="235"/>
  <c r="N17" i="235"/>
  <c r="E17" i="235"/>
  <c r="AF27" i="235" s="1"/>
  <c r="AJ16" i="235"/>
  <c r="AI16" i="235"/>
  <c r="AH16" i="235"/>
  <c r="AG16" i="235"/>
  <c r="U16" i="235"/>
  <c r="T16" i="235"/>
  <c r="R16" i="235"/>
  <c r="Q16" i="235"/>
  <c r="P16" i="235"/>
  <c r="N16" i="235"/>
  <c r="E16" i="235"/>
  <c r="AF26" i="235" s="1"/>
  <c r="AJ15" i="235"/>
  <c r="AI15" i="235"/>
  <c r="AH15" i="235"/>
  <c r="AG15" i="235"/>
  <c r="U15" i="235"/>
  <c r="T15" i="235"/>
  <c r="R15" i="235"/>
  <c r="Q15" i="235"/>
  <c r="P15" i="235"/>
  <c r="N15" i="235"/>
  <c r="E15" i="235"/>
  <c r="AF18" i="235" s="1"/>
  <c r="AJ14" i="235"/>
  <c r="AI14" i="235"/>
  <c r="AH14" i="235"/>
  <c r="AG14" i="235"/>
  <c r="AF14" i="235"/>
  <c r="U14" i="235"/>
  <c r="T14" i="235"/>
  <c r="R14" i="235"/>
  <c r="Q14" i="235"/>
  <c r="P14" i="235"/>
  <c r="N14" i="235"/>
  <c r="E14" i="235"/>
  <c r="AF17" i="235" s="1"/>
  <c r="AJ13" i="235"/>
  <c r="AI13" i="235"/>
  <c r="AH13" i="235"/>
  <c r="AG13" i="235"/>
  <c r="U13" i="235"/>
  <c r="T13" i="235"/>
  <c r="R13" i="235"/>
  <c r="Q13" i="235"/>
  <c r="P13" i="235"/>
  <c r="N13" i="235"/>
  <c r="E13" i="235"/>
  <c r="AF16" i="235" s="1"/>
  <c r="AJ12" i="235"/>
  <c r="AI12" i="235"/>
  <c r="AH12" i="235"/>
  <c r="AG12" i="235"/>
  <c r="AF12" i="235"/>
  <c r="U12" i="235"/>
  <c r="T12" i="235"/>
  <c r="R12" i="235"/>
  <c r="Q12" i="235"/>
  <c r="P12" i="235"/>
  <c r="N12" i="235"/>
  <c r="E12" i="235"/>
  <c r="AF7" i="235" s="1"/>
  <c r="AJ11" i="235"/>
  <c r="AI11" i="235"/>
  <c r="AH11" i="235"/>
  <c r="AG11" i="235"/>
  <c r="U11" i="235"/>
  <c r="T11" i="235"/>
  <c r="R11" i="235"/>
  <c r="Q11" i="235"/>
  <c r="P11" i="235"/>
  <c r="N11" i="235"/>
  <c r="E11" i="235"/>
  <c r="AF25" i="235" s="1"/>
  <c r="AJ10" i="235"/>
  <c r="AI10" i="235"/>
  <c r="AH10" i="235"/>
  <c r="AG10" i="235"/>
  <c r="U10" i="235"/>
  <c r="T10" i="235"/>
  <c r="R10" i="235"/>
  <c r="Q10" i="235"/>
  <c r="M10" i="235" s="1"/>
  <c r="AK6" i="235" s="1"/>
  <c r="P10" i="235"/>
  <c r="N10" i="235"/>
  <c r="E10" i="235"/>
  <c r="AF6" i="235" s="1"/>
  <c r="AJ9" i="235"/>
  <c r="AI9" i="235"/>
  <c r="AH9" i="235"/>
  <c r="AG9" i="235"/>
  <c r="U9" i="235"/>
  <c r="T9" i="235"/>
  <c r="R9" i="235"/>
  <c r="Q9" i="235"/>
  <c r="M9" i="235" s="1"/>
  <c r="AK15" i="235" s="1"/>
  <c r="P9" i="235"/>
  <c r="N9" i="235"/>
  <c r="E9" i="235"/>
  <c r="AJ8" i="235"/>
  <c r="AI8" i="235"/>
  <c r="AH8" i="235"/>
  <c r="AG8" i="235"/>
  <c r="U8" i="235"/>
  <c r="T8" i="235"/>
  <c r="R8" i="235"/>
  <c r="Q8" i="235"/>
  <c r="P8" i="235"/>
  <c r="N8" i="235"/>
  <c r="E8" i="235"/>
  <c r="AF24" i="235" s="1"/>
  <c r="AJ7" i="235"/>
  <c r="AI7" i="235"/>
  <c r="AH7" i="235"/>
  <c r="AG7" i="235"/>
  <c r="U7" i="235"/>
  <c r="T7" i="235"/>
  <c r="R7" i="235"/>
  <c r="Q7" i="235"/>
  <c r="P7" i="235"/>
  <c r="N7" i="235"/>
  <c r="E7" i="235"/>
  <c r="AF23" i="235" s="1"/>
  <c r="AJ6" i="235"/>
  <c r="AI6" i="235"/>
  <c r="AH6" i="235"/>
  <c r="AG6" i="235"/>
  <c r="U6" i="235"/>
  <c r="T6" i="235"/>
  <c r="R6" i="235"/>
  <c r="Q6" i="235"/>
  <c r="P6" i="235"/>
  <c r="N6" i="235"/>
  <c r="E6" i="235"/>
  <c r="T46" i="234"/>
  <c r="R46" i="234"/>
  <c r="Q46" i="234"/>
  <c r="P46" i="234"/>
  <c r="N46" i="234"/>
  <c r="T45" i="234"/>
  <c r="R45" i="234"/>
  <c r="Q45" i="234"/>
  <c r="P45" i="234"/>
  <c r="N45" i="234"/>
  <c r="T44" i="234"/>
  <c r="R44" i="234"/>
  <c r="Q44" i="234"/>
  <c r="P44" i="234"/>
  <c r="N44" i="234"/>
  <c r="AJ31" i="234"/>
  <c r="AI31" i="234"/>
  <c r="AH31" i="234"/>
  <c r="AG31" i="234"/>
  <c r="U31" i="234"/>
  <c r="T31" i="234"/>
  <c r="R31" i="234"/>
  <c r="Q31" i="234"/>
  <c r="P31" i="234"/>
  <c r="N31" i="234"/>
  <c r="E31" i="234"/>
  <c r="AF22" i="234" s="1"/>
  <c r="AJ30" i="234"/>
  <c r="AI30" i="234"/>
  <c r="AH30" i="234"/>
  <c r="AG30" i="234"/>
  <c r="U30" i="234"/>
  <c r="T30" i="234"/>
  <c r="R30" i="234"/>
  <c r="Q30" i="234"/>
  <c r="P30" i="234"/>
  <c r="N30" i="234"/>
  <c r="E30" i="234"/>
  <c r="AF13" i="234" s="1"/>
  <c r="AJ29" i="234"/>
  <c r="AI29" i="234"/>
  <c r="AH29" i="234"/>
  <c r="AG29" i="234"/>
  <c r="U29" i="234"/>
  <c r="T29" i="234"/>
  <c r="R29" i="234"/>
  <c r="Q29" i="234"/>
  <c r="P29" i="234"/>
  <c r="N29" i="234"/>
  <c r="E29" i="234"/>
  <c r="AF21" i="234" s="1"/>
  <c r="AJ28" i="234"/>
  <c r="AI28" i="234"/>
  <c r="AH28" i="234"/>
  <c r="AG28" i="234"/>
  <c r="U28" i="234"/>
  <c r="T28" i="234"/>
  <c r="R28" i="234"/>
  <c r="Q28" i="234"/>
  <c r="P28" i="234"/>
  <c r="N28" i="234"/>
  <c r="E28" i="234"/>
  <c r="AF31" i="234" s="1"/>
  <c r="AJ27" i="234"/>
  <c r="AI27" i="234"/>
  <c r="AH27" i="234"/>
  <c r="AG27" i="234"/>
  <c r="U27" i="234"/>
  <c r="T27" i="234"/>
  <c r="R27" i="234"/>
  <c r="Q27" i="234"/>
  <c r="P27" i="234"/>
  <c r="N27" i="234"/>
  <c r="E27" i="234"/>
  <c r="AF12" i="234" s="1"/>
  <c r="AJ26" i="234"/>
  <c r="AI26" i="234"/>
  <c r="AH26" i="234"/>
  <c r="AG26" i="234"/>
  <c r="U26" i="234"/>
  <c r="T26" i="234"/>
  <c r="R26" i="234"/>
  <c r="Q26" i="234"/>
  <c r="P26" i="234"/>
  <c r="N26" i="234"/>
  <c r="E26" i="234"/>
  <c r="AF30" i="234" s="1"/>
  <c r="AJ25" i="234"/>
  <c r="AI25" i="234"/>
  <c r="AH25" i="234"/>
  <c r="AG25" i="234"/>
  <c r="U25" i="234"/>
  <c r="T25" i="234"/>
  <c r="R25" i="234"/>
  <c r="Q25" i="234"/>
  <c r="M25" i="234" s="1"/>
  <c r="AK20" i="234" s="1"/>
  <c r="P25" i="234"/>
  <c r="N25" i="234"/>
  <c r="E25" i="234"/>
  <c r="AF20" i="234" s="1"/>
  <c r="AJ24" i="234"/>
  <c r="AI24" i="234"/>
  <c r="AH24" i="234"/>
  <c r="AG24" i="234"/>
  <c r="U24" i="234"/>
  <c r="T24" i="234"/>
  <c r="R24" i="234"/>
  <c r="Q24" i="234"/>
  <c r="P24" i="234"/>
  <c r="N24" i="234"/>
  <c r="E24" i="234"/>
  <c r="AF11" i="234" s="1"/>
  <c r="AJ23" i="234"/>
  <c r="AI23" i="234"/>
  <c r="AH23" i="234"/>
  <c r="AG23" i="234"/>
  <c r="U23" i="234"/>
  <c r="T23" i="234"/>
  <c r="R23" i="234"/>
  <c r="Q23" i="234"/>
  <c r="M23" i="234" s="1"/>
  <c r="AK10" i="234" s="1"/>
  <c r="P23" i="234"/>
  <c r="N23" i="234"/>
  <c r="E23" i="234"/>
  <c r="AF10" i="234" s="1"/>
  <c r="AJ22" i="234"/>
  <c r="AI22" i="234"/>
  <c r="AH22" i="234"/>
  <c r="AG22" i="234"/>
  <c r="U22" i="234"/>
  <c r="T22" i="234"/>
  <c r="R22" i="234"/>
  <c r="Q22" i="234"/>
  <c r="P22" i="234"/>
  <c r="N22" i="234"/>
  <c r="E22" i="234"/>
  <c r="AF9" i="234" s="1"/>
  <c r="AJ21" i="234"/>
  <c r="AI21" i="234"/>
  <c r="AH21" i="234"/>
  <c r="AG21" i="234"/>
  <c r="U21" i="234"/>
  <c r="T21" i="234"/>
  <c r="R21" i="234"/>
  <c r="Q21" i="234"/>
  <c r="M21" i="234" s="1"/>
  <c r="AK29" i="234" s="1"/>
  <c r="P21" i="234"/>
  <c r="N21" i="234"/>
  <c r="E21" i="234"/>
  <c r="AF29" i="234" s="1"/>
  <c r="AJ20" i="234"/>
  <c r="AI20" i="234"/>
  <c r="AH20" i="234"/>
  <c r="AG20" i="234"/>
  <c r="U20" i="234"/>
  <c r="T20" i="234"/>
  <c r="R20" i="234"/>
  <c r="Q20" i="234"/>
  <c r="P20" i="234"/>
  <c r="N20" i="234"/>
  <c r="E20" i="234"/>
  <c r="AF19" i="234" s="1"/>
  <c r="AJ19" i="234"/>
  <c r="AI19" i="234"/>
  <c r="AH19" i="234"/>
  <c r="AG19" i="234"/>
  <c r="U19" i="234"/>
  <c r="T19" i="234"/>
  <c r="R19" i="234"/>
  <c r="Q19" i="234"/>
  <c r="P19" i="234"/>
  <c r="N19" i="234"/>
  <c r="E19" i="234"/>
  <c r="AF28" i="234" s="1"/>
  <c r="AJ18" i="234"/>
  <c r="AI18" i="234"/>
  <c r="AH18" i="234"/>
  <c r="AG18" i="234"/>
  <c r="U18" i="234"/>
  <c r="T18" i="234"/>
  <c r="R18" i="234"/>
  <c r="Q18" i="234"/>
  <c r="P18" i="234"/>
  <c r="N18" i="234"/>
  <c r="E18" i="234"/>
  <c r="AF8" i="234" s="1"/>
  <c r="AJ17" i="234"/>
  <c r="AI17" i="234"/>
  <c r="AH17" i="234"/>
  <c r="AG17" i="234"/>
  <c r="U17" i="234"/>
  <c r="T17" i="234"/>
  <c r="R17" i="234"/>
  <c r="Q17" i="234"/>
  <c r="P17" i="234"/>
  <c r="N17" i="234"/>
  <c r="E17" i="234"/>
  <c r="AF27" i="234" s="1"/>
  <c r="AJ16" i="234"/>
  <c r="AI16" i="234"/>
  <c r="AH16" i="234"/>
  <c r="AG16" i="234"/>
  <c r="U16" i="234"/>
  <c r="T16" i="234"/>
  <c r="R16" i="234"/>
  <c r="Q16" i="234"/>
  <c r="P16" i="234"/>
  <c r="N16" i="234"/>
  <c r="E16" i="234"/>
  <c r="AF26" i="234" s="1"/>
  <c r="AJ15" i="234"/>
  <c r="AI15" i="234"/>
  <c r="AH15" i="234"/>
  <c r="AG15" i="234"/>
  <c r="U15" i="234"/>
  <c r="T15" i="234"/>
  <c r="R15" i="234"/>
  <c r="Q15" i="234"/>
  <c r="P15" i="234"/>
  <c r="N15" i="234"/>
  <c r="E15" i="234"/>
  <c r="AF18" i="234" s="1"/>
  <c r="AJ14" i="234"/>
  <c r="AI14" i="234"/>
  <c r="AH14" i="234"/>
  <c r="AG14" i="234"/>
  <c r="U14" i="234"/>
  <c r="T14" i="234"/>
  <c r="R14" i="234"/>
  <c r="Q14" i="234"/>
  <c r="P14" i="234"/>
  <c r="N14" i="234"/>
  <c r="E14" i="234"/>
  <c r="AF17" i="234" s="1"/>
  <c r="AJ13" i="234"/>
  <c r="AI13" i="234"/>
  <c r="AH13" i="234"/>
  <c r="AG13" i="234"/>
  <c r="U13" i="234"/>
  <c r="T13" i="234"/>
  <c r="R13" i="234"/>
  <c r="Q13" i="234"/>
  <c r="M13" i="234" s="1"/>
  <c r="AK16" i="234" s="1"/>
  <c r="P13" i="234"/>
  <c r="N13" i="234"/>
  <c r="E13" i="234"/>
  <c r="AF16" i="234" s="1"/>
  <c r="AJ12" i="234"/>
  <c r="AI12" i="234"/>
  <c r="AH12" i="234"/>
  <c r="AG12" i="234"/>
  <c r="U12" i="234"/>
  <c r="T12" i="234"/>
  <c r="R12" i="234"/>
  <c r="Q12" i="234"/>
  <c r="P12" i="234"/>
  <c r="N12" i="234"/>
  <c r="E12" i="234"/>
  <c r="AF7" i="234" s="1"/>
  <c r="AJ11" i="234"/>
  <c r="AI11" i="234"/>
  <c r="AH11" i="234"/>
  <c r="AG11" i="234"/>
  <c r="U11" i="234"/>
  <c r="T11" i="234"/>
  <c r="R11" i="234"/>
  <c r="Q11" i="234"/>
  <c r="P11" i="234"/>
  <c r="N11" i="234"/>
  <c r="E11" i="234"/>
  <c r="AF25" i="234" s="1"/>
  <c r="AJ10" i="234"/>
  <c r="AI10" i="234"/>
  <c r="AH10" i="234"/>
  <c r="AG10" i="234"/>
  <c r="U10" i="234"/>
  <c r="T10" i="234"/>
  <c r="R10" i="234"/>
  <c r="M10" i="234" s="1"/>
  <c r="AK6" i="234" s="1"/>
  <c r="Q10" i="234"/>
  <c r="P10" i="234"/>
  <c r="N10" i="234"/>
  <c r="E10" i="234"/>
  <c r="AJ9" i="234"/>
  <c r="AI9" i="234"/>
  <c r="AH9" i="234"/>
  <c r="AG9" i="234"/>
  <c r="U9" i="234"/>
  <c r="T9" i="234"/>
  <c r="R9" i="234"/>
  <c r="Q9" i="234"/>
  <c r="P9" i="234"/>
  <c r="N9" i="234"/>
  <c r="E9" i="234"/>
  <c r="AF15" i="234" s="1"/>
  <c r="AJ8" i="234"/>
  <c r="AI8" i="234"/>
  <c r="AH8" i="234"/>
  <c r="AG8" i="234"/>
  <c r="U8" i="234"/>
  <c r="T8" i="234"/>
  <c r="R8" i="234"/>
  <c r="Q8" i="234"/>
  <c r="P8" i="234"/>
  <c r="N8" i="234"/>
  <c r="E8" i="234"/>
  <c r="AF24" i="234" s="1"/>
  <c r="AJ7" i="234"/>
  <c r="AI7" i="234"/>
  <c r="AH7" i="234"/>
  <c r="AG7" i="234"/>
  <c r="U7" i="234"/>
  <c r="T7" i="234"/>
  <c r="R7" i="234"/>
  <c r="Q7" i="234"/>
  <c r="M7" i="234" s="1"/>
  <c r="AK23" i="234" s="1"/>
  <c r="P7" i="234"/>
  <c r="N7" i="234"/>
  <c r="E7" i="234"/>
  <c r="AF23" i="234" s="1"/>
  <c r="AJ6" i="234"/>
  <c r="AI6" i="234"/>
  <c r="AH6" i="234"/>
  <c r="AG6" i="234"/>
  <c r="U6" i="234"/>
  <c r="T6" i="234"/>
  <c r="R6" i="234"/>
  <c r="Q6" i="234"/>
  <c r="M6" i="234" s="1"/>
  <c r="AK14" i="234" s="1"/>
  <c r="P6" i="234"/>
  <c r="N6" i="234"/>
  <c r="E6" i="234"/>
  <c r="M15" i="234" l="1"/>
  <c r="AK18" i="234" s="1"/>
  <c r="M18" i="234"/>
  <c r="AK8" i="234" s="1"/>
  <c r="M45" i="234"/>
  <c r="O15" i="235"/>
  <c r="M25" i="236"/>
  <c r="AK20" i="236" s="1"/>
  <c r="M19" i="237"/>
  <c r="AK28" i="237" s="1"/>
  <c r="M29" i="237"/>
  <c r="AK21" i="237" s="1"/>
  <c r="M16" i="234"/>
  <c r="AK26" i="234" s="1"/>
  <c r="M26" i="234"/>
  <c r="AK30" i="234" s="1"/>
  <c r="M31" i="234"/>
  <c r="AK22" i="234" s="1"/>
  <c r="M12" i="238"/>
  <c r="AK7" i="238" s="1"/>
  <c r="M25" i="238"/>
  <c r="AK20" i="238" s="1"/>
  <c r="M7" i="239"/>
  <c r="AK23" i="239" s="1"/>
  <c r="M10" i="239"/>
  <c r="AK6" i="239" s="1"/>
  <c r="M15" i="239"/>
  <c r="AK18" i="239" s="1"/>
  <c r="M29" i="234"/>
  <c r="AK21" i="234" s="1"/>
  <c r="M44" i="234"/>
  <c r="M20" i="237"/>
  <c r="AK19" i="237" s="1"/>
  <c r="M28" i="239"/>
  <c r="AK31" i="239" s="1"/>
  <c r="M46" i="234"/>
  <c r="M16" i="235"/>
  <c r="AK26" i="235" s="1"/>
  <c r="M44" i="235"/>
  <c r="M19" i="236"/>
  <c r="AK28" i="236" s="1"/>
  <c r="M18" i="237"/>
  <c r="AK8" i="237" s="1"/>
  <c r="M28" i="237"/>
  <c r="AK31" i="237" s="1"/>
  <c r="M23" i="240"/>
  <c r="AK10" i="240" s="1"/>
  <c r="M20" i="236"/>
  <c r="AK19" i="236" s="1"/>
  <c r="S12" i="236"/>
  <c r="M23" i="236"/>
  <c r="AK10" i="236" s="1"/>
  <c r="M21" i="236"/>
  <c r="AK29" i="236" s="1"/>
  <c r="M26" i="236"/>
  <c r="AK30" i="236" s="1"/>
  <c r="O11" i="236"/>
  <c r="M17" i="236"/>
  <c r="AK27" i="236" s="1"/>
  <c r="M24" i="236"/>
  <c r="AK11" i="236" s="1"/>
  <c r="AB25" i="236"/>
  <c r="M44" i="236"/>
  <c r="S7" i="237"/>
  <c r="S9" i="237"/>
  <c r="S17" i="237"/>
  <c r="S25" i="237"/>
  <c r="S10" i="237"/>
  <c r="S18" i="237"/>
  <c r="S26" i="237"/>
  <c r="S11" i="237"/>
  <c r="S19" i="237"/>
  <c r="S27" i="237"/>
  <c r="S23" i="237"/>
  <c r="S8" i="237"/>
  <c r="S24" i="237"/>
  <c r="S12" i="237"/>
  <c r="S20" i="237"/>
  <c r="S28" i="237"/>
  <c r="S13" i="237"/>
  <c r="S21" i="237"/>
  <c r="S29" i="237"/>
  <c r="S14" i="237"/>
  <c r="S22" i="237"/>
  <c r="S30" i="237"/>
  <c r="S15" i="237"/>
  <c r="S31" i="237"/>
  <c r="S16" i="237"/>
  <c r="S6" i="237"/>
  <c r="M30" i="237"/>
  <c r="AK13" i="237" s="1"/>
  <c r="M10" i="237"/>
  <c r="AK6" i="237" s="1"/>
  <c r="M14" i="237"/>
  <c r="AK17" i="237" s="1"/>
  <c r="M45" i="237"/>
  <c r="M26" i="238"/>
  <c r="AK30" i="238" s="1"/>
  <c r="M30" i="239"/>
  <c r="AK13" i="239" s="1"/>
  <c r="M46" i="239"/>
  <c r="M17" i="239"/>
  <c r="AK27" i="239" s="1"/>
  <c r="M9" i="239"/>
  <c r="AK15" i="239" s="1"/>
  <c r="M16" i="239"/>
  <c r="AK26" i="239" s="1"/>
  <c r="M21" i="239"/>
  <c r="AK29" i="239" s="1"/>
  <c r="M45" i="239"/>
  <c r="M12" i="239"/>
  <c r="AK7" i="239" s="1"/>
  <c r="M19" i="239"/>
  <c r="AK28" i="239" s="1"/>
  <c r="M26" i="239"/>
  <c r="AK30" i="239" s="1"/>
  <c r="M11" i="240"/>
  <c r="AK25" i="240" s="1"/>
  <c r="AD15" i="240"/>
  <c r="M18" i="240"/>
  <c r="AK8" i="240" s="1"/>
  <c r="M27" i="240"/>
  <c r="AK12" i="240" s="1"/>
  <c r="M9" i="240"/>
  <c r="AK15" i="240" s="1"/>
  <c r="O13" i="240"/>
  <c r="M10" i="240"/>
  <c r="AK6" i="240" s="1"/>
  <c r="M19" i="240"/>
  <c r="AK28" i="240" s="1"/>
  <c r="M12" i="235"/>
  <c r="AK7" i="235" s="1"/>
  <c r="M14" i="235"/>
  <c r="AK17" i="235" s="1"/>
  <c r="AD15" i="235"/>
  <c r="M26" i="235"/>
  <c r="AK30" i="235" s="1"/>
  <c r="M45" i="235"/>
  <c r="AD7" i="235"/>
  <c r="O6" i="235"/>
  <c r="M6" i="235"/>
  <c r="AK14" i="235" s="1"/>
  <c r="M8" i="235"/>
  <c r="AK24" i="235" s="1"/>
  <c r="O13" i="235"/>
  <c r="M27" i="235"/>
  <c r="AK12" i="235" s="1"/>
  <c r="M9" i="234"/>
  <c r="AK15" i="234" s="1"/>
  <c r="M14" i="234"/>
  <c r="AK17" i="234" s="1"/>
  <c r="M27" i="234"/>
  <c r="AK12" i="234" s="1"/>
  <c r="M45" i="240"/>
  <c r="M17" i="240"/>
  <c r="AK27" i="240" s="1"/>
  <c r="M25" i="240"/>
  <c r="AK20" i="240" s="1"/>
  <c r="S6" i="240"/>
  <c r="AB29" i="240"/>
  <c r="AC21" i="240"/>
  <c r="O10" i="240"/>
  <c r="S45" i="240"/>
  <c r="M7" i="240"/>
  <c r="AK23" i="240" s="1"/>
  <c r="M31" i="240"/>
  <c r="AK22" i="240" s="1"/>
  <c r="AB21" i="240"/>
  <c r="AC18" i="240"/>
  <c r="AB22" i="240"/>
  <c r="AD18" i="240"/>
  <c r="AC30" i="240"/>
  <c r="AB18" i="240"/>
  <c r="M6" i="239"/>
  <c r="AK14" i="239" s="1"/>
  <c r="M27" i="239"/>
  <c r="AK12" i="239" s="1"/>
  <c r="M29" i="239"/>
  <c r="AK21" i="239" s="1"/>
  <c r="M44" i="239"/>
  <c r="M11" i="239"/>
  <c r="AK25" i="239" s="1"/>
  <c r="M13" i="239"/>
  <c r="AK16" i="239" s="1"/>
  <c r="M24" i="239"/>
  <c r="AK11" i="239" s="1"/>
  <c r="AB25" i="239"/>
  <c r="AB7" i="239"/>
  <c r="AD14" i="239"/>
  <c r="K45" i="239" s="1"/>
  <c r="AD6" i="239"/>
  <c r="K44" i="239" s="1"/>
  <c r="AB30" i="239"/>
  <c r="AB17" i="239"/>
  <c r="AD31" i="239"/>
  <c r="AB10" i="239"/>
  <c r="AB21" i="239"/>
  <c r="AB29" i="239"/>
  <c r="AC18" i="239"/>
  <c r="M10" i="238"/>
  <c r="AK6" i="238" s="1"/>
  <c r="M9" i="238"/>
  <c r="AK15" i="238" s="1"/>
  <c r="O25" i="238"/>
  <c r="M6" i="238"/>
  <c r="AK14" i="238" s="1"/>
  <c r="M11" i="238"/>
  <c r="AK25" i="238" s="1"/>
  <c r="M13" i="238"/>
  <c r="AK16" i="238" s="1"/>
  <c r="M23" i="238"/>
  <c r="AK10" i="238" s="1"/>
  <c r="M20" i="238"/>
  <c r="AK19" i="238" s="1"/>
  <c r="M14" i="238"/>
  <c r="AK17" i="238" s="1"/>
  <c r="M16" i="238"/>
  <c r="AK26" i="238" s="1"/>
  <c r="M22" i="238"/>
  <c r="AK9" i="238" s="1"/>
  <c r="M7" i="238"/>
  <c r="AK23" i="238" s="1"/>
  <c r="M18" i="238"/>
  <c r="AK8" i="238" s="1"/>
  <c r="O9" i="238"/>
  <c r="AB29" i="238"/>
  <c r="M45" i="238"/>
  <c r="M8" i="238"/>
  <c r="AK24" i="238" s="1"/>
  <c r="M24" i="238"/>
  <c r="AK11" i="238" s="1"/>
  <c r="M17" i="238"/>
  <c r="AK27" i="238" s="1"/>
  <c r="M19" i="238"/>
  <c r="AK28" i="238" s="1"/>
  <c r="M27" i="238"/>
  <c r="AK12" i="238" s="1"/>
  <c r="M44" i="238"/>
  <c r="M28" i="238"/>
  <c r="AK31" i="238" s="1"/>
  <c r="S21" i="238"/>
  <c r="AF14" i="238"/>
  <c r="O17" i="238"/>
  <c r="O12" i="238"/>
  <c r="S29" i="238"/>
  <c r="AB28" i="238"/>
  <c r="AD28" i="238"/>
  <c r="AD11" i="238"/>
  <c r="AB13" i="238"/>
  <c r="AB17" i="238"/>
  <c r="AB19" i="238"/>
  <c r="AC30" i="238"/>
  <c r="AB30" i="238"/>
  <c r="AD17" i="238"/>
  <c r="AB25" i="238"/>
  <c r="AB27" i="238"/>
  <c r="M17" i="237"/>
  <c r="AK27" i="237" s="1"/>
  <c r="M26" i="237"/>
  <c r="AK30" i="237" s="1"/>
  <c r="M6" i="237"/>
  <c r="AK14" i="237" s="1"/>
  <c r="M22" i="237"/>
  <c r="AK9" i="237" s="1"/>
  <c r="M7" i="237"/>
  <c r="AK23" i="237" s="1"/>
  <c r="M25" i="237"/>
  <c r="AK20" i="237" s="1"/>
  <c r="M12" i="237"/>
  <c r="AK7" i="237" s="1"/>
  <c r="M23" i="237"/>
  <c r="AK10" i="237" s="1"/>
  <c r="M46" i="237"/>
  <c r="O30" i="237"/>
  <c r="AC15" i="237"/>
  <c r="AB10" i="237"/>
  <c r="AB26" i="237"/>
  <c r="AB27" i="237"/>
  <c r="AB18" i="237"/>
  <c r="AC23" i="237"/>
  <c r="J46" i="237" s="1"/>
  <c r="AB7" i="237"/>
  <c r="AB9" i="237"/>
  <c r="AB22" i="237"/>
  <c r="AB30" i="237"/>
  <c r="AB11" i="237"/>
  <c r="AB15" i="237"/>
  <c r="AB17" i="237"/>
  <c r="AC22" i="237"/>
  <c r="AB31" i="237"/>
  <c r="AD11" i="237"/>
  <c r="AB19" i="237"/>
  <c r="AC7" i="237"/>
  <c r="AC30" i="237"/>
  <c r="AB25" i="237"/>
  <c r="O12" i="239"/>
  <c r="S8" i="239"/>
  <c r="AF23" i="239"/>
  <c r="S10" i="239"/>
  <c r="S13" i="239"/>
  <c r="S30" i="239"/>
  <c r="AC6" i="239"/>
  <c r="J44" i="239" s="1"/>
  <c r="M8" i="239"/>
  <c r="AK24" i="239" s="1"/>
  <c r="O14" i="239"/>
  <c r="AC17" i="239"/>
  <c r="AB18" i="239"/>
  <c r="AB15" i="239"/>
  <c r="AB20" i="239"/>
  <c r="AB26" i="240"/>
  <c r="AB28" i="240"/>
  <c r="S30" i="240"/>
  <c r="O17" i="239"/>
  <c r="O30" i="240"/>
  <c r="S26" i="240"/>
  <c r="O22" i="240"/>
  <c r="S18" i="240"/>
  <c r="O14" i="240"/>
  <c r="S10" i="240"/>
  <c r="O6" i="240"/>
  <c r="S20" i="240"/>
  <c r="S12" i="240"/>
  <c r="O8" i="240"/>
  <c r="S46" i="240"/>
  <c r="O44" i="240"/>
  <c r="S31" i="240"/>
  <c r="O27" i="240"/>
  <c r="S23" i="240"/>
  <c r="O19" i="240"/>
  <c r="S15" i="240"/>
  <c r="O11" i="240"/>
  <c r="S7" i="240"/>
  <c r="S28" i="240"/>
  <c r="O24" i="240"/>
  <c r="O16" i="240"/>
  <c r="O46" i="240"/>
  <c r="S44" i="240"/>
  <c r="O31" i="240"/>
  <c r="S27" i="240"/>
  <c r="O23" i="240"/>
  <c r="S19" i="240"/>
  <c r="O15" i="240"/>
  <c r="S11" i="240"/>
  <c r="O7" i="240"/>
  <c r="S29" i="240"/>
  <c r="S13" i="240"/>
  <c r="O9" i="240"/>
  <c r="O28" i="240"/>
  <c r="S24" i="240"/>
  <c r="O20" i="240"/>
  <c r="S16" i="240"/>
  <c r="AF14" i="240"/>
  <c r="O12" i="240"/>
  <c r="S8" i="240"/>
  <c r="O45" i="240"/>
  <c r="O25" i="240"/>
  <c r="S21" i="240"/>
  <c r="O17" i="240"/>
  <c r="AB10" i="240"/>
  <c r="S17" i="240"/>
  <c r="AB25" i="240"/>
  <c r="AD29" i="240"/>
  <c r="AB27" i="240"/>
  <c r="AC24" i="240"/>
  <c r="AD30" i="240"/>
  <c r="AB23" i="240"/>
  <c r="AC25" i="240"/>
  <c r="O6" i="239"/>
  <c r="AD8" i="239"/>
  <c r="AB9" i="239"/>
  <c r="AD19" i="239"/>
  <c r="AC22" i="239"/>
  <c r="AC25" i="239"/>
  <c r="AB23" i="239"/>
  <c r="AB26" i="239"/>
  <c r="AB28" i="239"/>
  <c r="AB9" i="240"/>
  <c r="AB12" i="240"/>
  <c r="S14" i="240"/>
  <c r="O18" i="240"/>
  <c r="O21" i="240"/>
  <c r="AB24" i="240"/>
  <c r="M28" i="240"/>
  <c r="AK31" i="240" s="1"/>
  <c r="AB12" i="239"/>
  <c r="S21" i="239"/>
  <c r="O25" i="239"/>
  <c r="AD11" i="240"/>
  <c r="AC6" i="240"/>
  <c r="J44" i="240" s="1"/>
  <c r="AD13" i="240"/>
  <c r="AB11" i="240"/>
  <c r="AC8" i="240"/>
  <c r="AC11" i="240"/>
  <c r="AD8" i="240"/>
  <c r="AB6" i="240"/>
  <c r="AD12" i="240"/>
  <c r="AC7" i="240"/>
  <c r="AC9" i="240"/>
  <c r="AD6" i="240"/>
  <c r="K44" i="240" s="1"/>
  <c r="AC12" i="240"/>
  <c r="AD9" i="240"/>
  <c r="AB7" i="240"/>
  <c r="AB8" i="240"/>
  <c r="AC30" i="239"/>
  <c r="AC26" i="240"/>
  <c r="AC29" i="240"/>
  <c r="AC28" i="239"/>
  <c r="S29" i="239"/>
  <c r="AD30" i="239"/>
  <c r="O45" i="239"/>
  <c r="AD7" i="240"/>
  <c r="AC10" i="240"/>
  <c r="AB13" i="240"/>
  <c r="AB17" i="240"/>
  <c r="AB20" i="240"/>
  <c r="S22" i="240"/>
  <c r="S25" i="240"/>
  <c r="AD26" i="240"/>
  <c r="O29" i="240"/>
  <c r="AC9" i="239"/>
  <c r="AB13" i="239"/>
  <c r="AC20" i="239"/>
  <c r="AD22" i="239"/>
  <c r="AC10" i="239"/>
  <c r="O9" i="239"/>
  <c r="S18" i="239"/>
  <c r="O22" i="239"/>
  <c r="AD27" i="239"/>
  <c r="AD23" i="240"/>
  <c r="K46" i="240" s="1"/>
  <c r="AB31" i="240"/>
  <c r="AB30" i="240"/>
  <c r="AD11" i="239"/>
  <c r="AD9" i="239"/>
  <c r="AC14" i="239"/>
  <c r="J45" i="239" s="1"/>
  <c r="AD16" i="239"/>
  <c r="S26" i="239"/>
  <c r="O30" i="239"/>
  <c r="S9" i="240"/>
  <c r="AD10" i="240"/>
  <c r="AC13" i="240"/>
  <c r="AC22" i="240"/>
  <c r="AD19" i="240"/>
  <c r="AC14" i="240"/>
  <c r="J45" i="240" s="1"/>
  <c r="AB19" i="240"/>
  <c r="AC19" i="240"/>
  <c r="AD16" i="240"/>
  <c r="AB14" i="240"/>
  <c r="AD21" i="240"/>
  <c r="AC16" i="240"/>
  <c r="AD20" i="240"/>
  <c r="AC15" i="240"/>
  <c r="AD22" i="240"/>
  <c r="AC20" i="240"/>
  <c r="AD17" i="240"/>
  <c r="AB15" i="240"/>
  <c r="AC17" i="240"/>
  <c r="AD14" i="240"/>
  <c r="K45" i="240" s="1"/>
  <c r="AB16" i="240"/>
  <c r="O26" i="240"/>
  <c r="AD31" i="240"/>
  <c r="S9" i="239"/>
  <c r="O13" i="239"/>
  <c r="AC13" i="239"/>
  <c r="S17" i="239"/>
  <c r="O21" i="239"/>
  <c r="S25" i="239"/>
  <c r="O29" i="239"/>
  <c r="AC29" i="239"/>
  <c r="S45" i="239"/>
  <c r="O8" i="239"/>
  <c r="AC8" i="239"/>
  <c r="AB11" i="239"/>
  <c r="S12" i="239"/>
  <c r="AD13" i="239"/>
  <c r="O16" i="239"/>
  <c r="AC16" i="239"/>
  <c r="AB19" i="239"/>
  <c r="S20" i="239"/>
  <c r="AD21" i="239"/>
  <c r="O24" i="239"/>
  <c r="AC24" i="239"/>
  <c r="AB27" i="239"/>
  <c r="S28" i="239"/>
  <c r="AD29" i="239"/>
  <c r="AD25" i="240"/>
  <c r="AC28" i="240"/>
  <c r="AB8" i="239"/>
  <c r="AD10" i="239"/>
  <c r="AB16" i="239"/>
  <c r="AD18" i="239"/>
  <c r="AC21" i="239"/>
  <c r="AB24" i="239"/>
  <c r="AD26" i="239"/>
  <c r="AB6" i="239"/>
  <c r="S7" i="239"/>
  <c r="O11" i="239"/>
  <c r="AC11" i="239"/>
  <c r="AB14" i="239"/>
  <c r="S15" i="239"/>
  <c r="O19" i="239"/>
  <c r="AC19" i="239"/>
  <c r="AB22" i="239"/>
  <c r="S23" i="239"/>
  <c r="AD24" i="239"/>
  <c r="O27" i="239"/>
  <c r="AC27" i="239"/>
  <c r="S31" i="239"/>
  <c r="O44" i="239"/>
  <c r="S46" i="239"/>
  <c r="AC23" i="240"/>
  <c r="J46" i="240" s="1"/>
  <c r="AD28" i="240"/>
  <c r="AC31" i="240"/>
  <c r="AC12" i="239"/>
  <c r="AF14" i="239"/>
  <c r="S16" i="239"/>
  <c r="AD17" i="239"/>
  <c r="O20" i="239"/>
  <c r="S24" i="239"/>
  <c r="AD25" i="239"/>
  <c r="AB31" i="239"/>
  <c r="O7" i="239"/>
  <c r="AC7" i="239"/>
  <c r="S11" i="239"/>
  <c r="AD12" i="239"/>
  <c r="O15" i="239"/>
  <c r="AC15" i="239"/>
  <c r="S19" i="239"/>
  <c r="AD20" i="239"/>
  <c r="O23" i="239"/>
  <c r="AC23" i="239"/>
  <c r="J46" i="239" s="1"/>
  <c r="S27" i="239"/>
  <c r="AD28" i="239"/>
  <c r="O31" i="239"/>
  <c r="AC31" i="239"/>
  <c r="S44" i="239"/>
  <c r="O46" i="239"/>
  <c r="AD24" i="240"/>
  <c r="AC27" i="240"/>
  <c r="O28" i="239"/>
  <c r="S6" i="239"/>
  <c r="AD7" i="239"/>
  <c r="O10" i="239"/>
  <c r="S14" i="239"/>
  <c r="AD15" i="239"/>
  <c r="O18" i="239"/>
  <c r="S22" i="239"/>
  <c r="AD23" i="239"/>
  <c r="K46" i="239" s="1"/>
  <c r="O26" i="239"/>
  <c r="AC26" i="239"/>
  <c r="AD27" i="240"/>
  <c r="AB15" i="238"/>
  <c r="AB22" i="238"/>
  <c r="AC7" i="238"/>
  <c r="AB8" i="238"/>
  <c r="AD12" i="238"/>
  <c r="AB10" i="238"/>
  <c r="AB11" i="238"/>
  <c r="AD14" i="238"/>
  <c r="K45" i="238" s="1"/>
  <c r="AB20" i="238"/>
  <c r="AB7" i="238"/>
  <c r="S13" i="238"/>
  <c r="AC20" i="238"/>
  <c r="S16" i="238"/>
  <c r="O20" i="238"/>
  <c r="AB21" i="238"/>
  <c r="AB23" i="238"/>
  <c r="O45" i="238"/>
  <c r="AD6" i="238"/>
  <c r="K44" i="238" s="1"/>
  <c r="AC9" i="238"/>
  <c r="AB12" i="238"/>
  <c r="AC22" i="238"/>
  <c r="AD30" i="238"/>
  <c r="AC15" i="238"/>
  <c r="AB16" i="238"/>
  <c r="AD20" i="238"/>
  <c r="AB18" i="238"/>
  <c r="AB9" i="238"/>
  <c r="AC17" i="238"/>
  <c r="O7" i="238"/>
  <c r="O28" i="238"/>
  <c r="S24" i="238"/>
  <c r="O30" i="238"/>
  <c r="AF6" i="238"/>
  <c r="S8" i="238"/>
  <c r="AD9" i="238"/>
  <c r="AC12" i="238"/>
  <c r="AD22" i="238"/>
  <c r="AC25" i="238"/>
  <c r="AD25" i="238"/>
  <c r="AC28" i="238"/>
  <c r="AB31" i="238"/>
  <c r="S19" i="238"/>
  <c r="O23" i="238"/>
  <c r="AC23" i="238"/>
  <c r="J46" i="238" s="1"/>
  <c r="AB26" i="238"/>
  <c r="O31" i="238"/>
  <c r="AC31" i="238"/>
  <c r="S44" i="238"/>
  <c r="O46" i="238"/>
  <c r="AD7" i="238"/>
  <c r="AD15" i="238"/>
  <c r="S22" i="238"/>
  <c r="AD23" i="238"/>
  <c r="K46" i="238" s="1"/>
  <c r="AC26" i="238"/>
  <c r="S30" i="238"/>
  <c r="AD31" i="238"/>
  <c r="S9" i="238"/>
  <c r="AD10" i="238"/>
  <c r="O13" i="238"/>
  <c r="AC13" i="238"/>
  <c r="S17" i="238"/>
  <c r="AD18" i="238"/>
  <c r="O21" i="238"/>
  <c r="AC21" i="238"/>
  <c r="AB24" i="238"/>
  <c r="S25" i="238"/>
  <c r="AD26" i="238"/>
  <c r="O29" i="238"/>
  <c r="AC29" i="238"/>
  <c r="S45" i="238"/>
  <c r="O8" i="238"/>
  <c r="AC8" i="238"/>
  <c r="S12" i="238"/>
  <c r="AD13" i="238"/>
  <c r="O16" i="238"/>
  <c r="AC16" i="238"/>
  <c r="S20" i="238"/>
  <c r="AD21" i="238"/>
  <c r="O24" i="238"/>
  <c r="AC24" i="238"/>
  <c r="S28" i="238"/>
  <c r="AD29" i="238"/>
  <c r="S11" i="238"/>
  <c r="O15" i="238"/>
  <c r="S27" i="238"/>
  <c r="S6" i="238"/>
  <c r="O10" i="238"/>
  <c r="AC10" i="238"/>
  <c r="S14" i="238"/>
  <c r="O18" i="238"/>
  <c r="AC18" i="238"/>
  <c r="O26" i="238"/>
  <c r="AB6" i="238"/>
  <c r="S7" i="238"/>
  <c r="AD8" i="238"/>
  <c r="O11" i="238"/>
  <c r="AC11" i="238"/>
  <c r="AB14" i="238"/>
  <c r="S15" i="238"/>
  <c r="AD16" i="238"/>
  <c r="O19" i="238"/>
  <c r="AC19" i="238"/>
  <c r="S23" i="238"/>
  <c r="AD24" i="238"/>
  <c r="O27" i="238"/>
  <c r="AC27" i="238"/>
  <c r="S31" i="238"/>
  <c r="O44" i="238"/>
  <c r="S46" i="238"/>
  <c r="O6" i="238"/>
  <c r="AC6" i="238"/>
  <c r="J44" i="238" s="1"/>
  <c r="S10" i="238"/>
  <c r="O14" i="238"/>
  <c r="AC14" i="238"/>
  <c r="J45" i="238" s="1"/>
  <c r="S18" i="238"/>
  <c r="AD19" i="238"/>
  <c r="O22" i="238"/>
  <c r="S26" i="238"/>
  <c r="AD27" i="238"/>
  <c r="S20" i="236"/>
  <c r="M13" i="236"/>
  <c r="AK16" i="236" s="1"/>
  <c r="S14" i="236"/>
  <c r="M46" i="236"/>
  <c r="AB12" i="236"/>
  <c r="AB27" i="236"/>
  <c r="AC8" i="236"/>
  <c r="AB11" i="236"/>
  <c r="AF14" i="236"/>
  <c r="AD13" i="236"/>
  <c r="M15" i="236"/>
  <c r="AK18" i="236" s="1"/>
  <c r="AD22" i="236"/>
  <c r="M7" i="236"/>
  <c r="AK23" i="236" s="1"/>
  <c r="AD6" i="236"/>
  <c r="K44" i="236" s="1"/>
  <c r="M11" i="236"/>
  <c r="AK25" i="236" s="1"/>
  <c r="AD16" i="236"/>
  <c r="AB15" i="236"/>
  <c r="AC17" i="236"/>
  <c r="AD24" i="236"/>
  <c r="AD8" i="236"/>
  <c r="AB28" i="236"/>
  <c r="AB30" i="236"/>
  <c r="AB14" i="236"/>
  <c r="AB17" i="236"/>
  <c r="AB24" i="236"/>
  <c r="AB8" i="236"/>
  <c r="AD29" i="236"/>
  <c r="AB20" i="236"/>
  <c r="AB22" i="236"/>
  <c r="AB29" i="236"/>
  <c r="AC27" i="236"/>
  <c r="AB13" i="236"/>
  <c r="AC19" i="236"/>
  <c r="AC31" i="237"/>
  <c r="O46" i="237"/>
  <c r="AD7" i="237"/>
  <c r="O10" i="237"/>
  <c r="AD15" i="237"/>
  <c r="AC18" i="237"/>
  <c r="AB21" i="237"/>
  <c r="AB8" i="237"/>
  <c r="O13" i="237"/>
  <c r="AD6" i="237"/>
  <c r="K44" i="237" s="1"/>
  <c r="O9" i="237"/>
  <c r="AC9" i="237"/>
  <c r="AB12" i="237"/>
  <c r="AD14" i="237"/>
  <c r="K45" i="237" s="1"/>
  <c r="O17" i="237"/>
  <c r="AC17" i="237"/>
  <c r="AB20" i="237"/>
  <c r="AD22" i="237"/>
  <c r="O25" i="237"/>
  <c r="AC25" i="237"/>
  <c r="AB28" i="237"/>
  <c r="AD30" i="237"/>
  <c r="O45" i="237"/>
  <c r="AD9" i="237"/>
  <c r="O12" i="237"/>
  <c r="AC12" i="237"/>
  <c r="AF14" i="237"/>
  <c r="AD17" i="237"/>
  <c r="O20" i="237"/>
  <c r="AC20" i="237"/>
  <c r="AB23" i="237"/>
  <c r="AD25" i="237"/>
  <c r="O28" i="237"/>
  <c r="AC28" i="237"/>
  <c r="O15" i="237"/>
  <c r="AD20" i="237"/>
  <c r="O31" i="237"/>
  <c r="O18" i="237"/>
  <c r="AD23" i="237"/>
  <c r="K46" i="237" s="1"/>
  <c r="O26" i="237"/>
  <c r="AB29" i="237"/>
  <c r="AD31" i="237"/>
  <c r="AC13" i="237"/>
  <c r="AB16" i="237"/>
  <c r="AD18" i="237"/>
  <c r="O21" i="237"/>
  <c r="AC21" i="237"/>
  <c r="AB24" i="237"/>
  <c r="AD26" i="237"/>
  <c r="O8" i="237"/>
  <c r="AC8" i="237"/>
  <c r="AD21" i="237"/>
  <c r="O24" i="237"/>
  <c r="AD29" i="237"/>
  <c r="AB6" i="237"/>
  <c r="AD8" i="237"/>
  <c r="O11" i="237"/>
  <c r="AC11" i="237"/>
  <c r="AB14" i="237"/>
  <c r="AD16" i="237"/>
  <c r="O19" i="237"/>
  <c r="AC19" i="237"/>
  <c r="AD24" i="237"/>
  <c r="O27" i="237"/>
  <c r="AC27" i="237"/>
  <c r="O44" i="237"/>
  <c r="S46" i="237"/>
  <c r="O7" i="237"/>
  <c r="AD12" i="237"/>
  <c r="O23" i="237"/>
  <c r="AD28" i="237"/>
  <c r="S44" i="237"/>
  <c r="AC10" i="237"/>
  <c r="AB13" i="237"/>
  <c r="AC26" i="237"/>
  <c r="AD10" i="237"/>
  <c r="O29" i="237"/>
  <c r="AC29" i="237"/>
  <c r="S45" i="237"/>
  <c r="AD13" i="237"/>
  <c r="O16" i="237"/>
  <c r="AC16" i="237"/>
  <c r="AC24" i="237"/>
  <c r="O6" i="237"/>
  <c r="AC6" i="237"/>
  <c r="J44" i="237" s="1"/>
  <c r="O14" i="237"/>
  <c r="AC14" i="237"/>
  <c r="J45" i="237" s="1"/>
  <c r="AD19" i="237"/>
  <c r="O22" i="237"/>
  <c r="AD27" i="237"/>
  <c r="AC14" i="235"/>
  <c r="J45" i="235" s="1"/>
  <c r="M21" i="235"/>
  <c r="AK29" i="235" s="1"/>
  <c r="O31" i="235"/>
  <c r="AC6" i="235"/>
  <c r="J44" i="235" s="1"/>
  <c r="O7" i="235"/>
  <c r="S25" i="235"/>
  <c r="O20" i="235"/>
  <c r="M28" i="235"/>
  <c r="AK31" i="235" s="1"/>
  <c r="M46" i="235"/>
  <c r="S10" i="235"/>
  <c r="M18" i="235"/>
  <c r="AK8" i="235" s="1"/>
  <c r="M22" i="235"/>
  <c r="AK9" i="235" s="1"/>
  <c r="O29" i="235"/>
  <c r="S18" i="235"/>
  <c r="M20" i="235"/>
  <c r="AK19" i="235" s="1"/>
  <c r="M11" i="235"/>
  <c r="AK25" i="235" s="1"/>
  <c r="O21" i="235"/>
  <c r="M29" i="235"/>
  <c r="AK21" i="235" s="1"/>
  <c r="S45" i="235"/>
  <c r="M13" i="235"/>
  <c r="AK16" i="235" s="1"/>
  <c r="M17" i="235"/>
  <c r="AK27" i="235" s="1"/>
  <c r="AC30" i="235"/>
  <c r="O28" i="235"/>
  <c r="AB11" i="235"/>
  <c r="AB17" i="235"/>
  <c r="AB27" i="235"/>
  <c r="AB25" i="235"/>
  <c r="AB8" i="235"/>
  <c r="AB19" i="235"/>
  <c r="AB26" i="235"/>
  <c r="AD6" i="234"/>
  <c r="K44" i="234" s="1"/>
  <c r="M20" i="234"/>
  <c r="AK19" i="234" s="1"/>
  <c r="M12" i="234"/>
  <c r="AK7" i="234" s="1"/>
  <c r="M30" i="234"/>
  <c r="AK13" i="234" s="1"/>
  <c r="M8" i="234"/>
  <c r="AK24" i="234" s="1"/>
  <c r="M17" i="234"/>
  <c r="AK27" i="234" s="1"/>
  <c r="M19" i="234"/>
  <c r="AK28" i="234" s="1"/>
  <c r="M28" i="234"/>
  <c r="AK31" i="234" s="1"/>
  <c r="M11" i="234"/>
  <c r="AK25" i="234" s="1"/>
  <c r="M22" i="234"/>
  <c r="AK9" i="234" s="1"/>
  <c r="M24" i="234"/>
  <c r="AK11" i="234" s="1"/>
  <c r="AD26" i="234"/>
  <c r="AC17" i="234"/>
  <c r="AB11" i="234"/>
  <c r="AB20" i="234"/>
  <c r="O30" i="234"/>
  <c r="O28" i="234"/>
  <c r="AF14" i="234"/>
  <c r="AB13" i="234"/>
  <c r="AC25" i="234"/>
  <c r="AD14" i="234"/>
  <c r="K45" i="234" s="1"/>
  <c r="AB21" i="234"/>
  <c r="AB23" i="234"/>
  <c r="AC30" i="234"/>
  <c r="AB25" i="234"/>
  <c r="AB27" i="234"/>
  <c r="AD11" i="234"/>
  <c r="AB17" i="234"/>
  <c r="AC9" i="234"/>
  <c r="AB19" i="234"/>
  <c r="AC22" i="234"/>
  <c r="AC14" i="234"/>
  <c r="J45" i="234" s="1"/>
  <c r="AC6" i="234"/>
  <c r="J44" i="234" s="1"/>
  <c r="AB12" i="234"/>
  <c r="AB9" i="234"/>
  <c r="AB22" i="235"/>
  <c r="O18" i="236"/>
  <c r="AB9" i="235"/>
  <c r="O14" i="235"/>
  <c r="AF15" i="235"/>
  <c r="AB16" i="235"/>
  <c r="S24" i="235"/>
  <c r="O30" i="236"/>
  <c r="AC9" i="235"/>
  <c r="AD6" i="235"/>
  <c r="K44" i="235" s="1"/>
  <c r="AC11" i="235"/>
  <c r="AD8" i="235"/>
  <c r="AB6" i="235"/>
  <c r="AB10" i="235"/>
  <c r="AB21" i="235"/>
  <c r="AD22" i="235"/>
  <c r="AC17" i="235"/>
  <c r="AD14" i="235"/>
  <c r="K45" i="235" s="1"/>
  <c r="AC19" i="235"/>
  <c r="AD16" i="235"/>
  <c r="AB14" i="235"/>
  <c r="AB18" i="235"/>
  <c r="AB23" i="235"/>
  <c r="AB31" i="235"/>
  <c r="O17" i="236"/>
  <c r="O10" i="235"/>
  <c r="AC10" i="235"/>
  <c r="O18" i="235"/>
  <c r="AC18" i="235"/>
  <c r="S20" i="235"/>
  <c r="AC23" i="235"/>
  <c r="J46" i="235" s="1"/>
  <c r="AB24" i="235"/>
  <c r="S28" i="235"/>
  <c r="AC31" i="235"/>
  <c r="O46" i="235"/>
  <c r="AB7" i="236"/>
  <c r="AC11" i="236"/>
  <c r="AD14" i="236"/>
  <c r="K45" i="236" s="1"/>
  <c r="AD15" i="236"/>
  <c r="O16" i="236"/>
  <c r="AB19" i="236"/>
  <c r="AC25" i="236"/>
  <c r="S6" i="235"/>
  <c r="AD10" i="235"/>
  <c r="S14" i="235"/>
  <c r="AD18" i="235"/>
  <c r="AC22" i="235"/>
  <c r="O23" i="235"/>
  <c r="O24" i="235"/>
  <c r="AC24" i="235"/>
  <c r="AD25" i="235"/>
  <c r="AD11" i="236"/>
  <c r="AC6" i="236"/>
  <c r="J44" i="236" s="1"/>
  <c r="AC13" i="236"/>
  <c r="AD10" i="236"/>
  <c r="AD12" i="236"/>
  <c r="AB10" i="236"/>
  <c r="AC7" i="236"/>
  <c r="AC12" i="236"/>
  <c r="AD9" i="236"/>
  <c r="AC10" i="236"/>
  <c r="AB16" i="236"/>
  <c r="AB21" i="236"/>
  <c r="AC24" i="236"/>
  <c r="AD13" i="235"/>
  <c r="AD20" i="235"/>
  <c r="AC26" i="235"/>
  <c r="AD23" i="235"/>
  <c r="K46" i="235" s="1"/>
  <c r="AD30" i="235"/>
  <c r="AC25" i="235"/>
  <c r="AD28" i="235"/>
  <c r="S29" i="236"/>
  <c r="S44" i="235"/>
  <c r="S12" i="235"/>
  <c r="S27" i="235"/>
  <c r="S30" i="235"/>
  <c r="O26" i="235"/>
  <c r="S22" i="235"/>
  <c r="O45" i="235"/>
  <c r="S29" i="235"/>
  <c r="O25" i="235"/>
  <c r="S21" i="235"/>
  <c r="O17" i="235"/>
  <c r="S13" i="235"/>
  <c r="O9" i="235"/>
  <c r="S46" i="235"/>
  <c r="O44" i="235"/>
  <c r="S31" i="235"/>
  <c r="O27" i="235"/>
  <c r="S23" i="235"/>
  <c r="O19" i="235"/>
  <c r="S15" i="235"/>
  <c r="O11" i="235"/>
  <c r="S7" i="235"/>
  <c r="AB7" i="235"/>
  <c r="S8" i="235"/>
  <c r="S9" i="235"/>
  <c r="AD11" i="235"/>
  <c r="AC12" i="235"/>
  <c r="AB13" i="235"/>
  <c r="AB15" i="235"/>
  <c r="S16" i="235"/>
  <c r="S17" i="235"/>
  <c r="AD19" i="235"/>
  <c r="AC21" i="235"/>
  <c r="AD26" i="235"/>
  <c r="AC29" i="235"/>
  <c r="AF15" i="236"/>
  <c r="S30" i="236"/>
  <c r="O26" i="236"/>
  <c r="S22" i="236"/>
  <c r="O28" i="236"/>
  <c r="S24" i="236"/>
  <c r="O20" i="236"/>
  <c r="S16" i="236"/>
  <c r="O12" i="236"/>
  <c r="S8" i="236"/>
  <c r="AC18" i="236"/>
  <c r="O19" i="236"/>
  <c r="S23" i="236"/>
  <c r="O25" i="236"/>
  <c r="S31" i="236"/>
  <c r="O44" i="236"/>
  <c r="O45" i="236"/>
  <c r="AC7" i="235"/>
  <c r="O12" i="235"/>
  <c r="AD12" i="235"/>
  <c r="AC13" i="235"/>
  <c r="AC15" i="235"/>
  <c r="AC20" i="235"/>
  <c r="AD21" i="235"/>
  <c r="O22" i="235"/>
  <c r="M23" i="235"/>
  <c r="AK10" i="235" s="1"/>
  <c r="AD31" i="235"/>
  <c r="AD27" i="235"/>
  <c r="AC28" i="235"/>
  <c r="AD29" i="235"/>
  <c r="O30" i="235"/>
  <c r="M31" i="235"/>
  <c r="AK22" i="235" s="1"/>
  <c r="S6" i="236"/>
  <c r="S7" i="236"/>
  <c r="AC9" i="236"/>
  <c r="O10" i="236"/>
  <c r="S13" i="236"/>
  <c r="AC22" i="236"/>
  <c r="AD19" i="236"/>
  <c r="AC14" i="236"/>
  <c r="J45" i="236" s="1"/>
  <c r="AC21" i="236"/>
  <c r="AD18" i="236"/>
  <c r="AD20" i="236"/>
  <c r="AB18" i="236"/>
  <c r="AC15" i="236"/>
  <c r="AC20" i="236"/>
  <c r="AD17" i="236"/>
  <c r="S21" i="236"/>
  <c r="O24" i="236"/>
  <c r="O27" i="236"/>
  <c r="AF27" i="236"/>
  <c r="AB29" i="235"/>
  <c r="O9" i="236"/>
  <c r="S15" i="236"/>
  <c r="S46" i="236"/>
  <c r="M7" i="235"/>
  <c r="AK23" i="235" s="1"/>
  <c r="O8" i="235"/>
  <c r="AC8" i="235"/>
  <c r="AD9" i="235"/>
  <c r="S11" i="235"/>
  <c r="AB12" i="235"/>
  <c r="M15" i="235"/>
  <c r="AK18" i="235" s="1"/>
  <c r="O16" i="235"/>
  <c r="AC16" i="235"/>
  <c r="AD17" i="235"/>
  <c r="S19" i="235"/>
  <c r="AB20" i="235"/>
  <c r="S26" i="235"/>
  <c r="AB28" i="235"/>
  <c r="AB6" i="236"/>
  <c r="AD7" i="236"/>
  <c r="O8" i="236"/>
  <c r="AB9" i="236"/>
  <c r="AC16" i="236"/>
  <c r="M18" i="236"/>
  <c r="AK8" i="236" s="1"/>
  <c r="AD21" i="236"/>
  <c r="AC30" i="236"/>
  <c r="AD27" i="236"/>
  <c r="AC29" i="236"/>
  <c r="AD26" i="236"/>
  <c r="AD31" i="236"/>
  <c r="AC26" i="236"/>
  <c r="AD23" i="236"/>
  <c r="K46" i="236" s="1"/>
  <c r="AC31" i="236"/>
  <c r="AD28" i="236"/>
  <c r="AC23" i="236"/>
  <c r="J46" i="236" s="1"/>
  <c r="AC28" i="236"/>
  <c r="AD25" i="236"/>
  <c r="AB23" i="236"/>
  <c r="AB26" i="236"/>
  <c r="S28" i="236"/>
  <c r="AD30" i="236"/>
  <c r="AB31" i="236"/>
  <c r="AD24" i="235"/>
  <c r="AC27" i="235"/>
  <c r="AB30" i="235"/>
  <c r="O7" i="236"/>
  <c r="S11" i="236"/>
  <c r="O15" i="236"/>
  <c r="S19" i="236"/>
  <c r="O23" i="236"/>
  <c r="S27" i="236"/>
  <c r="O31" i="236"/>
  <c r="S44" i="236"/>
  <c r="O46" i="236"/>
  <c r="S9" i="236"/>
  <c r="O13" i="236"/>
  <c r="S17" i="236"/>
  <c r="O21" i="236"/>
  <c r="S25" i="236"/>
  <c r="O29" i="236"/>
  <c r="S45" i="236"/>
  <c r="O6" i="236"/>
  <c r="S10" i="236"/>
  <c r="O14" i="236"/>
  <c r="S18" i="236"/>
  <c r="O22" i="236"/>
  <c r="S26" i="236"/>
  <c r="S13" i="234"/>
  <c r="S21" i="234"/>
  <c r="AD22" i="234"/>
  <c r="S29" i="234"/>
  <c r="AD30" i="234"/>
  <c r="AB7" i="234"/>
  <c r="S8" i="234"/>
  <c r="AD9" i="234"/>
  <c r="O12" i="234"/>
  <c r="AC12" i="234"/>
  <c r="AB15" i="234"/>
  <c r="O20" i="234"/>
  <c r="AD25" i="234"/>
  <c r="AB31" i="234"/>
  <c r="O7" i="234"/>
  <c r="AC7" i="234"/>
  <c r="AB10" i="234"/>
  <c r="S11" i="234"/>
  <c r="AD12" i="234"/>
  <c r="O15" i="234"/>
  <c r="AC15" i="234"/>
  <c r="AB18" i="234"/>
  <c r="S19" i="234"/>
  <c r="AD20" i="234"/>
  <c r="O23" i="234"/>
  <c r="AC23" i="234"/>
  <c r="J46" i="234" s="1"/>
  <c r="AB26" i="234"/>
  <c r="S27" i="234"/>
  <c r="AD28" i="234"/>
  <c r="O31" i="234"/>
  <c r="AC31" i="234"/>
  <c r="S44" i="234"/>
  <c r="O46" i="234"/>
  <c r="S6" i="234"/>
  <c r="AD7" i="234"/>
  <c r="O10" i="234"/>
  <c r="AC10" i="234"/>
  <c r="S14" i="234"/>
  <c r="AD15" i="234"/>
  <c r="O18" i="234"/>
  <c r="AC18" i="234"/>
  <c r="S22" i="234"/>
  <c r="AD23" i="234"/>
  <c r="K46" i="234" s="1"/>
  <c r="O26" i="234"/>
  <c r="AC26" i="234"/>
  <c r="AB29" i="234"/>
  <c r="S30" i="234"/>
  <c r="AD31" i="234"/>
  <c r="O9" i="234"/>
  <c r="O25" i="234"/>
  <c r="S16" i="234"/>
  <c r="AD17" i="234"/>
  <c r="S9" i="234"/>
  <c r="AD10" i="234"/>
  <c r="O13" i="234"/>
  <c r="AC13" i="234"/>
  <c r="AB16" i="234"/>
  <c r="AD18" i="234"/>
  <c r="AC21" i="234"/>
  <c r="S25" i="234"/>
  <c r="O29" i="234"/>
  <c r="AC29" i="234"/>
  <c r="S45" i="234"/>
  <c r="O8" i="234"/>
  <c r="S12" i="234"/>
  <c r="S20" i="234"/>
  <c r="O24" i="234"/>
  <c r="AC24" i="234"/>
  <c r="AD29" i="234"/>
  <c r="AB6" i="234"/>
  <c r="S7" i="234"/>
  <c r="AD8" i="234"/>
  <c r="O11" i="234"/>
  <c r="AC11" i="234"/>
  <c r="AB14" i="234"/>
  <c r="S15" i="234"/>
  <c r="AD16" i="234"/>
  <c r="O19" i="234"/>
  <c r="AC19" i="234"/>
  <c r="AB22" i="234"/>
  <c r="S23" i="234"/>
  <c r="AD24" i="234"/>
  <c r="O27" i="234"/>
  <c r="AC27" i="234"/>
  <c r="AB30" i="234"/>
  <c r="S31" i="234"/>
  <c r="O44" i="234"/>
  <c r="S46" i="234"/>
  <c r="O17" i="234"/>
  <c r="AB28" i="234"/>
  <c r="O45" i="234"/>
  <c r="AF6" i="234"/>
  <c r="AC20" i="234"/>
  <c r="S24" i="234"/>
  <c r="AC28" i="234"/>
  <c r="AB8" i="234"/>
  <c r="S17" i="234"/>
  <c r="O21" i="234"/>
  <c r="AB24" i="234"/>
  <c r="AC8" i="234"/>
  <c r="AD13" i="234"/>
  <c r="O16" i="234"/>
  <c r="AC16" i="234"/>
  <c r="AD21" i="234"/>
  <c r="S28" i="234"/>
  <c r="O6" i="234"/>
  <c r="S10" i="234"/>
  <c r="O14" i="234"/>
  <c r="S18" i="234"/>
  <c r="AD19" i="234"/>
  <c r="O22" i="234"/>
  <c r="S26" i="234"/>
  <c r="AD27" i="234"/>
  <c r="T46" i="233" l="1"/>
  <c r="R46" i="233"/>
  <c r="M46" i="233" s="1"/>
  <c r="Q46" i="233"/>
  <c r="P46" i="233"/>
  <c r="N46" i="233"/>
  <c r="T45" i="233"/>
  <c r="R45" i="233"/>
  <c r="Q45" i="233"/>
  <c r="P45" i="233"/>
  <c r="N45" i="233"/>
  <c r="T44" i="233"/>
  <c r="R44" i="233"/>
  <c r="Q44" i="233"/>
  <c r="P44" i="233"/>
  <c r="N44" i="233"/>
  <c r="M44" i="233"/>
  <c r="AJ31" i="233"/>
  <c r="AI31" i="233"/>
  <c r="AH31" i="233"/>
  <c r="AG31" i="233"/>
  <c r="U31" i="233"/>
  <c r="T31" i="233"/>
  <c r="R31" i="233"/>
  <c r="Q31" i="233"/>
  <c r="M31" i="233" s="1"/>
  <c r="AK22" i="233" s="1"/>
  <c r="P31" i="233"/>
  <c r="N31" i="233"/>
  <c r="E31" i="233"/>
  <c r="AJ30" i="233"/>
  <c r="AI30" i="233"/>
  <c r="AH30" i="233"/>
  <c r="AG30" i="233"/>
  <c r="U30" i="233"/>
  <c r="T30" i="233"/>
  <c r="R30" i="233"/>
  <c r="Q30" i="233"/>
  <c r="P30" i="233"/>
  <c r="N30" i="233"/>
  <c r="E30" i="233"/>
  <c r="AF13" i="233" s="1"/>
  <c r="AJ29" i="233"/>
  <c r="AI29" i="233"/>
  <c r="AH29" i="233"/>
  <c r="AG29" i="233"/>
  <c r="U29" i="233"/>
  <c r="T29" i="233"/>
  <c r="R29" i="233"/>
  <c r="Q29" i="233"/>
  <c r="M29" i="233" s="1"/>
  <c r="AK21" i="233" s="1"/>
  <c r="P29" i="233"/>
  <c r="N29" i="233"/>
  <c r="E29" i="233"/>
  <c r="AF21" i="233" s="1"/>
  <c r="AJ28" i="233"/>
  <c r="AI28" i="233"/>
  <c r="AH28" i="233"/>
  <c r="AG28" i="233"/>
  <c r="U28" i="233"/>
  <c r="T28" i="233"/>
  <c r="R28" i="233"/>
  <c r="Q28" i="233"/>
  <c r="P28" i="233"/>
  <c r="N28" i="233"/>
  <c r="E28" i="233"/>
  <c r="AF31" i="233" s="1"/>
  <c r="AJ27" i="233"/>
  <c r="AI27" i="233"/>
  <c r="AH27" i="233"/>
  <c r="AG27" i="233"/>
  <c r="U27" i="233"/>
  <c r="T27" i="233"/>
  <c r="R27" i="233"/>
  <c r="Q27" i="233"/>
  <c r="M27" i="233" s="1"/>
  <c r="AK12" i="233" s="1"/>
  <c r="P27" i="233"/>
  <c r="N27" i="233"/>
  <c r="E27" i="233"/>
  <c r="AF12" i="233" s="1"/>
  <c r="AJ26" i="233"/>
  <c r="AI26" i="233"/>
  <c r="AH26" i="233"/>
  <c r="AG26" i="233"/>
  <c r="U26" i="233"/>
  <c r="T26" i="233"/>
  <c r="R26" i="233"/>
  <c r="Q26" i="233"/>
  <c r="M26" i="233" s="1"/>
  <c r="AK30" i="233" s="1"/>
  <c r="P26" i="233"/>
  <c r="N26" i="233"/>
  <c r="E26" i="233"/>
  <c r="AF30" i="233" s="1"/>
  <c r="AJ25" i="233"/>
  <c r="AI25" i="233"/>
  <c r="AH25" i="233"/>
  <c r="AG25" i="233"/>
  <c r="U25" i="233"/>
  <c r="T25" i="233"/>
  <c r="R25" i="233"/>
  <c r="Q25" i="233"/>
  <c r="P25" i="233"/>
  <c r="N25" i="233"/>
  <c r="E25" i="233"/>
  <c r="AF20" i="233" s="1"/>
  <c r="AJ24" i="233"/>
  <c r="AI24" i="233"/>
  <c r="AH24" i="233"/>
  <c r="AG24" i="233"/>
  <c r="U24" i="233"/>
  <c r="T24" i="233"/>
  <c r="R24" i="233"/>
  <c r="Q24" i="233"/>
  <c r="M24" i="233" s="1"/>
  <c r="AK11" i="233" s="1"/>
  <c r="P24" i="233"/>
  <c r="N24" i="233"/>
  <c r="E24" i="233"/>
  <c r="AJ23" i="233"/>
  <c r="AI23" i="233"/>
  <c r="AH23" i="233"/>
  <c r="AG23" i="233"/>
  <c r="U23" i="233"/>
  <c r="T23" i="233"/>
  <c r="R23" i="233"/>
  <c r="M23" i="233" s="1"/>
  <c r="AK10" i="233" s="1"/>
  <c r="Q23" i="233"/>
  <c r="P23" i="233"/>
  <c r="N23" i="233"/>
  <c r="E23" i="233"/>
  <c r="AJ22" i="233"/>
  <c r="AI22" i="233"/>
  <c r="AH22" i="233"/>
  <c r="AG22" i="233"/>
  <c r="AF22" i="233"/>
  <c r="U22" i="233"/>
  <c r="T22" i="233"/>
  <c r="R22" i="233"/>
  <c r="Q22" i="233"/>
  <c r="P22" i="233"/>
  <c r="N22" i="233"/>
  <c r="E22" i="233"/>
  <c r="AF9" i="233" s="1"/>
  <c r="AJ21" i="233"/>
  <c r="AI21" i="233"/>
  <c r="AH21" i="233"/>
  <c r="AG21" i="233"/>
  <c r="U21" i="233"/>
  <c r="T21" i="233"/>
  <c r="R21" i="233"/>
  <c r="Q21" i="233"/>
  <c r="M21" i="233" s="1"/>
  <c r="AK29" i="233" s="1"/>
  <c r="P21" i="233"/>
  <c r="N21" i="233"/>
  <c r="E21" i="233"/>
  <c r="AF29" i="233" s="1"/>
  <c r="AJ20" i="233"/>
  <c r="AI20" i="233"/>
  <c r="AH20" i="233"/>
  <c r="AG20" i="233"/>
  <c r="U20" i="233"/>
  <c r="T20" i="233"/>
  <c r="R20" i="233"/>
  <c r="Q20" i="233"/>
  <c r="P20" i="233"/>
  <c r="N20" i="233"/>
  <c r="E20" i="233"/>
  <c r="AF19" i="233" s="1"/>
  <c r="AJ19" i="233"/>
  <c r="AI19" i="233"/>
  <c r="AH19" i="233"/>
  <c r="AG19" i="233"/>
  <c r="U19" i="233"/>
  <c r="T19" i="233"/>
  <c r="R19" i="233"/>
  <c r="Q19" i="233"/>
  <c r="P19" i="233"/>
  <c r="N19" i="233"/>
  <c r="E19" i="233"/>
  <c r="AF28" i="233" s="1"/>
  <c r="AJ18" i="233"/>
  <c r="AI18" i="233"/>
  <c r="AH18" i="233"/>
  <c r="AG18" i="233"/>
  <c r="U18" i="233"/>
  <c r="T18" i="233"/>
  <c r="R18" i="233"/>
  <c r="Q18" i="233"/>
  <c r="P18" i="233"/>
  <c r="N18" i="233"/>
  <c r="E18" i="233"/>
  <c r="AF8" i="233" s="1"/>
  <c r="AJ17" i="233"/>
  <c r="AI17" i="233"/>
  <c r="AH17" i="233"/>
  <c r="AG17" i="233"/>
  <c r="U17" i="233"/>
  <c r="T17" i="233"/>
  <c r="R17" i="233"/>
  <c r="Q17" i="233"/>
  <c r="P17" i="233"/>
  <c r="N17" i="233"/>
  <c r="E17" i="233"/>
  <c r="AF27" i="233" s="1"/>
  <c r="AJ16" i="233"/>
  <c r="AI16" i="233"/>
  <c r="AH16" i="233"/>
  <c r="AG16" i="233"/>
  <c r="U16" i="233"/>
  <c r="T16" i="233"/>
  <c r="R16" i="233"/>
  <c r="Q16" i="233"/>
  <c r="P16" i="233"/>
  <c r="N16" i="233"/>
  <c r="E16" i="233"/>
  <c r="AF26" i="233" s="1"/>
  <c r="AJ15" i="233"/>
  <c r="AI15" i="233"/>
  <c r="AH15" i="233"/>
  <c r="AG15" i="233"/>
  <c r="U15" i="233"/>
  <c r="T15" i="233"/>
  <c r="R15" i="233"/>
  <c r="Q15" i="233"/>
  <c r="P15" i="233"/>
  <c r="N15" i="233"/>
  <c r="E15" i="233"/>
  <c r="AF18" i="233" s="1"/>
  <c r="AJ14" i="233"/>
  <c r="AI14" i="233"/>
  <c r="AH14" i="233"/>
  <c r="AG14" i="233"/>
  <c r="U14" i="233"/>
  <c r="T14" i="233"/>
  <c r="R14" i="233"/>
  <c r="Q14" i="233"/>
  <c r="P14" i="233"/>
  <c r="N14" i="233"/>
  <c r="E14" i="233"/>
  <c r="AF17" i="233" s="1"/>
  <c r="AJ13" i="233"/>
  <c r="AI13" i="233"/>
  <c r="AH13" i="233"/>
  <c r="AG13" i="233"/>
  <c r="U13" i="233"/>
  <c r="T13" i="233"/>
  <c r="R13" i="233"/>
  <c r="Q13" i="233"/>
  <c r="P13" i="233"/>
  <c r="N13" i="233"/>
  <c r="E13" i="233"/>
  <c r="AF16" i="233" s="1"/>
  <c r="AJ12" i="233"/>
  <c r="AI12" i="233"/>
  <c r="AH12" i="233"/>
  <c r="AG12" i="233"/>
  <c r="U12" i="233"/>
  <c r="T12" i="233"/>
  <c r="R12" i="233"/>
  <c r="Q12" i="233"/>
  <c r="P12" i="233"/>
  <c r="N12" i="233"/>
  <c r="E12" i="233"/>
  <c r="AF7" i="233" s="1"/>
  <c r="AJ11" i="233"/>
  <c r="AI11" i="233"/>
  <c r="AH11" i="233"/>
  <c r="AG11" i="233"/>
  <c r="AF11" i="233"/>
  <c r="U11" i="233"/>
  <c r="T11" i="233"/>
  <c r="R11" i="233"/>
  <c r="Q11" i="233"/>
  <c r="P11" i="233"/>
  <c r="N11" i="233"/>
  <c r="E11" i="233"/>
  <c r="AF25" i="233" s="1"/>
  <c r="AJ10" i="233"/>
  <c r="AI10" i="233"/>
  <c r="AH10" i="233"/>
  <c r="AG10" i="233"/>
  <c r="AF10" i="233"/>
  <c r="U10" i="233"/>
  <c r="T10" i="233"/>
  <c r="R10" i="233"/>
  <c r="Q10" i="233"/>
  <c r="P10" i="233"/>
  <c r="N10" i="233"/>
  <c r="E10" i="233"/>
  <c r="AF6" i="233" s="1"/>
  <c r="AJ9" i="233"/>
  <c r="AI9" i="233"/>
  <c r="AH9" i="233"/>
  <c r="AG9" i="233"/>
  <c r="U9" i="233"/>
  <c r="T9" i="233"/>
  <c r="R9" i="233"/>
  <c r="Q9" i="233"/>
  <c r="P9" i="233"/>
  <c r="N9" i="233"/>
  <c r="E9" i="233"/>
  <c r="AF15" i="233" s="1"/>
  <c r="AJ8" i="233"/>
  <c r="AI8" i="233"/>
  <c r="AH8" i="233"/>
  <c r="AG8" i="233"/>
  <c r="U8" i="233"/>
  <c r="T8" i="233"/>
  <c r="R8" i="233"/>
  <c r="Q8" i="233"/>
  <c r="P8" i="233"/>
  <c r="N8" i="233"/>
  <c r="E8" i="233"/>
  <c r="AF24" i="233" s="1"/>
  <c r="AJ7" i="233"/>
  <c r="AI7" i="233"/>
  <c r="AH7" i="233"/>
  <c r="AG7" i="233"/>
  <c r="U7" i="233"/>
  <c r="T7" i="233"/>
  <c r="R7" i="233"/>
  <c r="Q7" i="233"/>
  <c r="P7" i="233"/>
  <c r="N7" i="233"/>
  <c r="E7" i="233"/>
  <c r="AF23" i="233" s="1"/>
  <c r="AJ6" i="233"/>
  <c r="AI6" i="233"/>
  <c r="AH6" i="233"/>
  <c r="AG6" i="233"/>
  <c r="U6" i="233"/>
  <c r="T6" i="233"/>
  <c r="R6" i="233"/>
  <c r="Q6" i="233"/>
  <c r="P6" i="233"/>
  <c r="N6" i="233"/>
  <c r="E6" i="233"/>
  <c r="T46" i="232"/>
  <c r="R46" i="232"/>
  <c r="Q46" i="232"/>
  <c r="P46" i="232"/>
  <c r="N46" i="232"/>
  <c r="T45" i="232"/>
  <c r="R45" i="232"/>
  <c r="Q45" i="232"/>
  <c r="P45" i="232"/>
  <c r="N45" i="232"/>
  <c r="T44" i="232"/>
  <c r="R44" i="232"/>
  <c r="Q44" i="232"/>
  <c r="P44" i="232"/>
  <c r="N44" i="232"/>
  <c r="AJ31" i="232"/>
  <c r="AI31" i="232"/>
  <c r="AH31" i="232"/>
  <c r="AG31" i="232"/>
  <c r="U31" i="232"/>
  <c r="T31" i="232"/>
  <c r="R31" i="232"/>
  <c r="Q31" i="232"/>
  <c r="P31" i="232"/>
  <c r="N31" i="232"/>
  <c r="E31" i="232"/>
  <c r="AF22" i="232" s="1"/>
  <c r="AJ30" i="232"/>
  <c r="AI30" i="232"/>
  <c r="AH30" i="232"/>
  <c r="AG30" i="232"/>
  <c r="U30" i="232"/>
  <c r="T30" i="232"/>
  <c r="R30" i="232"/>
  <c r="Q30" i="232"/>
  <c r="M30" i="232" s="1"/>
  <c r="AK13" i="232" s="1"/>
  <c r="P30" i="232"/>
  <c r="N30" i="232"/>
  <c r="E30" i="232"/>
  <c r="AF13" i="232" s="1"/>
  <c r="AJ29" i="232"/>
  <c r="AI29" i="232"/>
  <c r="AH29" i="232"/>
  <c r="AG29" i="232"/>
  <c r="U29" i="232"/>
  <c r="T29" i="232"/>
  <c r="R29" i="232"/>
  <c r="Q29" i="232"/>
  <c r="P29" i="232"/>
  <c r="N29" i="232"/>
  <c r="E29" i="232"/>
  <c r="AF21" i="232" s="1"/>
  <c r="AJ28" i="232"/>
  <c r="AI28" i="232"/>
  <c r="AH28" i="232"/>
  <c r="AG28" i="232"/>
  <c r="U28" i="232"/>
  <c r="T28" i="232"/>
  <c r="R28" i="232"/>
  <c r="Q28" i="232"/>
  <c r="P28" i="232"/>
  <c r="N28" i="232"/>
  <c r="E28" i="232"/>
  <c r="AF31" i="232" s="1"/>
  <c r="AJ27" i="232"/>
  <c r="AI27" i="232"/>
  <c r="AH27" i="232"/>
  <c r="AG27" i="232"/>
  <c r="U27" i="232"/>
  <c r="T27" i="232"/>
  <c r="R27" i="232"/>
  <c r="Q27" i="232"/>
  <c r="P27" i="232"/>
  <c r="N27" i="232"/>
  <c r="E27" i="232"/>
  <c r="AF12" i="232" s="1"/>
  <c r="AJ26" i="232"/>
  <c r="AI26" i="232"/>
  <c r="AH26" i="232"/>
  <c r="AG26" i="232"/>
  <c r="U26" i="232"/>
  <c r="T26" i="232"/>
  <c r="R26" i="232"/>
  <c r="Q26" i="232"/>
  <c r="M26" i="232" s="1"/>
  <c r="AK30" i="232" s="1"/>
  <c r="P26" i="232"/>
  <c r="N26" i="232"/>
  <c r="E26" i="232"/>
  <c r="AF30" i="232" s="1"/>
  <c r="AJ25" i="232"/>
  <c r="AI25" i="232"/>
  <c r="AH25" i="232"/>
  <c r="AG25" i="232"/>
  <c r="U25" i="232"/>
  <c r="T25" i="232"/>
  <c r="R25" i="232"/>
  <c r="Q25" i="232"/>
  <c r="P25" i="232"/>
  <c r="N25" i="232"/>
  <c r="E25" i="232"/>
  <c r="AF20" i="232" s="1"/>
  <c r="AJ24" i="232"/>
  <c r="AI24" i="232"/>
  <c r="AH24" i="232"/>
  <c r="AG24" i="232"/>
  <c r="U24" i="232"/>
  <c r="T24" i="232"/>
  <c r="R24" i="232"/>
  <c r="Q24" i="232"/>
  <c r="M24" i="232" s="1"/>
  <c r="AK11" i="232" s="1"/>
  <c r="P24" i="232"/>
  <c r="N24" i="232"/>
  <c r="E24" i="232"/>
  <c r="AF11" i="232" s="1"/>
  <c r="AJ23" i="232"/>
  <c r="AI23" i="232"/>
  <c r="AH23" i="232"/>
  <c r="AG23" i="232"/>
  <c r="U23" i="232"/>
  <c r="T23" i="232"/>
  <c r="R23" i="232"/>
  <c r="Q23" i="232"/>
  <c r="P23" i="232"/>
  <c r="N23" i="232"/>
  <c r="E23" i="232"/>
  <c r="AF10" i="232" s="1"/>
  <c r="AJ22" i="232"/>
  <c r="AI22" i="232"/>
  <c r="AH22" i="232"/>
  <c r="AG22" i="232"/>
  <c r="U22" i="232"/>
  <c r="T22" i="232"/>
  <c r="R22" i="232"/>
  <c r="Q22" i="232"/>
  <c r="M22" i="232" s="1"/>
  <c r="AK9" i="232" s="1"/>
  <c r="P22" i="232"/>
  <c r="N22" i="232"/>
  <c r="E22" i="232"/>
  <c r="AF9" i="232" s="1"/>
  <c r="AJ21" i="232"/>
  <c r="AI21" i="232"/>
  <c r="AH21" i="232"/>
  <c r="AG21" i="232"/>
  <c r="U21" i="232"/>
  <c r="T21" i="232"/>
  <c r="R21" i="232"/>
  <c r="Q21" i="232"/>
  <c r="P21" i="232"/>
  <c r="N21" i="232"/>
  <c r="E21" i="232"/>
  <c r="AF29" i="232" s="1"/>
  <c r="AJ20" i="232"/>
  <c r="AI20" i="232"/>
  <c r="AH20" i="232"/>
  <c r="AG20" i="232"/>
  <c r="U20" i="232"/>
  <c r="T20" i="232"/>
  <c r="R20" i="232"/>
  <c r="Q20" i="232"/>
  <c r="P20" i="232"/>
  <c r="N20" i="232"/>
  <c r="E20" i="232"/>
  <c r="AF19" i="232" s="1"/>
  <c r="AJ19" i="232"/>
  <c r="AI19" i="232"/>
  <c r="AH19" i="232"/>
  <c r="AG19" i="232"/>
  <c r="U19" i="232"/>
  <c r="T19" i="232"/>
  <c r="R19" i="232"/>
  <c r="Q19" i="232"/>
  <c r="P19" i="232"/>
  <c r="N19" i="232"/>
  <c r="E19" i="232"/>
  <c r="AF28" i="232" s="1"/>
  <c r="AJ18" i="232"/>
  <c r="AI18" i="232"/>
  <c r="AH18" i="232"/>
  <c r="AG18" i="232"/>
  <c r="U18" i="232"/>
  <c r="T18" i="232"/>
  <c r="R18" i="232"/>
  <c r="Q18" i="232"/>
  <c r="M18" i="232" s="1"/>
  <c r="AK8" i="232" s="1"/>
  <c r="P18" i="232"/>
  <c r="N18" i="232"/>
  <c r="E18" i="232"/>
  <c r="AF8" i="232" s="1"/>
  <c r="AJ17" i="232"/>
  <c r="AI17" i="232"/>
  <c r="AH17" i="232"/>
  <c r="AG17" i="232"/>
  <c r="U17" i="232"/>
  <c r="T17" i="232"/>
  <c r="R17" i="232"/>
  <c r="Q17" i="232"/>
  <c r="P17" i="232"/>
  <c r="N17" i="232"/>
  <c r="E17" i="232"/>
  <c r="AF27" i="232" s="1"/>
  <c r="AJ16" i="232"/>
  <c r="AI16" i="232"/>
  <c r="AH16" i="232"/>
  <c r="AG16" i="232"/>
  <c r="U16" i="232"/>
  <c r="T16" i="232"/>
  <c r="R16" i="232"/>
  <c r="Q16" i="232"/>
  <c r="M16" i="232" s="1"/>
  <c r="AK26" i="232" s="1"/>
  <c r="P16" i="232"/>
  <c r="N16" i="232"/>
  <c r="E16" i="232"/>
  <c r="AF26" i="232" s="1"/>
  <c r="AJ15" i="232"/>
  <c r="AI15" i="232"/>
  <c r="AH15" i="232"/>
  <c r="AG15" i="232"/>
  <c r="U15" i="232"/>
  <c r="T15" i="232"/>
  <c r="R15" i="232"/>
  <c r="Q15" i="232"/>
  <c r="P15" i="232"/>
  <c r="N15" i="232"/>
  <c r="E15" i="232"/>
  <c r="AF18" i="232" s="1"/>
  <c r="AJ14" i="232"/>
  <c r="AI14" i="232"/>
  <c r="AH14" i="232"/>
  <c r="AG14" i="232"/>
  <c r="U14" i="232"/>
  <c r="T14" i="232"/>
  <c r="R14" i="232"/>
  <c r="Q14" i="232"/>
  <c r="M14" i="232" s="1"/>
  <c r="AK17" i="232" s="1"/>
  <c r="P14" i="232"/>
  <c r="N14" i="232"/>
  <c r="E14" i="232"/>
  <c r="AF17" i="232" s="1"/>
  <c r="AJ13" i="232"/>
  <c r="AI13" i="232"/>
  <c r="AH13" i="232"/>
  <c r="AG13" i="232"/>
  <c r="U13" i="232"/>
  <c r="T13" i="232"/>
  <c r="R13" i="232"/>
  <c r="Q13" i="232"/>
  <c r="P13" i="232"/>
  <c r="N13" i="232"/>
  <c r="E13" i="232"/>
  <c r="AF16" i="232" s="1"/>
  <c r="AJ12" i="232"/>
  <c r="AI12" i="232"/>
  <c r="AH12" i="232"/>
  <c r="AG12" i="232"/>
  <c r="U12" i="232"/>
  <c r="T12" i="232"/>
  <c r="R12" i="232"/>
  <c r="Q12" i="232"/>
  <c r="P12" i="232"/>
  <c r="N12" i="232"/>
  <c r="E12" i="232"/>
  <c r="AF7" i="232" s="1"/>
  <c r="AJ11" i="232"/>
  <c r="AI11" i="232"/>
  <c r="AH11" i="232"/>
  <c r="AG11" i="232"/>
  <c r="U11" i="232"/>
  <c r="T11" i="232"/>
  <c r="R11" i="232"/>
  <c r="M11" i="232" s="1"/>
  <c r="AK25" i="232" s="1"/>
  <c r="Q11" i="232"/>
  <c r="P11" i="232"/>
  <c r="N11" i="232"/>
  <c r="E11" i="232"/>
  <c r="AF25" i="232" s="1"/>
  <c r="AJ10" i="232"/>
  <c r="AI10" i="232"/>
  <c r="AH10" i="232"/>
  <c r="AG10" i="232"/>
  <c r="U10" i="232"/>
  <c r="T10" i="232"/>
  <c r="R10" i="232"/>
  <c r="Q10" i="232"/>
  <c r="P10" i="232"/>
  <c r="N10" i="232"/>
  <c r="E10" i="232"/>
  <c r="AF6" i="232" s="1"/>
  <c r="AJ9" i="232"/>
  <c r="AI9" i="232"/>
  <c r="AH9" i="232"/>
  <c r="AG9" i="232"/>
  <c r="U9" i="232"/>
  <c r="T9" i="232"/>
  <c r="R9" i="232"/>
  <c r="Q9" i="232"/>
  <c r="P9" i="232"/>
  <c r="N9" i="232"/>
  <c r="E9" i="232"/>
  <c r="AF15" i="232" s="1"/>
  <c r="AJ8" i="232"/>
  <c r="AI8" i="232"/>
  <c r="AH8" i="232"/>
  <c r="AG8" i="232"/>
  <c r="U8" i="232"/>
  <c r="T8" i="232"/>
  <c r="R8" i="232"/>
  <c r="Q8" i="232"/>
  <c r="P8" i="232"/>
  <c r="N8" i="232"/>
  <c r="E8" i="232"/>
  <c r="AF24" i="232" s="1"/>
  <c r="AJ7" i="232"/>
  <c r="AI7" i="232"/>
  <c r="AH7" i="232"/>
  <c r="AG7" i="232"/>
  <c r="U7" i="232"/>
  <c r="T7" i="232"/>
  <c r="R7" i="232"/>
  <c r="Q7" i="232"/>
  <c r="P7" i="232"/>
  <c r="N7" i="232"/>
  <c r="E7" i="232"/>
  <c r="AF23" i="232" s="1"/>
  <c r="AJ6" i="232"/>
  <c r="AI6" i="232"/>
  <c r="AH6" i="232"/>
  <c r="AG6" i="232"/>
  <c r="U6" i="232"/>
  <c r="T6" i="232"/>
  <c r="R6" i="232"/>
  <c r="Q6" i="232"/>
  <c r="P6" i="232"/>
  <c r="N6" i="232"/>
  <c r="E6" i="232"/>
  <c r="T46" i="228"/>
  <c r="R46" i="228"/>
  <c r="Q46" i="228"/>
  <c r="P46" i="228"/>
  <c r="N46" i="228"/>
  <c r="T45" i="228"/>
  <c r="R45" i="228"/>
  <c r="Q45" i="228"/>
  <c r="P45" i="228"/>
  <c r="N45" i="228"/>
  <c r="T44" i="228"/>
  <c r="R44" i="228"/>
  <c r="Q44" i="228"/>
  <c r="P44" i="228"/>
  <c r="N44" i="228"/>
  <c r="AJ31" i="228"/>
  <c r="AI31" i="228"/>
  <c r="AH31" i="228"/>
  <c r="AG31" i="228"/>
  <c r="U31" i="228"/>
  <c r="T31" i="228"/>
  <c r="R31" i="228"/>
  <c r="Q31" i="228"/>
  <c r="M31" i="228" s="1"/>
  <c r="AK22" i="228" s="1"/>
  <c r="P31" i="228"/>
  <c r="N31" i="228"/>
  <c r="E31" i="228"/>
  <c r="AF22" i="228" s="1"/>
  <c r="AJ30" i="228"/>
  <c r="AI30" i="228"/>
  <c r="AH30" i="228"/>
  <c r="AG30" i="228"/>
  <c r="U30" i="228"/>
  <c r="T30" i="228"/>
  <c r="R30" i="228"/>
  <c r="Q30" i="228"/>
  <c r="P30" i="228"/>
  <c r="N30" i="228"/>
  <c r="E30" i="228"/>
  <c r="AF13" i="228" s="1"/>
  <c r="AJ29" i="228"/>
  <c r="AI29" i="228"/>
  <c r="AH29" i="228"/>
  <c r="AG29" i="228"/>
  <c r="U29" i="228"/>
  <c r="T29" i="228"/>
  <c r="R29" i="228"/>
  <c r="Q29" i="228"/>
  <c r="P29" i="228"/>
  <c r="N29" i="228"/>
  <c r="E29" i="228"/>
  <c r="AF21" i="228" s="1"/>
  <c r="AJ28" i="228"/>
  <c r="AI28" i="228"/>
  <c r="AH28" i="228"/>
  <c r="AG28" i="228"/>
  <c r="U28" i="228"/>
  <c r="T28" i="228"/>
  <c r="R28" i="228"/>
  <c r="Q28" i="228"/>
  <c r="P28" i="228"/>
  <c r="N28" i="228"/>
  <c r="E28" i="228"/>
  <c r="AF31" i="228" s="1"/>
  <c r="AJ27" i="228"/>
  <c r="AI27" i="228"/>
  <c r="AH27" i="228"/>
  <c r="AG27" i="228"/>
  <c r="U27" i="228"/>
  <c r="T27" i="228"/>
  <c r="R27" i="228"/>
  <c r="Q27" i="228"/>
  <c r="P27" i="228"/>
  <c r="N27" i="228"/>
  <c r="E27" i="228"/>
  <c r="AF12" i="228" s="1"/>
  <c r="AJ26" i="228"/>
  <c r="AI26" i="228"/>
  <c r="AH26" i="228"/>
  <c r="AG26" i="228"/>
  <c r="U26" i="228"/>
  <c r="T26" i="228"/>
  <c r="R26" i="228"/>
  <c r="Q26" i="228"/>
  <c r="P26" i="228"/>
  <c r="N26" i="228"/>
  <c r="E26" i="228"/>
  <c r="AF30" i="228" s="1"/>
  <c r="AJ25" i="228"/>
  <c r="AI25" i="228"/>
  <c r="AH25" i="228"/>
  <c r="AG25" i="228"/>
  <c r="U25" i="228"/>
  <c r="T25" i="228"/>
  <c r="R25" i="228"/>
  <c r="Q25" i="228"/>
  <c r="P25" i="228"/>
  <c r="N25" i="228"/>
  <c r="E25" i="228"/>
  <c r="AF20" i="228" s="1"/>
  <c r="AJ24" i="228"/>
  <c r="AI24" i="228"/>
  <c r="AH24" i="228"/>
  <c r="AG24" i="228"/>
  <c r="U24" i="228"/>
  <c r="T24" i="228"/>
  <c r="R24" i="228"/>
  <c r="Q24" i="228"/>
  <c r="P24" i="228"/>
  <c r="N24" i="228"/>
  <c r="E24" i="228"/>
  <c r="AF11" i="228" s="1"/>
  <c r="AJ23" i="228"/>
  <c r="AI23" i="228"/>
  <c r="AH23" i="228"/>
  <c r="AG23" i="228"/>
  <c r="U23" i="228"/>
  <c r="T23" i="228"/>
  <c r="R23" i="228"/>
  <c r="Q23" i="228"/>
  <c r="P23" i="228"/>
  <c r="N23" i="228"/>
  <c r="E23" i="228"/>
  <c r="AF10" i="228" s="1"/>
  <c r="AJ22" i="228"/>
  <c r="AI22" i="228"/>
  <c r="AH22" i="228"/>
  <c r="AG22" i="228"/>
  <c r="U22" i="228"/>
  <c r="T22" i="228"/>
  <c r="R22" i="228"/>
  <c r="Q22" i="228"/>
  <c r="P22" i="228"/>
  <c r="N22" i="228"/>
  <c r="E22" i="228"/>
  <c r="AF9" i="228" s="1"/>
  <c r="AJ21" i="228"/>
  <c r="AI21" i="228"/>
  <c r="AH21" i="228"/>
  <c r="AG21" i="228"/>
  <c r="U21" i="228"/>
  <c r="T21" i="228"/>
  <c r="R21" i="228"/>
  <c r="Q21" i="228"/>
  <c r="P21" i="228"/>
  <c r="N21" i="228"/>
  <c r="E21" i="228"/>
  <c r="AF29" i="228" s="1"/>
  <c r="AJ20" i="228"/>
  <c r="AI20" i="228"/>
  <c r="AH20" i="228"/>
  <c r="AG20" i="228"/>
  <c r="U20" i="228"/>
  <c r="T20" i="228"/>
  <c r="R20" i="228"/>
  <c r="Q20" i="228"/>
  <c r="P20" i="228"/>
  <c r="N20" i="228"/>
  <c r="E20" i="228"/>
  <c r="AF19" i="228" s="1"/>
  <c r="AJ19" i="228"/>
  <c r="AI19" i="228"/>
  <c r="AH19" i="228"/>
  <c r="AG19" i="228"/>
  <c r="U19" i="228"/>
  <c r="T19" i="228"/>
  <c r="R19" i="228"/>
  <c r="Q19" i="228"/>
  <c r="P19" i="228"/>
  <c r="N19" i="228"/>
  <c r="E19" i="228"/>
  <c r="AF28" i="228" s="1"/>
  <c r="AJ18" i="228"/>
  <c r="AI18" i="228"/>
  <c r="AH18" i="228"/>
  <c r="AG18" i="228"/>
  <c r="U18" i="228"/>
  <c r="T18" i="228"/>
  <c r="R18" i="228"/>
  <c r="Q18" i="228"/>
  <c r="P18" i="228"/>
  <c r="N18" i="228"/>
  <c r="E18" i="228"/>
  <c r="AF8" i="228" s="1"/>
  <c r="AJ17" i="228"/>
  <c r="AI17" i="228"/>
  <c r="AH17" i="228"/>
  <c r="AG17" i="228"/>
  <c r="U17" i="228"/>
  <c r="T17" i="228"/>
  <c r="R17" i="228"/>
  <c r="Q17" i="228"/>
  <c r="P17" i="228"/>
  <c r="N17" i="228"/>
  <c r="E17" i="228"/>
  <c r="AF27" i="228" s="1"/>
  <c r="AJ16" i="228"/>
  <c r="AI16" i="228"/>
  <c r="AH16" i="228"/>
  <c r="AG16" i="228"/>
  <c r="U16" i="228"/>
  <c r="T16" i="228"/>
  <c r="R16" i="228"/>
  <c r="Q16" i="228"/>
  <c r="P16" i="228"/>
  <c r="N16" i="228"/>
  <c r="E16" i="228"/>
  <c r="AF26" i="228" s="1"/>
  <c r="AJ15" i="228"/>
  <c r="AI15" i="228"/>
  <c r="AH15" i="228"/>
  <c r="AG15" i="228"/>
  <c r="U15" i="228"/>
  <c r="T15" i="228"/>
  <c r="R15" i="228"/>
  <c r="Q15" i="228"/>
  <c r="P15" i="228"/>
  <c r="N15" i="228"/>
  <c r="E15" i="228"/>
  <c r="AF18" i="228" s="1"/>
  <c r="AJ14" i="228"/>
  <c r="AI14" i="228"/>
  <c r="AH14" i="228"/>
  <c r="AG14" i="228"/>
  <c r="U14" i="228"/>
  <c r="T14" i="228"/>
  <c r="R14" i="228"/>
  <c r="Q14" i="228"/>
  <c r="P14" i="228"/>
  <c r="N14" i="228"/>
  <c r="E14" i="228"/>
  <c r="AF17" i="228" s="1"/>
  <c r="AJ13" i="228"/>
  <c r="AI13" i="228"/>
  <c r="AH13" i="228"/>
  <c r="AG13" i="228"/>
  <c r="U13" i="228"/>
  <c r="T13" i="228"/>
  <c r="R13" i="228"/>
  <c r="Q13" i="228"/>
  <c r="P13" i="228"/>
  <c r="N13" i="228"/>
  <c r="E13" i="228"/>
  <c r="AF16" i="228" s="1"/>
  <c r="AJ12" i="228"/>
  <c r="AI12" i="228"/>
  <c r="AH12" i="228"/>
  <c r="AG12" i="228"/>
  <c r="U12" i="228"/>
  <c r="T12" i="228"/>
  <c r="R12" i="228"/>
  <c r="Q12" i="228"/>
  <c r="P12" i="228"/>
  <c r="N12" i="228"/>
  <c r="E12" i="228"/>
  <c r="AF7" i="228" s="1"/>
  <c r="AJ11" i="228"/>
  <c r="AI11" i="228"/>
  <c r="AH11" i="228"/>
  <c r="AG11" i="228"/>
  <c r="U11" i="228"/>
  <c r="T11" i="228"/>
  <c r="R11" i="228"/>
  <c r="Q11" i="228"/>
  <c r="P11" i="228"/>
  <c r="N11" i="228"/>
  <c r="E11" i="228"/>
  <c r="AF25" i="228" s="1"/>
  <c r="AJ10" i="228"/>
  <c r="AI10" i="228"/>
  <c r="AH10" i="228"/>
  <c r="AG10" i="228"/>
  <c r="U10" i="228"/>
  <c r="T10" i="228"/>
  <c r="R10" i="228"/>
  <c r="Q10" i="228"/>
  <c r="P10" i="228"/>
  <c r="N10" i="228"/>
  <c r="E10" i="228"/>
  <c r="AJ9" i="228"/>
  <c r="AI9" i="228"/>
  <c r="AH9" i="228"/>
  <c r="AG9" i="228"/>
  <c r="U9" i="228"/>
  <c r="T9" i="228"/>
  <c r="R9" i="228"/>
  <c r="Q9" i="228"/>
  <c r="P9" i="228"/>
  <c r="N9" i="228"/>
  <c r="E9" i="228"/>
  <c r="AJ8" i="228"/>
  <c r="AI8" i="228"/>
  <c r="AH8" i="228"/>
  <c r="AG8" i="228"/>
  <c r="U8" i="228"/>
  <c r="T8" i="228"/>
  <c r="R8" i="228"/>
  <c r="Q8" i="228"/>
  <c r="P8" i="228"/>
  <c r="N8" i="228"/>
  <c r="E8" i="228"/>
  <c r="AF24" i="228" s="1"/>
  <c r="AJ7" i="228"/>
  <c r="AI7" i="228"/>
  <c r="AH7" i="228"/>
  <c r="AG7" i="228"/>
  <c r="U7" i="228"/>
  <c r="T7" i="228"/>
  <c r="R7" i="228"/>
  <c r="Q7" i="228"/>
  <c r="P7" i="228"/>
  <c r="N7" i="228"/>
  <c r="E7" i="228"/>
  <c r="AF23" i="228" s="1"/>
  <c r="AJ6" i="228"/>
  <c r="AI6" i="228"/>
  <c r="AH6" i="228"/>
  <c r="AG6" i="228"/>
  <c r="U6" i="228"/>
  <c r="T6" i="228"/>
  <c r="R6" i="228"/>
  <c r="Q6" i="228"/>
  <c r="P6" i="228"/>
  <c r="N6" i="228"/>
  <c r="E6" i="228"/>
  <c r="AF14" i="228" s="1"/>
  <c r="T46" i="227"/>
  <c r="R46" i="227"/>
  <c r="Q46" i="227"/>
  <c r="P46" i="227"/>
  <c r="N46" i="227"/>
  <c r="T45" i="227"/>
  <c r="R45" i="227"/>
  <c r="Q45" i="227"/>
  <c r="P45" i="227"/>
  <c r="N45" i="227"/>
  <c r="T44" i="227"/>
  <c r="R44" i="227"/>
  <c r="Q44" i="227"/>
  <c r="P44" i="227"/>
  <c r="N44" i="227"/>
  <c r="AJ31" i="227"/>
  <c r="AI31" i="227"/>
  <c r="AH31" i="227"/>
  <c r="AG31" i="227"/>
  <c r="U31" i="227"/>
  <c r="T31" i="227"/>
  <c r="R31" i="227"/>
  <c r="Q31" i="227"/>
  <c r="M31" i="227" s="1"/>
  <c r="AK22" i="227" s="1"/>
  <c r="P31" i="227"/>
  <c r="N31" i="227"/>
  <c r="E31" i="227"/>
  <c r="AF22" i="227" s="1"/>
  <c r="AJ30" i="227"/>
  <c r="AI30" i="227"/>
  <c r="AH30" i="227"/>
  <c r="AG30" i="227"/>
  <c r="U30" i="227"/>
  <c r="T30" i="227"/>
  <c r="R30" i="227"/>
  <c r="Q30" i="227"/>
  <c r="P30" i="227"/>
  <c r="N30" i="227"/>
  <c r="E30" i="227"/>
  <c r="AF13" i="227" s="1"/>
  <c r="AJ29" i="227"/>
  <c r="AI29" i="227"/>
  <c r="AH29" i="227"/>
  <c r="AG29" i="227"/>
  <c r="U29" i="227"/>
  <c r="T29" i="227"/>
  <c r="R29" i="227"/>
  <c r="Q29" i="227"/>
  <c r="P29" i="227"/>
  <c r="N29" i="227"/>
  <c r="E29" i="227"/>
  <c r="AF21" i="227" s="1"/>
  <c r="AJ28" i="227"/>
  <c r="AI28" i="227"/>
  <c r="AH28" i="227"/>
  <c r="AG28" i="227"/>
  <c r="U28" i="227"/>
  <c r="T28" i="227"/>
  <c r="R28" i="227"/>
  <c r="Q28" i="227"/>
  <c r="P28" i="227"/>
  <c r="N28" i="227"/>
  <c r="E28" i="227"/>
  <c r="AF31" i="227" s="1"/>
  <c r="AJ27" i="227"/>
  <c r="AI27" i="227"/>
  <c r="AH27" i="227"/>
  <c r="AG27" i="227"/>
  <c r="U27" i="227"/>
  <c r="T27" i="227"/>
  <c r="R27" i="227"/>
  <c r="Q27" i="227"/>
  <c r="M27" i="227" s="1"/>
  <c r="AK12" i="227" s="1"/>
  <c r="P27" i="227"/>
  <c r="N27" i="227"/>
  <c r="E27" i="227"/>
  <c r="AF12" i="227" s="1"/>
  <c r="AJ26" i="227"/>
  <c r="AI26" i="227"/>
  <c r="AH26" i="227"/>
  <c r="AG26" i="227"/>
  <c r="U26" i="227"/>
  <c r="T26" i="227"/>
  <c r="R26" i="227"/>
  <c r="Q26" i="227"/>
  <c r="P26" i="227"/>
  <c r="N26" i="227"/>
  <c r="E26" i="227"/>
  <c r="AF30" i="227" s="1"/>
  <c r="AJ25" i="227"/>
  <c r="AI25" i="227"/>
  <c r="AH25" i="227"/>
  <c r="AG25" i="227"/>
  <c r="U25" i="227"/>
  <c r="T25" i="227"/>
  <c r="R25" i="227"/>
  <c r="Q25" i="227"/>
  <c r="M25" i="227" s="1"/>
  <c r="AK20" i="227" s="1"/>
  <c r="P25" i="227"/>
  <c r="N25" i="227"/>
  <c r="E25" i="227"/>
  <c r="AF20" i="227" s="1"/>
  <c r="AJ24" i="227"/>
  <c r="AI24" i="227"/>
  <c r="AH24" i="227"/>
  <c r="AG24" i="227"/>
  <c r="U24" i="227"/>
  <c r="T24" i="227"/>
  <c r="R24" i="227"/>
  <c r="Q24" i="227"/>
  <c r="P24" i="227"/>
  <c r="N24" i="227"/>
  <c r="E24" i="227"/>
  <c r="AJ23" i="227"/>
  <c r="AI23" i="227"/>
  <c r="AH23" i="227"/>
  <c r="AG23" i="227"/>
  <c r="U23" i="227"/>
  <c r="T23" i="227"/>
  <c r="R23" i="227"/>
  <c r="Q23" i="227"/>
  <c r="M23" i="227" s="1"/>
  <c r="AK10" i="227" s="1"/>
  <c r="P23" i="227"/>
  <c r="N23" i="227"/>
  <c r="E23" i="227"/>
  <c r="AF10" i="227" s="1"/>
  <c r="AJ22" i="227"/>
  <c r="AI22" i="227"/>
  <c r="AH22" i="227"/>
  <c r="AG22" i="227"/>
  <c r="U22" i="227"/>
  <c r="T22" i="227"/>
  <c r="R22" i="227"/>
  <c r="Q22" i="227"/>
  <c r="M22" i="227" s="1"/>
  <c r="AK9" i="227" s="1"/>
  <c r="P22" i="227"/>
  <c r="N22" i="227"/>
  <c r="E22" i="227"/>
  <c r="AF9" i="227" s="1"/>
  <c r="AJ21" i="227"/>
  <c r="AI21" i="227"/>
  <c r="AH21" i="227"/>
  <c r="AG21" i="227"/>
  <c r="U21" i="227"/>
  <c r="T21" i="227"/>
  <c r="R21" i="227"/>
  <c r="Q21" i="227"/>
  <c r="P21" i="227"/>
  <c r="N21" i="227"/>
  <c r="E21" i="227"/>
  <c r="AF29" i="227" s="1"/>
  <c r="AJ20" i="227"/>
  <c r="AI20" i="227"/>
  <c r="AH20" i="227"/>
  <c r="AG20" i="227"/>
  <c r="U20" i="227"/>
  <c r="T20" i="227"/>
  <c r="R20" i="227"/>
  <c r="M20" i="227" s="1"/>
  <c r="AK19" i="227" s="1"/>
  <c r="Q20" i="227"/>
  <c r="P20" i="227"/>
  <c r="N20" i="227"/>
  <c r="E20" i="227"/>
  <c r="AF19" i="227" s="1"/>
  <c r="AJ19" i="227"/>
  <c r="AI19" i="227"/>
  <c r="AH19" i="227"/>
  <c r="AG19" i="227"/>
  <c r="U19" i="227"/>
  <c r="T19" i="227"/>
  <c r="R19" i="227"/>
  <c r="Q19" i="227"/>
  <c r="P19" i="227"/>
  <c r="N19" i="227"/>
  <c r="E19" i="227"/>
  <c r="AF28" i="227" s="1"/>
  <c r="AJ18" i="227"/>
  <c r="AI18" i="227"/>
  <c r="AH18" i="227"/>
  <c r="AG18" i="227"/>
  <c r="U18" i="227"/>
  <c r="T18" i="227"/>
  <c r="R18" i="227"/>
  <c r="Q18" i="227"/>
  <c r="P18" i="227"/>
  <c r="N18" i="227"/>
  <c r="E18" i="227"/>
  <c r="AF8" i="227" s="1"/>
  <c r="AJ17" i="227"/>
  <c r="AI17" i="227"/>
  <c r="AH17" i="227"/>
  <c r="AG17" i="227"/>
  <c r="U17" i="227"/>
  <c r="T17" i="227"/>
  <c r="R17" i="227"/>
  <c r="Q17" i="227"/>
  <c r="M17" i="227" s="1"/>
  <c r="AK27" i="227" s="1"/>
  <c r="P17" i="227"/>
  <c r="N17" i="227"/>
  <c r="E17" i="227"/>
  <c r="AF27" i="227" s="1"/>
  <c r="AJ16" i="227"/>
  <c r="AI16" i="227"/>
  <c r="AH16" i="227"/>
  <c r="AG16" i="227"/>
  <c r="U16" i="227"/>
  <c r="T16" i="227"/>
  <c r="R16" i="227"/>
  <c r="Q16" i="227"/>
  <c r="P16" i="227"/>
  <c r="N16" i="227"/>
  <c r="E16" i="227"/>
  <c r="AF26" i="227" s="1"/>
  <c r="AJ15" i="227"/>
  <c r="AI15" i="227"/>
  <c r="AH15" i="227"/>
  <c r="AG15" i="227"/>
  <c r="U15" i="227"/>
  <c r="T15" i="227"/>
  <c r="R15" i="227"/>
  <c r="Q15" i="227"/>
  <c r="M15" i="227" s="1"/>
  <c r="AK18" i="227" s="1"/>
  <c r="P15" i="227"/>
  <c r="N15" i="227"/>
  <c r="E15" i="227"/>
  <c r="AF18" i="227" s="1"/>
  <c r="AJ14" i="227"/>
  <c r="AI14" i="227"/>
  <c r="AH14" i="227"/>
  <c r="AG14" i="227"/>
  <c r="U14" i="227"/>
  <c r="T14" i="227"/>
  <c r="R14" i="227"/>
  <c r="Q14" i="227"/>
  <c r="P14" i="227"/>
  <c r="N14" i="227"/>
  <c r="E14" i="227"/>
  <c r="AF17" i="227" s="1"/>
  <c r="AJ13" i="227"/>
  <c r="AI13" i="227"/>
  <c r="AH13" i="227"/>
  <c r="AG13" i="227"/>
  <c r="U13" i="227"/>
  <c r="T13" i="227"/>
  <c r="R13" i="227"/>
  <c r="Q13" i="227"/>
  <c r="P13" i="227"/>
  <c r="N13" i="227"/>
  <c r="E13" i="227"/>
  <c r="AF16" i="227" s="1"/>
  <c r="AJ12" i="227"/>
  <c r="AI12" i="227"/>
  <c r="AH12" i="227"/>
  <c r="AG12" i="227"/>
  <c r="U12" i="227"/>
  <c r="T12" i="227"/>
  <c r="R12" i="227"/>
  <c r="Q12" i="227"/>
  <c r="P12" i="227"/>
  <c r="N12" i="227"/>
  <c r="E12" i="227"/>
  <c r="AF7" i="227" s="1"/>
  <c r="AJ11" i="227"/>
  <c r="AI11" i="227"/>
  <c r="AH11" i="227"/>
  <c r="AG11" i="227"/>
  <c r="AF11" i="227"/>
  <c r="U11" i="227"/>
  <c r="T11" i="227"/>
  <c r="R11" i="227"/>
  <c r="Q11" i="227"/>
  <c r="P11" i="227"/>
  <c r="N11" i="227"/>
  <c r="E11" i="227"/>
  <c r="AF25" i="227" s="1"/>
  <c r="AJ10" i="227"/>
  <c r="AI10" i="227"/>
  <c r="AH10" i="227"/>
  <c r="AG10" i="227"/>
  <c r="U10" i="227"/>
  <c r="T10" i="227"/>
  <c r="R10" i="227"/>
  <c r="Q10" i="227"/>
  <c r="P10" i="227"/>
  <c r="N10" i="227"/>
  <c r="E10" i="227"/>
  <c r="AF6" i="227" s="1"/>
  <c r="AJ9" i="227"/>
  <c r="AI9" i="227"/>
  <c r="AH9" i="227"/>
  <c r="AG9" i="227"/>
  <c r="U9" i="227"/>
  <c r="T9" i="227"/>
  <c r="R9" i="227"/>
  <c r="Q9" i="227"/>
  <c r="P9" i="227"/>
  <c r="N9" i="227"/>
  <c r="E9" i="227"/>
  <c r="AF15" i="227" s="1"/>
  <c r="AJ8" i="227"/>
  <c r="AI8" i="227"/>
  <c r="AH8" i="227"/>
  <c r="AG8" i="227"/>
  <c r="U8" i="227"/>
  <c r="T8" i="227"/>
  <c r="R8" i="227"/>
  <c r="Q8" i="227"/>
  <c r="P8" i="227"/>
  <c r="N8" i="227"/>
  <c r="E8" i="227"/>
  <c r="AF24" i="227" s="1"/>
  <c r="AJ7" i="227"/>
  <c r="AI7" i="227"/>
  <c r="AH7" i="227"/>
  <c r="AD11" i="227" s="1"/>
  <c r="AG7" i="227"/>
  <c r="U7" i="227"/>
  <c r="T7" i="227"/>
  <c r="R7" i="227"/>
  <c r="Q7" i="227"/>
  <c r="P7" i="227"/>
  <c r="N7" i="227"/>
  <c r="E7" i="227"/>
  <c r="AF23" i="227" s="1"/>
  <c r="AJ6" i="227"/>
  <c r="AI6" i="227"/>
  <c r="AH6" i="227"/>
  <c r="AG6" i="227"/>
  <c r="U6" i="227"/>
  <c r="T6" i="227"/>
  <c r="R6" i="227"/>
  <c r="Q6" i="227"/>
  <c r="P6" i="227"/>
  <c r="N6" i="227"/>
  <c r="E6" i="227"/>
  <c r="M14" i="227" l="1"/>
  <c r="AK17" i="227" s="1"/>
  <c r="M12" i="227"/>
  <c r="AK7" i="227" s="1"/>
  <c r="M45" i="227"/>
  <c r="M29" i="228"/>
  <c r="AK21" i="228" s="1"/>
  <c r="M46" i="232"/>
  <c r="M22" i="233"/>
  <c r="AK9" i="233" s="1"/>
  <c r="M46" i="228"/>
  <c r="M6" i="228"/>
  <c r="AK14" i="228" s="1"/>
  <c r="M22" i="228"/>
  <c r="AK9" i="228" s="1"/>
  <c r="M19" i="233"/>
  <c r="AK28" i="233" s="1"/>
  <c r="M10" i="233"/>
  <c r="AK6" i="233" s="1"/>
  <c r="M15" i="233"/>
  <c r="AK18" i="233" s="1"/>
  <c r="M8" i="233"/>
  <c r="AK24" i="233" s="1"/>
  <c r="M13" i="233"/>
  <c r="AK16" i="233" s="1"/>
  <c r="M18" i="233"/>
  <c r="AK8" i="233" s="1"/>
  <c r="AC10" i="233"/>
  <c r="M45" i="233"/>
  <c r="M11" i="233"/>
  <c r="AK25" i="233" s="1"/>
  <c r="M16" i="233"/>
  <c r="AK26" i="233" s="1"/>
  <c r="M7" i="232"/>
  <c r="AK23" i="232" s="1"/>
  <c r="M10" i="232"/>
  <c r="AK6" i="232" s="1"/>
  <c r="M15" i="232"/>
  <c r="AK18" i="232" s="1"/>
  <c r="M23" i="232"/>
  <c r="AK10" i="232" s="1"/>
  <c r="M9" i="227"/>
  <c r="AK15" i="227" s="1"/>
  <c r="AC6" i="227"/>
  <c r="J44" i="227" s="1"/>
  <c r="M10" i="227"/>
  <c r="AK6" i="227" s="1"/>
  <c r="AB15" i="227"/>
  <c r="M19" i="227"/>
  <c r="AK28" i="227" s="1"/>
  <c r="M24" i="227"/>
  <c r="AK11" i="227" s="1"/>
  <c r="M44" i="227"/>
  <c r="M6" i="227"/>
  <c r="AK14" i="227" s="1"/>
  <c r="AD26" i="227"/>
  <c r="M30" i="227"/>
  <c r="AK13" i="227" s="1"/>
  <c r="M9" i="232"/>
  <c r="AK15" i="232" s="1"/>
  <c r="M12" i="232"/>
  <c r="AK7" i="232" s="1"/>
  <c r="M21" i="232"/>
  <c r="AK29" i="232" s="1"/>
  <c r="M44" i="232"/>
  <c r="M13" i="232"/>
  <c r="AK16" i="232" s="1"/>
  <c r="M6" i="232"/>
  <c r="AK14" i="232" s="1"/>
  <c r="M19" i="232"/>
  <c r="AK28" i="232" s="1"/>
  <c r="M27" i="232"/>
  <c r="AK12" i="232" s="1"/>
  <c r="AB7" i="232"/>
  <c r="M14" i="233"/>
  <c r="AK17" i="233" s="1"/>
  <c r="M25" i="233"/>
  <c r="AK20" i="233" s="1"/>
  <c r="AB28" i="233"/>
  <c r="AD6" i="233"/>
  <c r="K44" i="233" s="1"/>
  <c r="M7" i="233"/>
  <c r="AK23" i="233" s="1"/>
  <c r="M20" i="233"/>
  <c r="AK19" i="233" s="1"/>
  <c r="M30" i="233"/>
  <c r="AK13" i="233" s="1"/>
  <c r="S30" i="233"/>
  <c r="M6" i="233"/>
  <c r="AK14" i="233" s="1"/>
  <c r="AD15" i="233"/>
  <c r="M17" i="233"/>
  <c r="AK27" i="233" s="1"/>
  <c r="AD10" i="233"/>
  <c r="AB29" i="233"/>
  <c r="AD30" i="233"/>
  <c r="AB24" i="233"/>
  <c r="AB21" i="233"/>
  <c r="AC25" i="233"/>
  <c r="AD31" i="233"/>
  <c r="AB22" i="233"/>
  <c r="AC13" i="233"/>
  <c r="M20" i="232"/>
  <c r="AK19" i="232" s="1"/>
  <c r="M28" i="232"/>
  <c r="AK31" i="232" s="1"/>
  <c r="O22" i="232"/>
  <c r="M31" i="232"/>
  <c r="AK22" i="232" s="1"/>
  <c r="M45" i="232"/>
  <c r="M25" i="232"/>
  <c r="AK20" i="232" s="1"/>
  <c r="M8" i="232"/>
  <c r="AK24" i="232" s="1"/>
  <c r="M17" i="232"/>
  <c r="AK27" i="232" s="1"/>
  <c r="AD26" i="232"/>
  <c r="AC16" i="232"/>
  <c r="AB18" i="232"/>
  <c r="AB26" i="232"/>
  <c r="AC12" i="232"/>
  <c r="S12" i="232"/>
  <c r="S13" i="232"/>
  <c r="AC30" i="232"/>
  <c r="S14" i="233"/>
  <c r="S45" i="233"/>
  <c r="AC26" i="232"/>
  <c r="AD30" i="232"/>
  <c r="S13" i="233"/>
  <c r="O25" i="233"/>
  <c r="AC14" i="232"/>
  <c r="J45" i="232" s="1"/>
  <c r="AC22" i="232"/>
  <c r="AC29" i="232"/>
  <c r="S22" i="233"/>
  <c r="O29" i="233"/>
  <c r="AC29" i="233"/>
  <c r="O6" i="232"/>
  <c r="AD11" i="232"/>
  <c r="AB12" i="232"/>
  <c r="AD14" i="232"/>
  <c r="K45" i="232" s="1"/>
  <c r="S17" i="232"/>
  <c r="AB19" i="232"/>
  <c r="AD22" i="232"/>
  <c r="S25" i="232"/>
  <c r="AB27" i="232"/>
  <c r="AB28" i="232"/>
  <c r="AB30" i="232"/>
  <c r="AB8" i="233"/>
  <c r="AB12" i="233"/>
  <c r="AD14" i="233"/>
  <c r="K45" i="233" s="1"/>
  <c r="AC18" i="233"/>
  <c r="S21" i="233"/>
  <c r="AB8" i="232"/>
  <c r="AD13" i="232"/>
  <c r="O21" i="232"/>
  <c r="AD27" i="232"/>
  <c r="AB29" i="232"/>
  <c r="AB9" i="233"/>
  <c r="AB10" i="233"/>
  <c r="AB13" i="233"/>
  <c r="AD18" i="233"/>
  <c r="O45" i="233"/>
  <c r="AC8" i="232"/>
  <c r="AB9" i="232"/>
  <c r="AC18" i="232"/>
  <c r="AB16" i="232"/>
  <c r="AD18" i="232"/>
  <c r="AB22" i="232"/>
  <c r="AB24" i="232"/>
  <c r="M29" i="232"/>
  <c r="AK21" i="232" s="1"/>
  <c r="S6" i="233"/>
  <c r="AD7" i="233"/>
  <c r="M9" i="233"/>
  <c r="AK15" i="233" s="1"/>
  <c r="O13" i="233"/>
  <c r="AC22" i="233"/>
  <c r="AD19" i="233"/>
  <c r="AC14" i="233"/>
  <c r="J45" i="233" s="1"/>
  <c r="AB19" i="233"/>
  <c r="AC16" i="233"/>
  <c r="AC19" i="233"/>
  <c r="AD16" i="233"/>
  <c r="AB14" i="233"/>
  <c r="AD21" i="233"/>
  <c r="AD20" i="233"/>
  <c r="AB18" i="233"/>
  <c r="AC15" i="233"/>
  <c r="AC20" i="233"/>
  <c r="AD17" i="233"/>
  <c r="AB15" i="233"/>
  <c r="AC17" i="233"/>
  <c r="O18" i="233"/>
  <c r="AD22" i="233"/>
  <c r="S25" i="233"/>
  <c r="M28" i="233"/>
  <c r="AK31" i="233" s="1"/>
  <c r="S30" i="232"/>
  <c r="O26" i="232"/>
  <c r="S22" i="232"/>
  <c r="O18" i="232"/>
  <c r="S14" i="232"/>
  <c r="O10" i="232"/>
  <c r="S6" i="232"/>
  <c r="O28" i="232"/>
  <c r="O20" i="232"/>
  <c r="AF14" i="232"/>
  <c r="O46" i="232"/>
  <c r="S44" i="232"/>
  <c r="O31" i="232"/>
  <c r="S27" i="232"/>
  <c r="O23" i="232"/>
  <c r="S19" i="232"/>
  <c r="O15" i="232"/>
  <c r="S11" i="232"/>
  <c r="O7" i="232"/>
  <c r="S24" i="232"/>
  <c r="S16" i="232"/>
  <c r="O12" i="232"/>
  <c r="S8" i="232"/>
  <c r="S46" i="232"/>
  <c r="O44" i="232"/>
  <c r="S31" i="232"/>
  <c r="O27" i="232"/>
  <c r="S23" i="232"/>
  <c r="O19" i="232"/>
  <c r="S15" i="232"/>
  <c r="O11" i="232"/>
  <c r="S7" i="232"/>
  <c r="S28" i="232"/>
  <c r="O30" i="233"/>
  <c r="S26" i="233"/>
  <c r="O22" i="233"/>
  <c r="S18" i="233"/>
  <c r="O14" i="233"/>
  <c r="S10" i="233"/>
  <c r="O6" i="233"/>
  <c r="O24" i="233"/>
  <c r="O16" i="233"/>
  <c r="O8" i="233"/>
  <c r="S46" i="233"/>
  <c r="O44" i="233"/>
  <c r="S31" i="233"/>
  <c r="O27" i="233"/>
  <c r="S23" i="233"/>
  <c r="O19" i="233"/>
  <c r="S15" i="233"/>
  <c r="O11" i="233"/>
  <c r="S7" i="233"/>
  <c r="S28" i="233"/>
  <c r="S20" i="233"/>
  <c r="S12" i="233"/>
  <c r="O46" i="233"/>
  <c r="S44" i="233"/>
  <c r="O31" i="233"/>
  <c r="S27" i="233"/>
  <c r="O23" i="233"/>
  <c r="S19" i="233"/>
  <c r="O15" i="233"/>
  <c r="S11" i="233"/>
  <c r="O7" i="233"/>
  <c r="O28" i="233"/>
  <c r="S24" i="233"/>
  <c r="O20" i="233"/>
  <c r="S16" i="233"/>
  <c r="AF14" i="233"/>
  <c r="O12" i="233"/>
  <c r="S8" i="233"/>
  <c r="O26" i="233"/>
  <c r="AC6" i="232"/>
  <c r="J44" i="232" s="1"/>
  <c r="S10" i="232"/>
  <c r="AC20" i="232"/>
  <c r="AB23" i="232"/>
  <c r="AD29" i="232"/>
  <c r="AD6" i="232"/>
  <c r="K44" i="232" s="1"/>
  <c r="S9" i="232"/>
  <c r="AB11" i="232"/>
  <c r="S18" i="232"/>
  <c r="O30" i="232"/>
  <c r="AD11" i="233"/>
  <c r="AC6" i="233"/>
  <c r="J44" i="233" s="1"/>
  <c r="AD13" i="233"/>
  <c r="AB11" i="233"/>
  <c r="AC8" i="233"/>
  <c r="AC11" i="233"/>
  <c r="AD8" i="233"/>
  <c r="AB6" i="233"/>
  <c r="AD12" i="233"/>
  <c r="AC7" i="233"/>
  <c r="AC12" i="233"/>
  <c r="AD9" i="233"/>
  <c r="AB7" i="233"/>
  <c r="AC9" i="233"/>
  <c r="O10" i="233"/>
  <c r="AB25" i="233"/>
  <c r="AB23" i="233"/>
  <c r="AB26" i="233"/>
  <c r="AB30" i="233"/>
  <c r="AC13" i="232"/>
  <c r="AC21" i="232"/>
  <c r="O29" i="232"/>
  <c r="AB27" i="233"/>
  <c r="AD10" i="232"/>
  <c r="O13" i="232"/>
  <c r="O14" i="232"/>
  <c r="AD19" i="232"/>
  <c r="AD21" i="232"/>
  <c r="O8" i="232"/>
  <c r="O9" i="232"/>
  <c r="AB13" i="232"/>
  <c r="AB21" i="232"/>
  <c r="AC24" i="232"/>
  <c r="AB25" i="232"/>
  <c r="AB16" i="233"/>
  <c r="O17" i="233"/>
  <c r="AB20" i="233"/>
  <c r="AC30" i="233"/>
  <c r="AC26" i="233"/>
  <c r="S29" i="233"/>
  <c r="S21" i="232"/>
  <c r="AB15" i="232"/>
  <c r="S20" i="232"/>
  <c r="AD31" i="232"/>
  <c r="S26" i="232"/>
  <c r="S17" i="233"/>
  <c r="O45" i="232"/>
  <c r="O9" i="233"/>
  <c r="AD23" i="233"/>
  <c r="K46" i="233" s="1"/>
  <c r="AC10" i="232"/>
  <c r="AB20" i="232"/>
  <c r="AC9" i="232"/>
  <c r="AB17" i="232"/>
  <c r="AB10" i="232"/>
  <c r="O16" i="232"/>
  <c r="O17" i="232"/>
  <c r="AC17" i="232"/>
  <c r="O24" i="232"/>
  <c r="O25" i="232"/>
  <c r="AC25" i="232"/>
  <c r="S29" i="232"/>
  <c r="S45" i="232"/>
  <c r="S9" i="233"/>
  <c r="M12" i="233"/>
  <c r="AK7" i="233" s="1"/>
  <c r="AB17" i="233"/>
  <c r="O21" i="233"/>
  <c r="AC21" i="233"/>
  <c r="AD26" i="233"/>
  <c r="AD25" i="233"/>
  <c r="AC28" i="233"/>
  <c r="AB31" i="233"/>
  <c r="AB6" i="232"/>
  <c r="AD8" i="232"/>
  <c r="AC11" i="232"/>
  <c r="AB14" i="232"/>
  <c r="AD16" i="232"/>
  <c r="AC19" i="232"/>
  <c r="AD24" i="232"/>
  <c r="AC27" i="232"/>
  <c r="AC23" i="233"/>
  <c r="J46" i="233" s="1"/>
  <c r="AD28" i="233"/>
  <c r="AC31" i="233"/>
  <c r="AB31" i="232"/>
  <c r="AD29" i="233"/>
  <c r="AC7" i="232"/>
  <c r="AD12" i="232"/>
  <c r="AC15" i="232"/>
  <c r="AD20" i="232"/>
  <c r="AC23" i="232"/>
  <c r="J46" i="232" s="1"/>
  <c r="AD28" i="232"/>
  <c r="AC31" i="232"/>
  <c r="AD24" i="233"/>
  <c r="AC27" i="233"/>
  <c r="AD9" i="232"/>
  <c r="AD17" i="232"/>
  <c r="AD25" i="232"/>
  <c r="AC28" i="232"/>
  <c r="AC24" i="233"/>
  <c r="AD7" i="232"/>
  <c r="AD15" i="232"/>
  <c r="AD23" i="232"/>
  <c r="K46" i="232" s="1"/>
  <c r="AD27" i="233"/>
  <c r="M7" i="228"/>
  <c r="AK23" i="228" s="1"/>
  <c r="M12" i="228"/>
  <c r="AK7" i="228" s="1"/>
  <c r="M28" i="228"/>
  <c r="AK31" i="228" s="1"/>
  <c r="M10" i="228"/>
  <c r="AK6" i="228" s="1"/>
  <c r="M18" i="228"/>
  <c r="AK8" i="228" s="1"/>
  <c r="M15" i="228"/>
  <c r="AK18" i="228" s="1"/>
  <c r="M30" i="228"/>
  <c r="AK13" i="228" s="1"/>
  <c r="M23" i="228"/>
  <c r="AK10" i="228" s="1"/>
  <c r="M14" i="228"/>
  <c r="AK17" i="228" s="1"/>
  <c r="M26" i="228"/>
  <c r="AK30" i="228" s="1"/>
  <c r="M45" i="228"/>
  <c r="M20" i="228"/>
  <c r="AK19" i="228" s="1"/>
  <c r="M24" i="228"/>
  <c r="AK11" i="228" s="1"/>
  <c r="M25" i="228"/>
  <c r="AK20" i="228" s="1"/>
  <c r="M17" i="228"/>
  <c r="AK27" i="228" s="1"/>
  <c r="M8" i="228"/>
  <c r="AK24" i="228" s="1"/>
  <c r="M9" i="228"/>
  <c r="AK15" i="228" s="1"/>
  <c r="M11" i="228"/>
  <c r="AK25" i="228" s="1"/>
  <c r="M16" i="228"/>
  <c r="AK26" i="228" s="1"/>
  <c r="AC25" i="228"/>
  <c r="M27" i="228"/>
  <c r="AK12" i="228" s="1"/>
  <c r="S21" i="228"/>
  <c r="O6" i="228"/>
  <c r="AB21" i="228"/>
  <c r="O30" i="228"/>
  <c r="M13" i="228"/>
  <c r="AK16" i="228" s="1"/>
  <c r="M19" i="228"/>
  <c r="AK28" i="228" s="1"/>
  <c r="M21" i="228"/>
  <c r="AK29" i="228" s="1"/>
  <c r="M44" i="228"/>
  <c r="AB13" i="228"/>
  <c r="AB30" i="228"/>
  <c r="AB18" i="227"/>
  <c r="AD9" i="227"/>
  <c r="M29" i="227"/>
  <c r="AK21" i="227" s="1"/>
  <c r="AB26" i="227"/>
  <c r="M8" i="227"/>
  <c r="AK24" i="227" s="1"/>
  <c r="M16" i="227"/>
  <c r="AK26" i="227" s="1"/>
  <c r="M18" i="227"/>
  <c r="AK8" i="227" s="1"/>
  <c r="M26" i="227"/>
  <c r="AK30" i="227" s="1"/>
  <c r="AB9" i="227"/>
  <c r="AC29" i="227"/>
  <c r="O14" i="227"/>
  <c r="AB17" i="227"/>
  <c r="AB25" i="227"/>
  <c r="M11" i="227"/>
  <c r="AK25" i="227" s="1"/>
  <c r="M28" i="227"/>
  <c r="AK31" i="227" s="1"/>
  <c r="M13" i="227"/>
  <c r="AK16" i="227" s="1"/>
  <c r="M21" i="227"/>
  <c r="AK29" i="227" s="1"/>
  <c r="M46" i="227"/>
  <c r="O16" i="227"/>
  <c r="AB10" i="227"/>
  <c r="AB12" i="227"/>
  <c r="S20" i="227"/>
  <c r="AC21" i="227"/>
  <c r="AB24" i="227"/>
  <c r="S45" i="227"/>
  <c r="AD11" i="228"/>
  <c r="AB8" i="228"/>
  <c r="AB16" i="228"/>
  <c r="M7" i="227"/>
  <c r="AK23" i="227" s="1"/>
  <c r="AC20" i="227"/>
  <c r="S18" i="227"/>
  <c r="AD21" i="227"/>
  <c r="O22" i="227"/>
  <c r="AC24" i="227"/>
  <c r="O29" i="227"/>
  <c r="O8" i="228"/>
  <c r="O10" i="228"/>
  <c r="S6" i="228"/>
  <c r="S8" i="228"/>
  <c r="AF6" i="228"/>
  <c r="AB12" i="228"/>
  <c r="AC22" i="228"/>
  <c r="AB18" i="228"/>
  <c r="AC30" i="228"/>
  <c r="O25" i="228"/>
  <c r="AC22" i="227"/>
  <c r="O6" i="227"/>
  <c r="S9" i="227"/>
  <c r="AC14" i="227"/>
  <c r="J45" i="227" s="1"/>
  <c r="AD16" i="227"/>
  <c r="AB19" i="227"/>
  <c r="O21" i="227"/>
  <c r="AC24" i="228"/>
  <c r="AB29" i="228"/>
  <c r="AC26" i="228"/>
  <c r="AD23" i="228"/>
  <c r="K46" i="228" s="1"/>
  <c r="AB23" i="228"/>
  <c r="AB13" i="227"/>
  <c r="S17" i="227"/>
  <c r="AD19" i="227"/>
  <c r="AB28" i="228"/>
  <c r="AD18" i="227"/>
  <c r="AB31" i="227"/>
  <c r="AB28" i="227"/>
  <c r="AB25" i="228"/>
  <c r="O45" i="228"/>
  <c r="S30" i="227"/>
  <c r="O26" i="227"/>
  <c r="S22" i="227"/>
  <c r="O18" i="227"/>
  <c r="S14" i="227"/>
  <c r="O10" i="227"/>
  <c r="S6" i="227"/>
  <c r="S24" i="227"/>
  <c r="O20" i="227"/>
  <c r="O46" i="227"/>
  <c r="S44" i="227"/>
  <c r="O31" i="227"/>
  <c r="S27" i="227"/>
  <c r="O23" i="227"/>
  <c r="S19" i="227"/>
  <c r="O15" i="227"/>
  <c r="S11" i="227"/>
  <c r="O7" i="227"/>
  <c r="O28" i="227"/>
  <c r="S16" i="227"/>
  <c r="O45" i="227"/>
  <c r="S29" i="227"/>
  <c r="O25" i="227"/>
  <c r="S21" i="227"/>
  <c r="O17" i="227"/>
  <c r="S13" i="227"/>
  <c r="O9" i="227"/>
  <c r="O30" i="227"/>
  <c r="S46" i="227"/>
  <c r="O44" i="227"/>
  <c r="S31" i="227"/>
  <c r="O27" i="227"/>
  <c r="S23" i="227"/>
  <c r="O19" i="227"/>
  <c r="S15" i="227"/>
  <c r="O11" i="227"/>
  <c r="S7" i="227"/>
  <c r="S28" i="227"/>
  <c r="S12" i="227"/>
  <c r="O24" i="227"/>
  <c r="AD22" i="228"/>
  <c r="AB11" i="227"/>
  <c r="AC13" i="227"/>
  <c r="AF14" i="227"/>
  <c r="AB23" i="227"/>
  <c r="AC30" i="227"/>
  <c r="AD29" i="227"/>
  <c r="AB27" i="227"/>
  <c r="AC9" i="228"/>
  <c r="AB10" i="228"/>
  <c r="AD13" i="227"/>
  <c r="AB20" i="227"/>
  <c r="S26" i="227"/>
  <c r="AB7" i="227"/>
  <c r="AB8" i="227"/>
  <c r="AD10" i="227"/>
  <c r="AC12" i="227"/>
  <c r="O13" i="227"/>
  <c r="AB21" i="227"/>
  <c r="AB16" i="227"/>
  <c r="AD31" i="227"/>
  <c r="AD27" i="227"/>
  <c r="O9" i="228"/>
  <c r="S13" i="228"/>
  <c r="O17" i="228"/>
  <c r="AB22" i="228"/>
  <c r="AB26" i="228"/>
  <c r="AD30" i="228"/>
  <c r="AB20" i="228"/>
  <c r="S8" i="227"/>
  <c r="S10" i="227"/>
  <c r="AC17" i="228"/>
  <c r="O8" i="227"/>
  <c r="AC8" i="227"/>
  <c r="O12" i="227"/>
  <c r="AC16" i="227"/>
  <c r="S25" i="227"/>
  <c r="AB30" i="227"/>
  <c r="AD6" i="228"/>
  <c r="K44" i="228" s="1"/>
  <c r="AD14" i="228"/>
  <c r="K45" i="228" s="1"/>
  <c r="S29" i="228"/>
  <c r="AB7" i="228"/>
  <c r="AD9" i="228"/>
  <c r="O12" i="228"/>
  <c r="AC12" i="228"/>
  <c r="AB15" i="228"/>
  <c r="S16" i="228"/>
  <c r="AD17" i="228"/>
  <c r="O20" i="228"/>
  <c r="AC20" i="228"/>
  <c r="S24" i="228"/>
  <c r="AD25" i="228"/>
  <c r="O28" i="228"/>
  <c r="AC28" i="228"/>
  <c r="AB31" i="228"/>
  <c r="AB6" i="227"/>
  <c r="AD8" i="227"/>
  <c r="AC11" i="227"/>
  <c r="AB14" i="227"/>
  <c r="AC19" i="227"/>
  <c r="AB22" i="227"/>
  <c r="AD24" i="227"/>
  <c r="AC27" i="227"/>
  <c r="O7" i="228"/>
  <c r="AC7" i="228"/>
  <c r="S11" i="228"/>
  <c r="AD12" i="228"/>
  <c r="O15" i="228"/>
  <c r="AC15" i="228"/>
  <c r="S19" i="228"/>
  <c r="AD20" i="228"/>
  <c r="O23" i="228"/>
  <c r="AC23" i="228"/>
  <c r="J46" i="228" s="1"/>
  <c r="S27" i="228"/>
  <c r="AD28" i="228"/>
  <c r="O31" i="228"/>
  <c r="AC31" i="228"/>
  <c r="S44" i="228"/>
  <c r="O46" i="228"/>
  <c r="AD7" i="228"/>
  <c r="AC10" i="228"/>
  <c r="S14" i="228"/>
  <c r="AD15" i="228"/>
  <c r="O18" i="228"/>
  <c r="AC18" i="228"/>
  <c r="S22" i="228"/>
  <c r="O26" i="228"/>
  <c r="S30" i="228"/>
  <c r="AD31" i="228"/>
  <c r="AD6" i="227"/>
  <c r="K44" i="227" s="1"/>
  <c r="AC9" i="227"/>
  <c r="AD14" i="227"/>
  <c r="K45" i="227" s="1"/>
  <c r="AC17" i="227"/>
  <c r="AD22" i="227"/>
  <c r="AC25" i="227"/>
  <c r="AD30" i="227"/>
  <c r="S9" i="228"/>
  <c r="AD10" i="228"/>
  <c r="O13" i="228"/>
  <c r="AC13" i="228"/>
  <c r="AF15" i="228"/>
  <c r="S17" i="228"/>
  <c r="AD18" i="228"/>
  <c r="O21" i="228"/>
  <c r="AC21" i="228"/>
  <c r="AB24" i="228"/>
  <c r="S25" i="228"/>
  <c r="AD26" i="228"/>
  <c r="O29" i="228"/>
  <c r="AC29" i="228"/>
  <c r="S45" i="228"/>
  <c r="AD17" i="227"/>
  <c r="AC28" i="227"/>
  <c r="S12" i="228"/>
  <c r="AD13" i="228"/>
  <c r="AB19" i="228"/>
  <c r="AB27" i="228"/>
  <c r="S28" i="228"/>
  <c r="AD29" i="228"/>
  <c r="AC7" i="227"/>
  <c r="AD12" i="227"/>
  <c r="AC15" i="227"/>
  <c r="AD20" i="227"/>
  <c r="AC23" i="227"/>
  <c r="J46" i="227" s="1"/>
  <c r="AD28" i="227"/>
  <c r="AC31" i="227"/>
  <c r="AB6" i="228"/>
  <c r="S7" i="228"/>
  <c r="AD8" i="228"/>
  <c r="O11" i="228"/>
  <c r="AC11" i="228"/>
  <c r="AB14" i="228"/>
  <c r="S15" i="228"/>
  <c r="AD16" i="228"/>
  <c r="O19" i="228"/>
  <c r="AC19" i="228"/>
  <c r="S23" i="228"/>
  <c r="AD24" i="228"/>
  <c r="O27" i="228"/>
  <c r="AC27" i="228"/>
  <c r="S31" i="228"/>
  <c r="O44" i="228"/>
  <c r="S46" i="228"/>
  <c r="AD25" i="227"/>
  <c r="AC8" i="228"/>
  <c r="AB11" i="228"/>
  <c r="O16" i="228"/>
  <c r="AC16" i="228"/>
  <c r="S20" i="228"/>
  <c r="AD21" i="228"/>
  <c r="O24" i="228"/>
  <c r="AD7" i="227"/>
  <c r="AC10" i="227"/>
  <c r="AD15" i="227"/>
  <c r="AC18" i="227"/>
  <c r="AD23" i="227"/>
  <c r="K46" i="227" s="1"/>
  <c r="AC26" i="227"/>
  <c r="AB29" i="227"/>
  <c r="AC6" i="228"/>
  <c r="J44" i="228" s="1"/>
  <c r="AB9" i="228"/>
  <c r="S10" i="228"/>
  <c r="O14" i="228"/>
  <c r="AC14" i="228"/>
  <c r="J45" i="228" s="1"/>
  <c r="AB17" i="228"/>
  <c r="S18" i="228"/>
  <c r="AD19" i="228"/>
  <c r="O22" i="228"/>
  <c r="S26" i="228"/>
  <c r="AD27" i="228"/>
  <c r="D27" i="116" l="1"/>
  <c r="D9" i="165" l="1"/>
  <c r="AG6" i="220" l="1"/>
  <c r="T46" i="221" l="1"/>
  <c r="R46" i="221"/>
  <c r="Q46" i="221"/>
  <c r="P46" i="221"/>
  <c r="N46" i="221"/>
  <c r="T45" i="221"/>
  <c r="R45" i="221"/>
  <c r="Q45" i="221"/>
  <c r="P45" i="221"/>
  <c r="N45" i="221"/>
  <c r="T44" i="221"/>
  <c r="R44" i="221"/>
  <c r="Q44" i="221"/>
  <c r="P44" i="221"/>
  <c r="N44" i="221"/>
  <c r="AJ31" i="221"/>
  <c r="AI31" i="221"/>
  <c r="AH31" i="221"/>
  <c r="AG31" i="221"/>
  <c r="U31" i="221"/>
  <c r="T31" i="221"/>
  <c r="R31" i="221"/>
  <c r="Q31" i="221"/>
  <c r="M31" i="221" s="1"/>
  <c r="AK22" i="221" s="1"/>
  <c r="P31" i="221"/>
  <c r="N31" i="221"/>
  <c r="E31" i="221"/>
  <c r="AF22" i="221" s="1"/>
  <c r="AJ30" i="221"/>
  <c r="AI30" i="221"/>
  <c r="AH30" i="221"/>
  <c r="AG30" i="221"/>
  <c r="U30" i="221"/>
  <c r="T30" i="221"/>
  <c r="R30" i="221"/>
  <c r="Q30" i="221"/>
  <c r="P30" i="221"/>
  <c r="N30" i="221"/>
  <c r="E30" i="221"/>
  <c r="AF13" i="221" s="1"/>
  <c r="AJ29" i="221"/>
  <c r="AI29" i="221"/>
  <c r="AH29" i="221"/>
  <c r="AG29" i="221"/>
  <c r="U29" i="221"/>
  <c r="T29" i="221"/>
  <c r="R29" i="221"/>
  <c r="Q29" i="221"/>
  <c r="P29" i="221"/>
  <c r="N29" i="221"/>
  <c r="E29" i="221"/>
  <c r="AF21" i="221" s="1"/>
  <c r="AJ28" i="221"/>
  <c r="AI28" i="221"/>
  <c r="AH28" i="221"/>
  <c r="AG28" i="221"/>
  <c r="U28" i="221"/>
  <c r="T28" i="221"/>
  <c r="R28" i="221"/>
  <c r="Q28" i="221"/>
  <c r="P28" i="221"/>
  <c r="N28" i="221"/>
  <c r="E28" i="221"/>
  <c r="AF31" i="221" s="1"/>
  <c r="AJ27" i="221"/>
  <c r="AI27" i="221"/>
  <c r="AH27" i="221"/>
  <c r="AG27" i="221"/>
  <c r="U27" i="221"/>
  <c r="T27" i="221"/>
  <c r="R27" i="221"/>
  <c r="Q27" i="221"/>
  <c r="M27" i="221" s="1"/>
  <c r="AK12" i="221" s="1"/>
  <c r="P27" i="221"/>
  <c r="N27" i="221"/>
  <c r="E27" i="221"/>
  <c r="AF12" i="221" s="1"/>
  <c r="AJ26" i="221"/>
  <c r="AI26" i="221"/>
  <c r="AH26" i="221"/>
  <c r="AG26" i="221"/>
  <c r="U26" i="221"/>
  <c r="T26" i="221"/>
  <c r="R26" i="221"/>
  <c r="Q26" i="221"/>
  <c r="P26" i="221"/>
  <c r="N26" i="221"/>
  <c r="E26" i="221"/>
  <c r="AF30" i="221" s="1"/>
  <c r="AJ25" i="221"/>
  <c r="AI25" i="221"/>
  <c r="AH25" i="221"/>
  <c r="AG25" i="221"/>
  <c r="U25" i="221"/>
  <c r="T25" i="221"/>
  <c r="R25" i="221"/>
  <c r="Q25" i="221"/>
  <c r="P25" i="221"/>
  <c r="N25" i="221"/>
  <c r="E25" i="221"/>
  <c r="AF20" i="221" s="1"/>
  <c r="AJ24" i="221"/>
  <c r="AI24" i="221"/>
  <c r="AH24" i="221"/>
  <c r="AG24" i="221"/>
  <c r="U24" i="221"/>
  <c r="T24" i="221"/>
  <c r="R24" i="221"/>
  <c r="Q24" i="221"/>
  <c r="P24" i="221"/>
  <c r="N24" i="221"/>
  <c r="E24" i="221"/>
  <c r="AF11" i="221" s="1"/>
  <c r="AJ23" i="221"/>
  <c r="AI23" i="221"/>
  <c r="AH23" i="221"/>
  <c r="AG23" i="221"/>
  <c r="U23" i="221"/>
  <c r="T23" i="221"/>
  <c r="R23" i="221"/>
  <c r="Q23" i="221"/>
  <c r="M23" i="221" s="1"/>
  <c r="AK10" i="221" s="1"/>
  <c r="P23" i="221"/>
  <c r="N23" i="221"/>
  <c r="E23" i="221"/>
  <c r="AF10" i="221" s="1"/>
  <c r="AJ22" i="221"/>
  <c r="AI22" i="221"/>
  <c r="AH22" i="221"/>
  <c r="AG22" i="221"/>
  <c r="U22" i="221"/>
  <c r="T22" i="221"/>
  <c r="R22" i="221"/>
  <c r="Q22" i="221"/>
  <c r="P22" i="221"/>
  <c r="N22" i="221"/>
  <c r="E22" i="221"/>
  <c r="AF9" i="221" s="1"/>
  <c r="AJ21" i="221"/>
  <c r="AI21" i="221"/>
  <c r="AH21" i="221"/>
  <c r="AG21" i="221"/>
  <c r="U21" i="221"/>
  <c r="T21" i="221"/>
  <c r="R21" i="221"/>
  <c r="Q21" i="221"/>
  <c r="P21" i="221"/>
  <c r="N21" i="221"/>
  <c r="E21" i="221"/>
  <c r="AF29" i="221" s="1"/>
  <c r="AJ20" i="221"/>
  <c r="AI20" i="221"/>
  <c r="AH20" i="221"/>
  <c r="AG20" i="221"/>
  <c r="U20" i="221"/>
  <c r="T20" i="221"/>
  <c r="R20" i="221"/>
  <c r="Q20" i="221"/>
  <c r="P20" i="221"/>
  <c r="N20" i="221"/>
  <c r="E20" i="221"/>
  <c r="AF19" i="221" s="1"/>
  <c r="AJ19" i="221"/>
  <c r="AI19" i="221"/>
  <c r="AH19" i="221"/>
  <c r="AG19" i="221"/>
  <c r="U19" i="221"/>
  <c r="T19" i="221"/>
  <c r="R19" i="221"/>
  <c r="Q19" i="221"/>
  <c r="P19" i="221"/>
  <c r="N19" i="221"/>
  <c r="E19" i="221"/>
  <c r="AF28" i="221" s="1"/>
  <c r="AJ18" i="221"/>
  <c r="AI18" i="221"/>
  <c r="AH18" i="221"/>
  <c r="AG18" i="221"/>
  <c r="U18" i="221"/>
  <c r="T18" i="221"/>
  <c r="R18" i="221"/>
  <c r="Q18" i="221"/>
  <c r="M18" i="221" s="1"/>
  <c r="AK8" i="221" s="1"/>
  <c r="P18" i="221"/>
  <c r="N18" i="221"/>
  <c r="E18" i="221"/>
  <c r="AF8" i="221" s="1"/>
  <c r="AJ17" i="221"/>
  <c r="AI17" i="221"/>
  <c r="AH17" i="221"/>
  <c r="AG17" i="221"/>
  <c r="U17" i="221"/>
  <c r="T17" i="221"/>
  <c r="R17" i="221"/>
  <c r="Q17" i="221"/>
  <c r="P17" i="221"/>
  <c r="N17" i="221"/>
  <c r="E17" i="221"/>
  <c r="AF27" i="221" s="1"/>
  <c r="AJ16" i="221"/>
  <c r="AI16" i="221"/>
  <c r="AH16" i="221"/>
  <c r="AG16" i="221"/>
  <c r="U16" i="221"/>
  <c r="T16" i="221"/>
  <c r="R16" i="221"/>
  <c r="Q16" i="221"/>
  <c r="P16" i="221"/>
  <c r="N16" i="221"/>
  <c r="E16" i="221"/>
  <c r="AF26" i="221" s="1"/>
  <c r="AJ15" i="221"/>
  <c r="AI15" i="221"/>
  <c r="AH15" i="221"/>
  <c r="AG15" i="221"/>
  <c r="U15" i="221"/>
  <c r="T15" i="221"/>
  <c r="R15" i="221"/>
  <c r="Q15" i="221"/>
  <c r="P15" i="221"/>
  <c r="N15" i="221"/>
  <c r="E15" i="221"/>
  <c r="AF18" i="221" s="1"/>
  <c r="AJ14" i="221"/>
  <c r="AI14" i="221"/>
  <c r="AH14" i="221"/>
  <c r="AG14" i="221"/>
  <c r="U14" i="221"/>
  <c r="T14" i="221"/>
  <c r="R14" i="221"/>
  <c r="Q14" i="221"/>
  <c r="P14" i="221"/>
  <c r="N14" i="221"/>
  <c r="E14" i="221"/>
  <c r="AF17" i="221" s="1"/>
  <c r="AJ13" i="221"/>
  <c r="AI13" i="221"/>
  <c r="AH13" i="221"/>
  <c r="AG13" i="221"/>
  <c r="U13" i="221"/>
  <c r="T13" i="221"/>
  <c r="R13" i="221"/>
  <c r="Q13" i="221"/>
  <c r="P13" i="221"/>
  <c r="N13" i="221"/>
  <c r="E13" i="221"/>
  <c r="AF16" i="221" s="1"/>
  <c r="AJ12" i="221"/>
  <c r="AI12" i="221"/>
  <c r="AH12" i="221"/>
  <c r="AG12" i="221"/>
  <c r="U12" i="221"/>
  <c r="T12" i="221"/>
  <c r="R12" i="221"/>
  <c r="Q12" i="221"/>
  <c r="P12" i="221"/>
  <c r="N12" i="221"/>
  <c r="E12" i="221"/>
  <c r="AF7" i="221" s="1"/>
  <c r="AJ11" i="221"/>
  <c r="AI11" i="221"/>
  <c r="AH11" i="221"/>
  <c r="AG11" i="221"/>
  <c r="U11" i="221"/>
  <c r="T11" i="221"/>
  <c r="R11" i="221"/>
  <c r="Q11" i="221"/>
  <c r="P11" i="221"/>
  <c r="N11" i="221"/>
  <c r="E11" i="221"/>
  <c r="AJ10" i="221"/>
  <c r="AI10" i="221"/>
  <c r="AH10" i="221"/>
  <c r="AG10" i="221"/>
  <c r="U10" i="221"/>
  <c r="T10" i="221"/>
  <c r="R10" i="221"/>
  <c r="Q10" i="221"/>
  <c r="M10" i="221" s="1"/>
  <c r="AK6" i="221" s="1"/>
  <c r="P10" i="221"/>
  <c r="N10" i="221"/>
  <c r="E10" i="221"/>
  <c r="AF6" i="221" s="1"/>
  <c r="AJ9" i="221"/>
  <c r="AI9" i="221"/>
  <c r="AH9" i="221"/>
  <c r="AG9" i="221"/>
  <c r="U9" i="221"/>
  <c r="T9" i="221"/>
  <c r="R9" i="221"/>
  <c r="Q9" i="221"/>
  <c r="P9" i="221"/>
  <c r="N9" i="221"/>
  <c r="E9" i="221"/>
  <c r="AF15" i="221" s="1"/>
  <c r="AJ8" i="221"/>
  <c r="AI8" i="221"/>
  <c r="AH8" i="221"/>
  <c r="AG8" i="221"/>
  <c r="U8" i="221"/>
  <c r="T8" i="221"/>
  <c r="R8" i="221"/>
  <c r="Q8" i="221"/>
  <c r="P8" i="221"/>
  <c r="N8" i="221"/>
  <c r="M8" i="221"/>
  <c r="AK24" i="221" s="1"/>
  <c r="E8" i="221"/>
  <c r="AF24" i="221" s="1"/>
  <c r="AJ7" i="221"/>
  <c r="AI7" i="221"/>
  <c r="AH7" i="221"/>
  <c r="AG7" i="221"/>
  <c r="U7" i="221"/>
  <c r="T7" i="221"/>
  <c r="R7" i="221"/>
  <c r="Q7" i="221"/>
  <c r="P7" i="221"/>
  <c r="N7" i="221"/>
  <c r="E7" i="221"/>
  <c r="AF23" i="221" s="1"/>
  <c r="AJ6" i="221"/>
  <c r="AI6" i="221"/>
  <c r="AH6" i="221"/>
  <c r="AG6" i="221"/>
  <c r="U6" i="221"/>
  <c r="T6" i="221"/>
  <c r="R6" i="221"/>
  <c r="Q6" i="221"/>
  <c r="P6" i="221"/>
  <c r="N6" i="221"/>
  <c r="E6" i="221"/>
  <c r="AG17" i="217"/>
  <c r="AH16" i="217"/>
  <c r="M26" i="221" l="1"/>
  <c r="AK30" i="221" s="1"/>
  <c r="M19" i="221"/>
  <c r="AK28" i="221" s="1"/>
  <c r="M44" i="221"/>
  <c r="M7" i="221"/>
  <c r="AK23" i="221" s="1"/>
  <c r="M9" i="221"/>
  <c r="AK15" i="221" s="1"/>
  <c r="M16" i="221"/>
  <c r="AK26" i="221" s="1"/>
  <c r="M21" i="221"/>
  <c r="AK29" i="221" s="1"/>
  <c r="AD11" i="221"/>
  <c r="M14" i="221"/>
  <c r="AK17" i="221" s="1"/>
  <c r="AC30" i="221"/>
  <c r="M11" i="221"/>
  <c r="AK25" i="221" s="1"/>
  <c r="M30" i="221"/>
  <c r="AK13" i="221" s="1"/>
  <c r="M46" i="221"/>
  <c r="O10" i="221"/>
  <c r="O30" i="221"/>
  <c r="M20" i="221"/>
  <c r="AK19" i="221" s="1"/>
  <c r="M22" i="221"/>
  <c r="AK9" i="221" s="1"/>
  <c r="M24" i="221"/>
  <c r="AK11" i="221" s="1"/>
  <c r="M29" i="221"/>
  <c r="AK21" i="221" s="1"/>
  <c r="M6" i="221"/>
  <c r="AK14" i="221" s="1"/>
  <c r="M25" i="221"/>
  <c r="AK20" i="221" s="1"/>
  <c r="M13" i="221"/>
  <c r="AK16" i="221" s="1"/>
  <c r="M15" i="221"/>
  <c r="AK18" i="221" s="1"/>
  <c r="M17" i="221"/>
  <c r="AK27" i="221" s="1"/>
  <c r="M28" i="221"/>
  <c r="AK31" i="221" s="1"/>
  <c r="M45" i="221"/>
  <c r="M12" i="221"/>
  <c r="AK7" i="221" s="1"/>
  <c r="AB25" i="221"/>
  <c r="AB31" i="221"/>
  <c r="AC22" i="221"/>
  <c r="O18" i="221"/>
  <c r="AB20" i="221"/>
  <c r="AC26" i="221"/>
  <c r="S14" i="221"/>
  <c r="AB22" i="221"/>
  <c r="AB29" i="221"/>
  <c r="AB12" i="221"/>
  <c r="AB17" i="221"/>
  <c r="O26" i="221"/>
  <c r="AB28" i="221"/>
  <c r="AB9" i="221"/>
  <c r="S6" i="221"/>
  <c r="AB7" i="221"/>
  <c r="AB15" i="221"/>
  <c r="AD23" i="221"/>
  <c r="K46" i="221" s="1"/>
  <c r="AB26" i="221"/>
  <c r="AB13" i="221"/>
  <c r="AC29" i="221"/>
  <c r="S45" i="221"/>
  <c r="AC8" i="221"/>
  <c r="AB11" i="221"/>
  <c r="AD6" i="221"/>
  <c r="K44" i="221" s="1"/>
  <c r="O9" i="221"/>
  <c r="AC9" i="221"/>
  <c r="O25" i="221"/>
  <c r="AC25" i="221"/>
  <c r="S8" i="221"/>
  <c r="AD9" i="221"/>
  <c r="O12" i="221"/>
  <c r="AC12" i="221"/>
  <c r="AF14" i="221"/>
  <c r="S16" i="221"/>
  <c r="AD17" i="221"/>
  <c r="O20" i="221"/>
  <c r="AC20" i="221"/>
  <c r="AB23" i="221"/>
  <c r="S24" i="221"/>
  <c r="AD25" i="221"/>
  <c r="O28" i="221"/>
  <c r="AC28" i="221"/>
  <c r="AC10" i="221"/>
  <c r="AD15" i="221"/>
  <c r="AC18" i="221"/>
  <c r="AB21" i="221"/>
  <c r="S22" i="221"/>
  <c r="S30" i="221"/>
  <c r="AD10" i="221"/>
  <c r="AC13" i="221"/>
  <c r="AB16" i="221"/>
  <c r="S17" i="221"/>
  <c r="AD18" i="221"/>
  <c r="AC21" i="221"/>
  <c r="AB24" i="221"/>
  <c r="AD26" i="221"/>
  <c r="S12" i="221"/>
  <c r="AD13" i="221"/>
  <c r="S13" i="221"/>
  <c r="AD14" i="221"/>
  <c r="K45" i="221" s="1"/>
  <c r="O17" i="221"/>
  <c r="AC17" i="221"/>
  <c r="S21" i="221"/>
  <c r="AD22" i="221"/>
  <c r="S29" i="221"/>
  <c r="AD30" i="221"/>
  <c r="O45" i="221"/>
  <c r="O7" i="221"/>
  <c r="AC7" i="221"/>
  <c r="AB10" i="221"/>
  <c r="S11" i="221"/>
  <c r="AD12" i="221"/>
  <c r="O15" i="221"/>
  <c r="AC15" i="221"/>
  <c r="AB18" i="221"/>
  <c r="S19" i="221"/>
  <c r="AD20" i="221"/>
  <c r="O23" i="221"/>
  <c r="AC23" i="221"/>
  <c r="J46" i="221" s="1"/>
  <c r="AF25" i="221"/>
  <c r="S27" i="221"/>
  <c r="AD28" i="221"/>
  <c r="O31" i="221"/>
  <c r="AC31" i="221"/>
  <c r="S44" i="221"/>
  <c r="O46" i="221"/>
  <c r="AD31" i="221"/>
  <c r="AB8" i="221"/>
  <c r="S9" i="221"/>
  <c r="O13" i="221"/>
  <c r="S25" i="221"/>
  <c r="O29" i="221"/>
  <c r="O8" i="221"/>
  <c r="S20" i="221"/>
  <c r="AD21" i="221"/>
  <c r="O24" i="221"/>
  <c r="AC24" i="221"/>
  <c r="AB27" i="221"/>
  <c r="S28" i="221"/>
  <c r="AD29" i="221"/>
  <c r="S7" i="221"/>
  <c r="O11" i="221"/>
  <c r="AC11" i="221"/>
  <c r="AB14" i="221"/>
  <c r="S15" i="221"/>
  <c r="AD16" i="221"/>
  <c r="O19" i="221"/>
  <c r="AC19" i="221"/>
  <c r="S23" i="221"/>
  <c r="AD24" i="221"/>
  <c r="O27" i="221"/>
  <c r="AC27" i="221"/>
  <c r="AB30" i="221"/>
  <c r="S31" i="221"/>
  <c r="O44" i="221"/>
  <c r="S46" i="221"/>
  <c r="AD7" i="221"/>
  <c r="O21" i="221"/>
  <c r="O16" i="221"/>
  <c r="AC16" i="221"/>
  <c r="AB19" i="221"/>
  <c r="AB6" i="221"/>
  <c r="AD8" i="221"/>
  <c r="O6" i="221"/>
  <c r="AC6" i="221"/>
  <c r="J44" i="221" s="1"/>
  <c r="S10" i="221"/>
  <c r="O14" i="221"/>
  <c r="AC14" i="221"/>
  <c r="J45" i="221" s="1"/>
  <c r="S18" i="221"/>
  <c r="AD19" i="221"/>
  <c r="O22" i="221"/>
  <c r="S26" i="221"/>
  <c r="AD27" i="221"/>
  <c r="J14" i="81"/>
  <c r="T46" i="220" l="1"/>
  <c r="R46" i="220"/>
  <c r="Q46" i="220"/>
  <c r="P46" i="220"/>
  <c r="N46" i="220"/>
  <c r="M46" i="220"/>
  <c r="T45" i="220"/>
  <c r="R45" i="220"/>
  <c r="Q45" i="220"/>
  <c r="P45" i="220"/>
  <c r="N45" i="220"/>
  <c r="T44" i="220"/>
  <c r="R44" i="220"/>
  <c r="Q44" i="220"/>
  <c r="P44" i="220"/>
  <c r="N44" i="220"/>
  <c r="AJ31" i="220"/>
  <c r="AI31" i="220"/>
  <c r="AH31" i="220"/>
  <c r="AG31" i="220"/>
  <c r="U31" i="220"/>
  <c r="T31" i="220"/>
  <c r="R31" i="220"/>
  <c r="Q31" i="220"/>
  <c r="P31" i="220"/>
  <c r="N31" i="220"/>
  <c r="E31" i="220"/>
  <c r="AJ30" i="220"/>
  <c r="AI30" i="220"/>
  <c r="AH30" i="220"/>
  <c r="AG30" i="220"/>
  <c r="U30" i="220"/>
  <c r="T30" i="220"/>
  <c r="R30" i="220"/>
  <c r="Q30" i="220"/>
  <c r="P30" i="220"/>
  <c r="N30" i="220"/>
  <c r="M30" i="220"/>
  <c r="AK13" i="220" s="1"/>
  <c r="E30" i="220"/>
  <c r="AF13" i="220" s="1"/>
  <c r="AJ29" i="220"/>
  <c r="AI29" i="220"/>
  <c r="AH29" i="220"/>
  <c r="AG29" i="220"/>
  <c r="U29" i="220"/>
  <c r="T29" i="220"/>
  <c r="R29" i="220"/>
  <c r="Q29" i="220"/>
  <c r="P29" i="220"/>
  <c r="N29" i="220"/>
  <c r="E29" i="220"/>
  <c r="AF21" i="220" s="1"/>
  <c r="AJ28" i="220"/>
  <c r="AI28" i="220"/>
  <c r="AH28" i="220"/>
  <c r="AG28" i="220"/>
  <c r="U28" i="220"/>
  <c r="T28" i="220"/>
  <c r="R28" i="220"/>
  <c r="Q28" i="220"/>
  <c r="P28" i="220"/>
  <c r="N28" i="220"/>
  <c r="E28" i="220"/>
  <c r="AF31" i="220" s="1"/>
  <c r="AJ27" i="220"/>
  <c r="AI27" i="220"/>
  <c r="AH27" i="220"/>
  <c r="AG27" i="220"/>
  <c r="U27" i="220"/>
  <c r="T27" i="220"/>
  <c r="R27" i="220"/>
  <c r="Q27" i="220"/>
  <c r="P27" i="220"/>
  <c r="N27" i="220"/>
  <c r="E27" i="220"/>
  <c r="AF12" i="220" s="1"/>
  <c r="AJ26" i="220"/>
  <c r="AI26" i="220"/>
  <c r="AH26" i="220"/>
  <c r="AG26" i="220"/>
  <c r="U26" i="220"/>
  <c r="T26" i="220"/>
  <c r="R26" i="220"/>
  <c r="M26" i="220" s="1"/>
  <c r="AK30" i="220" s="1"/>
  <c r="Q26" i="220"/>
  <c r="P26" i="220"/>
  <c r="N26" i="220"/>
  <c r="E26" i="220"/>
  <c r="AF30" i="220" s="1"/>
  <c r="AJ25" i="220"/>
  <c r="AI25" i="220"/>
  <c r="AH25" i="220"/>
  <c r="AG25" i="220"/>
  <c r="U25" i="220"/>
  <c r="T25" i="220"/>
  <c r="R25" i="220"/>
  <c r="Q25" i="220"/>
  <c r="P25" i="220"/>
  <c r="N25" i="220"/>
  <c r="E25" i="220"/>
  <c r="AF20" i="220" s="1"/>
  <c r="AJ24" i="220"/>
  <c r="AI24" i="220"/>
  <c r="AH24" i="220"/>
  <c r="AG24" i="220"/>
  <c r="U24" i="220"/>
  <c r="T24" i="220"/>
  <c r="R24" i="220"/>
  <c r="Q24" i="220"/>
  <c r="P24" i="220"/>
  <c r="N24" i="220"/>
  <c r="E24" i="220"/>
  <c r="AF11" i="220" s="1"/>
  <c r="AJ23" i="220"/>
  <c r="AI23" i="220"/>
  <c r="AH23" i="220"/>
  <c r="AG23" i="220"/>
  <c r="U23" i="220"/>
  <c r="T23" i="220"/>
  <c r="R23" i="220"/>
  <c r="Q23" i="220"/>
  <c r="P23" i="220"/>
  <c r="N23" i="220"/>
  <c r="E23" i="220"/>
  <c r="AF10" i="220" s="1"/>
  <c r="AJ22" i="220"/>
  <c r="AI22" i="220"/>
  <c r="AH22" i="220"/>
  <c r="AG22" i="220"/>
  <c r="AF22" i="220"/>
  <c r="U22" i="220"/>
  <c r="T22" i="220"/>
  <c r="R22" i="220"/>
  <c r="Q22" i="220"/>
  <c r="P22" i="220"/>
  <c r="N22" i="220"/>
  <c r="E22" i="220"/>
  <c r="AF9" i="220" s="1"/>
  <c r="AJ21" i="220"/>
  <c r="AI21" i="220"/>
  <c r="AH21" i="220"/>
  <c r="AG21" i="220"/>
  <c r="U21" i="220"/>
  <c r="T21" i="220"/>
  <c r="R21" i="220"/>
  <c r="Q21" i="220"/>
  <c r="P21" i="220"/>
  <c r="N21" i="220"/>
  <c r="E21" i="220"/>
  <c r="AF29" i="220" s="1"/>
  <c r="AJ20" i="220"/>
  <c r="AI20" i="220"/>
  <c r="AH20" i="220"/>
  <c r="AG20" i="220"/>
  <c r="U20" i="220"/>
  <c r="T20" i="220"/>
  <c r="R20" i="220"/>
  <c r="Q20" i="220"/>
  <c r="P20" i="220"/>
  <c r="N20" i="220"/>
  <c r="E20" i="220"/>
  <c r="AF19" i="220" s="1"/>
  <c r="AJ19" i="220"/>
  <c r="AI19" i="220"/>
  <c r="AH19" i="220"/>
  <c r="AG19" i="220"/>
  <c r="U19" i="220"/>
  <c r="T19" i="220"/>
  <c r="R19" i="220"/>
  <c r="Q19" i="220"/>
  <c r="P19" i="220"/>
  <c r="N19" i="220"/>
  <c r="E19" i="220"/>
  <c r="AF28" i="220" s="1"/>
  <c r="AJ18" i="220"/>
  <c r="AI18" i="220"/>
  <c r="AH18" i="220"/>
  <c r="AG18" i="220"/>
  <c r="U18" i="220"/>
  <c r="T18" i="220"/>
  <c r="R18" i="220"/>
  <c r="Q18" i="220"/>
  <c r="M18" i="220" s="1"/>
  <c r="AK8" i="220" s="1"/>
  <c r="P18" i="220"/>
  <c r="N18" i="220"/>
  <c r="E18" i="220"/>
  <c r="AF8" i="220" s="1"/>
  <c r="AJ17" i="220"/>
  <c r="AI17" i="220"/>
  <c r="AH17" i="220"/>
  <c r="AG17" i="220"/>
  <c r="U17" i="220"/>
  <c r="T17" i="220"/>
  <c r="R17" i="220"/>
  <c r="Q17" i="220"/>
  <c r="M17" i="220" s="1"/>
  <c r="AK27" i="220" s="1"/>
  <c r="P17" i="220"/>
  <c r="N17" i="220"/>
  <c r="E17" i="220"/>
  <c r="AJ16" i="220"/>
  <c r="AI16" i="220"/>
  <c r="AH16" i="220"/>
  <c r="AG16" i="220"/>
  <c r="U16" i="220"/>
  <c r="T16" i="220"/>
  <c r="R16" i="220"/>
  <c r="Q16" i="220"/>
  <c r="P16" i="220"/>
  <c r="N16" i="220"/>
  <c r="E16" i="220"/>
  <c r="AF26" i="220" s="1"/>
  <c r="AJ15" i="220"/>
  <c r="AI15" i="220"/>
  <c r="AH15" i="220"/>
  <c r="AG15" i="220"/>
  <c r="U15" i="220"/>
  <c r="T15" i="220"/>
  <c r="R15" i="220"/>
  <c r="Q15" i="220"/>
  <c r="P15" i="220"/>
  <c r="N15" i="220"/>
  <c r="E15" i="220"/>
  <c r="AF18" i="220" s="1"/>
  <c r="AJ14" i="220"/>
  <c r="AI14" i="220"/>
  <c r="AH14" i="220"/>
  <c r="AG14" i="220"/>
  <c r="U14" i="220"/>
  <c r="T14" i="220"/>
  <c r="R14" i="220"/>
  <c r="Q14" i="220"/>
  <c r="P14" i="220"/>
  <c r="N14" i="220"/>
  <c r="E14" i="220"/>
  <c r="AF17" i="220" s="1"/>
  <c r="AJ13" i="220"/>
  <c r="AI13" i="220"/>
  <c r="AH13" i="220"/>
  <c r="AG13" i="220"/>
  <c r="U13" i="220"/>
  <c r="T13" i="220"/>
  <c r="R13" i="220"/>
  <c r="M13" i="220" s="1"/>
  <c r="AK16" i="220" s="1"/>
  <c r="Q13" i="220"/>
  <c r="P13" i="220"/>
  <c r="N13" i="220"/>
  <c r="E13" i="220"/>
  <c r="AF16" i="220" s="1"/>
  <c r="AJ12" i="220"/>
  <c r="AI12" i="220"/>
  <c r="AH12" i="220"/>
  <c r="AG12" i="220"/>
  <c r="U12" i="220"/>
  <c r="T12" i="220"/>
  <c r="R12" i="220"/>
  <c r="Q12" i="220"/>
  <c r="M12" i="220" s="1"/>
  <c r="AK7" i="220" s="1"/>
  <c r="P12" i="220"/>
  <c r="N12" i="220"/>
  <c r="E12" i="220"/>
  <c r="AF7" i="220" s="1"/>
  <c r="AJ11" i="220"/>
  <c r="AI11" i="220"/>
  <c r="AH11" i="220"/>
  <c r="AG11" i="220"/>
  <c r="U11" i="220"/>
  <c r="T11" i="220"/>
  <c r="R11" i="220"/>
  <c r="Q11" i="220"/>
  <c r="P11" i="220"/>
  <c r="N11" i="220"/>
  <c r="E11" i="220"/>
  <c r="AF25" i="220" s="1"/>
  <c r="AJ10" i="220"/>
  <c r="AI10" i="220"/>
  <c r="AH10" i="220"/>
  <c r="AG10" i="220"/>
  <c r="U10" i="220"/>
  <c r="T10" i="220"/>
  <c r="R10" i="220"/>
  <c r="Q10" i="220"/>
  <c r="P10" i="220"/>
  <c r="N10" i="220"/>
  <c r="E10" i="220"/>
  <c r="AF6" i="220" s="1"/>
  <c r="AJ9" i="220"/>
  <c r="AI9" i="220"/>
  <c r="AH9" i="220"/>
  <c r="AG9" i="220"/>
  <c r="U9" i="220"/>
  <c r="T9" i="220"/>
  <c r="R9" i="220"/>
  <c r="Q9" i="220"/>
  <c r="P9" i="220"/>
  <c r="N9" i="220"/>
  <c r="E9" i="220"/>
  <c r="AJ8" i="220"/>
  <c r="AI8" i="220"/>
  <c r="AH8" i="220"/>
  <c r="AG8" i="220"/>
  <c r="U8" i="220"/>
  <c r="T8" i="220"/>
  <c r="R8" i="220"/>
  <c r="Q8" i="220"/>
  <c r="M8" i="220" s="1"/>
  <c r="AK24" i="220" s="1"/>
  <c r="P8" i="220"/>
  <c r="N8" i="220"/>
  <c r="E8" i="220"/>
  <c r="AF24" i="220" s="1"/>
  <c r="AJ7" i="220"/>
  <c r="AI7" i="220"/>
  <c r="AH7" i="220"/>
  <c r="AG7" i="220"/>
  <c r="U7" i="220"/>
  <c r="T7" i="220"/>
  <c r="R7" i="220"/>
  <c r="Q7" i="220"/>
  <c r="P7" i="220"/>
  <c r="N7" i="220"/>
  <c r="E7" i="220"/>
  <c r="AF23" i="220" s="1"/>
  <c r="AJ6" i="220"/>
  <c r="AI6" i="220"/>
  <c r="AH6" i="220"/>
  <c r="U6" i="220"/>
  <c r="T6" i="220"/>
  <c r="R6" i="220"/>
  <c r="Q6" i="220"/>
  <c r="P6" i="220"/>
  <c r="N6" i="220"/>
  <c r="E6" i="220"/>
  <c r="AF14" i="220" s="1"/>
  <c r="T46" i="219"/>
  <c r="R46" i="219"/>
  <c r="Q46" i="219"/>
  <c r="P46" i="219"/>
  <c r="N46" i="219"/>
  <c r="T45" i="219"/>
  <c r="R45" i="219"/>
  <c r="Q45" i="219"/>
  <c r="P45" i="219"/>
  <c r="N45" i="219"/>
  <c r="T44" i="219"/>
  <c r="R44" i="219"/>
  <c r="Q44" i="219"/>
  <c r="P44" i="219"/>
  <c r="N44" i="219"/>
  <c r="AJ31" i="219"/>
  <c r="AI31" i="219"/>
  <c r="AH31" i="219"/>
  <c r="AG31" i="219"/>
  <c r="U31" i="219"/>
  <c r="T31" i="219"/>
  <c r="R31" i="219"/>
  <c r="Q31" i="219"/>
  <c r="P31" i="219"/>
  <c r="N31" i="219"/>
  <c r="E31" i="219"/>
  <c r="AF22" i="219" s="1"/>
  <c r="AJ30" i="219"/>
  <c r="AI30" i="219"/>
  <c r="AH30" i="219"/>
  <c r="AG30" i="219"/>
  <c r="U30" i="219"/>
  <c r="T30" i="219"/>
  <c r="R30" i="219"/>
  <c r="Q30" i="219"/>
  <c r="P30" i="219"/>
  <c r="N30" i="219"/>
  <c r="E30" i="219"/>
  <c r="AF13" i="219" s="1"/>
  <c r="AJ29" i="219"/>
  <c r="AI29" i="219"/>
  <c r="AH29" i="219"/>
  <c r="AG29" i="219"/>
  <c r="U29" i="219"/>
  <c r="T29" i="219"/>
  <c r="R29" i="219"/>
  <c r="Q29" i="219"/>
  <c r="P29" i="219"/>
  <c r="N29" i="219"/>
  <c r="E29" i="219"/>
  <c r="AF21" i="219" s="1"/>
  <c r="AJ28" i="219"/>
  <c r="AI28" i="219"/>
  <c r="AH28" i="219"/>
  <c r="AG28" i="219"/>
  <c r="U28" i="219"/>
  <c r="T28" i="219"/>
  <c r="R28" i="219"/>
  <c r="Q28" i="219"/>
  <c r="P28" i="219"/>
  <c r="N28" i="219"/>
  <c r="E28" i="219"/>
  <c r="AF31" i="219" s="1"/>
  <c r="AJ27" i="219"/>
  <c r="AI27" i="219"/>
  <c r="AH27" i="219"/>
  <c r="AG27" i="219"/>
  <c r="U27" i="219"/>
  <c r="T27" i="219"/>
  <c r="R27" i="219"/>
  <c r="Q27" i="219"/>
  <c r="P27" i="219"/>
  <c r="N27" i="219"/>
  <c r="E27" i="219"/>
  <c r="AF12" i="219" s="1"/>
  <c r="AJ26" i="219"/>
  <c r="AI26" i="219"/>
  <c r="AH26" i="219"/>
  <c r="AG26" i="219"/>
  <c r="U26" i="219"/>
  <c r="T26" i="219"/>
  <c r="R26" i="219"/>
  <c r="Q26" i="219"/>
  <c r="P26" i="219"/>
  <c r="N26" i="219"/>
  <c r="E26" i="219"/>
  <c r="AF30" i="219" s="1"/>
  <c r="AJ25" i="219"/>
  <c r="AI25" i="219"/>
  <c r="AH25" i="219"/>
  <c r="AG25" i="219"/>
  <c r="U25" i="219"/>
  <c r="T25" i="219"/>
  <c r="R25" i="219"/>
  <c r="Q25" i="219"/>
  <c r="P25" i="219"/>
  <c r="N25" i="219"/>
  <c r="E25" i="219"/>
  <c r="AF20" i="219" s="1"/>
  <c r="AJ24" i="219"/>
  <c r="AI24" i="219"/>
  <c r="AH24" i="219"/>
  <c r="AG24" i="219"/>
  <c r="U24" i="219"/>
  <c r="T24" i="219"/>
  <c r="R24" i="219"/>
  <c r="Q24" i="219"/>
  <c r="P24" i="219"/>
  <c r="N24" i="219"/>
  <c r="E24" i="219"/>
  <c r="AF11" i="219" s="1"/>
  <c r="AJ23" i="219"/>
  <c r="AI23" i="219"/>
  <c r="AH23" i="219"/>
  <c r="AG23" i="219"/>
  <c r="U23" i="219"/>
  <c r="T23" i="219"/>
  <c r="R23" i="219"/>
  <c r="Q23" i="219"/>
  <c r="P23" i="219"/>
  <c r="N23" i="219"/>
  <c r="E23" i="219"/>
  <c r="AF10" i="219" s="1"/>
  <c r="AJ22" i="219"/>
  <c r="AI22" i="219"/>
  <c r="AH22" i="219"/>
  <c r="AG22" i="219"/>
  <c r="U22" i="219"/>
  <c r="T22" i="219"/>
  <c r="R22" i="219"/>
  <c r="Q22" i="219"/>
  <c r="P22" i="219"/>
  <c r="N22" i="219"/>
  <c r="E22" i="219"/>
  <c r="AF9" i="219" s="1"/>
  <c r="AJ21" i="219"/>
  <c r="AI21" i="219"/>
  <c r="AH21" i="219"/>
  <c r="AG21" i="219"/>
  <c r="U21" i="219"/>
  <c r="T21" i="219"/>
  <c r="R21" i="219"/>
  <c r="Q21" i="219"/>
  <c r="P21" i="219"/>
  <c r="N21" i="219"/>
  <c r="E21" i="219"/>
  <c r="AF29" i="219" s="1"/>
  <c r="AJ20" i="219"/>
  <c r="AI20" i="219"/>
  <c r="AH20" i="219"/>
  <c r="AG20" i="219"/>
  <c r="U20" i="219"/>
  <c r="T20" i="219"/>
  <c r="R20" i="219"/>
  <c r="Q20" i="219"/>
  <c r="P20" i="219"/>
  <c r="N20" i="219"/>
  <c r="E20" i="219"/>
  <c r="AF19" i="219" s="1"/>
  <c r="AJ19" i="219"/>
  <c r="AI19" i="219"/>
  <c r="AH19" i="219"/>
  <c r="AG19" i="219"/>
  <c r="U19" i="219"/>
  <c r="T19" i="219"/>
  <c r="R19" i="219"/>
  <c r="Q19" i="219"/>
  <c r="P19" i="219"/>
  <c r="N19" i="219"/>
  <c r="E19" i="219"/>
  <c r="AF28" i="219" s="1"/>
  <c r="AJ18" i="219"/>
  <c r="AI18" i="219"/>
  <c r="AH18" i="219"/>
  <c r="AG18" i="219"/>
  <c r="U18" i="219"/>
  <c r="T18" i="219"/>
  <c r="R18" i="219"/>
  <c r="Q18" i="219"/>
  <c r="M18" i="219" s="1"/>
  <c r="AK8" i="219" s="1"/>
  <c r="P18" i="219"/>
  <c r="N18" i="219"/>
  <c r="E18" i="219"/>
  <c r="AJ17" i="219"/>
  <c r="AI17" i="219"/>
  <c r="AH17" i="219"/>
  <c r="AG17" i="219"/>
  <c r="U17" i="219"/>
  <c r="T17" i="219"/>
  <c r="R17" i="219"/>
  <c r="Q17" i="219"/>
  <c r="P17" i="219"/>
  <c r="N17" i="219"/>
  <c r="E17" i="219"/>
  <c r="AF27" i="219" s="1"/>
  <c r="AJ16" i="219"/>
  <c r="AI16" i="219"/>
  <c r="AH16" i="219"/>
  <c r="AG16" i="219"/>
  <c r="U16" i="219"/>
  <c r="T16" i="219"/>
  <c r="R16" i="219"/>
  <c r="Q16" i="219"/>
  <c r="M16" i="219" s="1"/>
  <c r="AK26" i="219" s="1"/>
  <c r="P16" i="219"/>
  <c r="N16" i="219"/>
  <c r="E16" i="219"/>
  <c r="AF26" i="219" s="1"/>
  <c r="AJ15" i="219"/>
  <c r="AI15" i="219"/>
  <c r="AH15" i="219"/>
  <c r="AG15" i="219"/>
  <c r="U15" i="219"/>
  <c r="T15" i="219"/>
  <c r="R15" i="219"/>
  <c r="Q15" i="219"/>
  <c r="P15" i="219"/>
  <c r="N15" i="219"/>
  <c r="E15" i="219"/>
  <c r="AF18" i="219" s="1"/>
  <c r="AJ14" i="219"/>
  <c r="AI14" i="219"/>
  <c r="AH14" i="219"/>
  <c r="AG14" i="219"/>
  <c r="U14" i="219"/>
  <c r="T14" i="219"/>
  <c r="R14" i="219"/>
  <c r="Q14" i="219"/>
  <c r="P14" i="219"/>
  <c r="N14" i="219"/>
  <c r="E14" i="219"/>
  <c r="AF17" i="219" s="1"/>
  <c r="AJ13" i="219"/>
  <c r="AI13" i="219"/>
  <c r="AH13" i="219"/>
  <c r="AG13" i="219"/>
  <c r="U13" i="219"/>
  <c r="T13" i="219"/>
  <c r="R13" i="219"/>
  <c r="Q13" i="219"/>
  <c r="P13" i="219"/>
  <c r="N13" i="219"/>
  <c r="E13" i="219"/>
  <c r="AF16" i="219" s="1"/>
  <c r="AJ12" i="219"/>
  <c r="AI12" i="219"/>
  <c r="AH12" i="219"/>
  <c r="AG12" i="219"/>
  <c r="U12" i="219"/>
  <c r="T12" i="219"/>
  <c r="R12" i="219"/>
  <c r="Q12" i="219"/>
  <c r="P12" i="219"/>
  <c r="N12" i="219"/>
  <c r="E12" i="219"/>
  <c r="AF7" i="219" s="1"/>
  <c r="AJ11" i="219"/>
  <c r="AI11" i="219"/>
  <c r="AH11" i="219"/>
  <c r="AG11" i="219"/>
  <c r="U11" i="219"/>
  <c r="T11" i="219"/>
  <c r="R11" i="219"/>
  <c r="Q11" i="219"/>
  <c r="P11" i="219"/>
  <c r="N11" i="219"/>
  <c r="E11" i="219"/>
  <c r="AF25" i="219" s="1"/>
  <c r="AJ10" i="219"/>
  <c r="AI10" i="219"/>
  <c r="AH10" i="219"/>
  <c r="AG10" i="219"/>
  <c r="U10" i="219"/>
  <c r="T10" i="219"/>
  <c r="R10" i="219"/>
  <c r="Q10" i="219"/>
  <c r="P10" i="219"/>
  <c r="N10" i="219"/>
  <c r="E10" i="219"/>
  <c r="AF6" i="219" s="1"/>
  <c r="AJ9" i="219"/>
  <c r="AI9" i="219"/>
  <c r="AH9" i="219"/>
  <c r="AG9" i="219"/>
  <c r="U9" i="219"/>
  <c r="T9" i="219"/>
  <c r="R9" i="219"/>
  <c r="Q9" i="219"/>
  <c r="P9" i="219"/>
  <c r="N9" i="219"/>
  <c r="E9" i="219"/>
  <c r="AF15" i="219" s="1"/>
  <c r="AJ8" i="219"/>
  <c r="AI8" i="219"/>
  <c r="AH8" i="219"/>
  <c r="AG8" i="219"/>
  <c r="AF8" i="219"/>
  <c r="U8" i="219"/>
  <c r="T8" i="219"/>
  <c r="R8" i="219"/>
  <c r="Q8" i="219"/>
  <c r="P8" i="219"/>
  <c r="N8" i="219"/>
  <c r="E8" i="219"/>
  <c r="AF24" i="219" s="1"/>
  <c r="AJ7" i="219"/>
  <c r="AI7" i="219"/>
  <c r="AH7" i="219"/>
  <c r="AG7" i="219"/>
  <c r="U7" i="219"/>
  <c r="T7" i="219"/>
  <c r="R7" i="219"/>
  <c r="Q7" i="219"/>
  <c r="P7" i="219"/>
  <c r="N7" i="219"/>
  <c r="E7" i="219"/>
  <c r="AJ6" i="219"/>
  <c r="AI6" i="219"/>
  <c r="AH6" i="219"/>
  <c r="AG6" i="219"/>
  <c r="U6" i="219"/>
  <c r="T6" i="219"/>
  <c r="R6" i="219"/>
  <c r="Q6" i="219"/>
  <c r="M6" i="219" s="1"/>
  <c r="AK14" i="219" s="1"/>
  <c r="P6" i="219"/>
  <c r="N6" i="219"/>
  <c r="E6" i="219"/>
  <c r="T46" i="218"/>
  <c r="R46" i="218"/>
  <c r="Q46" i="218"/>
  <c r="P46" i="218"/>
  <c r="N46" i="218"/>
  <c r="T45" i="218"/>
  <c r="R45" i="218"/>
  <c r="Q45" i="218"/>
  <c r="M45" i="218" s="1"/>
  <c r="P45" i="218"/>
  <c r="N45" i="218"/>
  <c r="T44" i="218"/>
  <c r="R44" i="218"/>
  <c r="Q44" i="218"/>
  <c r="P44" i="218"/>
  <c r="N44" i="218"/>
  <c r="AJ31" i="218"/>
  <c r="AI31" i="218"/>
  <c r="AH31" i="218"/>
  <c r="AG31" i="218"/>
  <c r="U31" i="218"/>
  <c r="T31" i="218"/>
  <c r="R31" i="218"/>
  <c r="Q31" i="218"/>
  <c r="P31" i="218"/>
  <c r="N31" i="218"/>
  <c r="E31" i="218"/>
  <c r="AF22" i="218" s="1"/>
  <c r="AJ30" i="218"/>
  <c r="AI30" i="218"/>
  <c r="AH30" i="218"/>
  <c r="AG30" i="218"/>
  <c r="U30" i="218"/>
  <c r="T30" i="218"/>
  <c r="R30" i="218"/>
  <c r="Q30" i="218"/>
  <c r="M30" i="218" s="1"/>
  <c r="AK13" i="218" s="1"/>
  <c r="P30" i="218"/>
  <c r="N30" i="218"/>
  <c r="E30" i="218"/>
  <c r="AF13" i="218" s="1"/>
  <c r="AJ29" i="218"/>
  <c r="AI29" i="218"/>
  <c r="AH29" i="218"/>
  <c r="AG29" i="218"/>
  <c r="U29" i="218"/>
  <c r="T29" i="218"/>
  <c r="R29" i="218"/>
  <c r="Q29" i="218"/>
  <c r="M29" i="218" s="1"/>
  <c r="AK21" i="218" s="1"/>
  <c r="P29" i="218"/>
  <c r="N29" i="218"/>
  <c r="E29" i="218"/>
  <c r="AF21" i="218" s="1"/>
  <c r="AJ28" i="218"/>
  <c r="AI28" i="218"/>
  <c r="AH28" i="218"/>
  <c r="AG28" i="218"/>
  <c r="U28" i="218"/>
  <c r="T28" i="218"/>
  <c r="R28" i="218"/>
  <c r="Q28" i="218"/>
  <c r="M28" i="218" s="1"/>
  <c r="AK31" i="218" s="1"/>
  <c r="P28" i="218"/>
  <c r="N28" i="218"/>
  <c r="E28" i="218"/>
  <c r="AF31" i="218" s="1"/>
  <c r="AJ27" i="218"/>
  <c r="AI27" i="218"/>
  <c r="AH27" i="218"/>
  <c r="AG27" i="218"/>
  <c r="U27" i="218"/>
  <c r="T27" i="218"/>
  <c r="R27" i="218"/>
  <c r="Q27" i="218"/>
  <c r="P27" i="218"/>
  <c r="N27" i="218"/>
  <c r="E27" i="218"/>
  <c r="AF12" i="218" s="1"/>
  <c r="AJ26" i="218"/>
  <c r="AI26" i="218"/>
  <c r="AH26" i="218"/>
  <c r="AG26" i="218"/>
  <c r="U26" i="218"/>
  <c r="T26" i="218"/>
  <c r="R26" i="218"/>
  <c r="Q26" i="218"/>
  <c r="P26" i="218"/>
  <c r="N26" i="218"/>
  <c r="E26" i="218"/>
  <c r="AF30" i="218" s="1"/>
  <c r="AJ25" i="218"/>
  <c r="AI25" i="218"/>
  <c r="AH25" i="218"/>
  <c r="AG25" i="218"/>
  <c r="U25" i="218"/>
  <c r="T25" i="218"/>
  <c r="R25" i="218"/>
  <c r="Q25" i="218"/>
  <c r="P25" i="218"/>
  <c r="N25" i="218"/>
  <c r="E25" i="218"/>
  <c r="AF20" i="218" s="1"/>
  <c r="AJ24" i="218"/>
  <c r="AI24" i="218"/>
  <c r="AH24" i="218"/>
  <c r="AG24" i="218"/>
  <c r="U24" i="218"/>
  <c r="T24" i="218"/>
  <c r="R24" i="218"/>
  <c r="Q24" i="218"/>
  <c r="P24" i="218"/>
  <c r="N24" i="218"/>
  <c r="E24" i="218"/>
  <c r="AJ23" i="218"/>
  <c r="AI23" i="218"/>
  <c r="AH23" i="218"/>
  <c r="AG23" i="218"/>
  <c r="U23" i="218"/>
  <c r="T23" i="218"/>
  <c r="R23" i="218"/>
  <c r="M23" i="218" s="1"/>
  <c r="AK10" i="218" s="1"/>
  <c r="Q23" i="218"/>
  <c r="P23" i="218"/>
  <c r="N23" i="218"/>
  <c r="E23" i="218"/>
  <c r="AF10" i="218" s="1"/>
  <c r="AJ22" i="218"/>
  <c r="AI22" i="218"/>
  <c r="AH22" i="218"/>
  <c r="AG22" i="218"/>
  <c r="U22" i="218"/>
  <c r="T22" i="218"/>
  <c r="R22" i="218"/>
  <c r="Q22" i="218"/>
  <c r="M22" i="218" s="1"/>
  <c r="AK9" i="218" s="1"/>
  <c r="P22" i="218"/>
  <c r="N22" i="218"/>
  <c r="E22" i="218"/>
  <c r="AF9" i="218" s="1"/>
  <c r="AJ21" i="218"/>
  <c r="AI21" i="218"/>
  <c r="AH21" i="218"/>
  <c r="AG21" i="218"/>
  <c r="U21" i="218"/>
  <c r="T21" i="218"/>
  <c r="R21" i="218"/>
  <c r="Q21" i="218"/>
  <c r="M21" i="218" s="1"/>
  <c r="AK29" i="218" s="1"/>
  <c r="P21" i="218"/>
  <c r="N21" i="218"/>
  <c r="E21" i="218"/>
  <c r="AF29" i="218" s="1"/>
  <c r="AJ20" i="218"/>
  <c r="AI20" i="218"/>
  <c r="AH20" i="218"/>
  <c r="AG20" i="218"/>
  <c r="U20" i="218"/>
  <c r="T20" i="218"/>
  <c r="R20" i="218"/>
  <c r="Q20" i="218"/>
  <c r="P20" i="218"/>
  <c r="N20" i="218"/>
  <c r="E20" i="218"/>
  <c r="AF19" i="218" s="1"/>
  <c r="AJ19" i="218"/>
  <c r="AI19" i="218"/>
  <c r="AH19" i="218"/>
  <c r="AG19" i="218"/>
  <c r="U19" i="218"/>
  <c r="T19" i="218"/>
  <c r="R19" i="218"/>
  <c r="Q19" i="218"/>
  <c r="M19" i="218" s="1"/>
  <c r="AK28" i="218" s="1"/>
  <c r="P19" i="218"/>
  <c r="N19" i="218"/>
  <c r="E19" i="218"/>
  <c r="AF28" i="218" s="1"/>
  <c r="AJ18" i="218"/>
  <c r="AI18" i="218"/>
  <c r="AH18" i="218"/>
  <c r="AG18" i="218"/>
  <c r="U18" i="218"/>
  <c r="T18" i="218"/>
  <c r="R18" i="218"/>
  <c r="Q18" i="218"/>
  <c r="P18" i="218"/>
  <c r="N18" i="218"/>
  <c r="E18" i="218"/>
  <c r="AF8" i="218" s="1"/>
  <c r="AJ17" i="218"/>
  <c r="AI17" i="218"/>
  <c r="AH17" i="218"/>
  <c r="AG17" i="218"/>
  <c r="U17" i="218"/>
  <c r="T17" i="218"/>
  <c r="R17" i="218"/>
  <c r="Q17" i="218"/>
  <c r="M17" i="218" s="1"/>
  <c r="AK27" i="218" s="1"/>
  <c r="P17" i="218"/>
  <c r="N17" i="218"/>
  <c r="E17" i="218"/>
  <c r="AF27" i="218" s="1"/>
  <c r="AJ16" i="218"/>
  <c r="AI16" i="218"/>
  <c r="AH16" i="218"/>
  <c r="AG16" i="218"/>
  <c r="U16" i="218"/>
  <c r="T16" i="218"/>
  <c r="R16" i="218"/>
  <c r="Q16" i="218"/>
  <c r="P16" i="218"/>
  <c r="N16" i="218"/>
  <c r="E16" i="218"/>
  <c r="AF26" i="218" s="1"/>
  <c r="AJ15" i="218"/>
  <c r="AI15" i="218"/>
  <c r="AH15" i="218"/>
  <c r="AG15" i="218"/>
  <c r="U15" i="218"/>
  <c r="T15" i="218"/>
  <c r="R15" i="218"/>
  <c r="Q15" i="218"/>
  <c r="P15" i="218"/>
  <c r="N15" i="218"/>
  <c r="E15" i="218"/>
  <c r="AF18" i="218" s="1"/>
  <c r="AJ14" i="218"/>
  <c r="AI14" i="218"/>
  <c r="AH14" i="218"/>
  <c r="AG14" i="218"/>
  <c r="U14" i="218"/>
  <c r="T14" i="218"/>
  <c r="R14" i="218"/>
  <c r="M14" i="218" s="1"/>
  <c r="AK17" i="218" s="1"/>
  <c r="Q14" i="218"/>
  <c r="P14" i="218"/>
  <c r="N14" i="218"/>
  <c r="E14" i="218"/>
  <c r="AF17" i="218" s="1"/>
  <c r="AJ13" i="218"/>
  <c r="AI13" i="218"/>
  <c r="AH13" i="218"/>
  <c r="AG13" i="218"/>
  <c r="U13" i="218"/>
  <c r="T13" i="218"/>
  <c r="R13" i="218"/>
  <c r="Q13" i="218"/>
  <c r="P13" i="218"/>
  <c r="N13" i="218"/>
  <c r="E13" i="218"/>
  <c r="AF16" i="218" s="1"/>
  <c r="AJ12" i="218"/>
  <c r="AI12" i="218"/>
  <c r="AH12" i="218"/>
  <c r="AG12" i="218"/>
  <c r="U12" i="218"/>
  <c r="T12" i="218"/>
  <c r="R12" i="218"/>
  <c r="Q12" i="218"/>
  <c r="P12" i="218"/>
  <c r="N12" i="218"/>
  <c r="E12" i="218"/>
  <c r="AF7" i="218" s="1"/>
  <c r="AJ11" i="218"/>
  <c r="AI11" i="218"/>
  <c r="AH11" i="218"/>
  <c r="AG11" i="218"/>
  <c r="AF11" i="218"/>
  <c r="U11" i="218"/>
  <c r="T11" i="218"/>
  <c r="R11" i="218"/>
  <c r="Q11" i="218"/>
  <c r="M11" i="218" s="1"/>
  <c r="AK25" i="218" s="1"/>
  <c r="P11" i="218"/>
  <c r="N11" i="218"/>
  <c r="E11" i="218"/>
  <c r="AF25" i="218" s="1"/>
  <c r="AJ10" i="218"/>
  <c r="AI10" i="218"/>
  <c r="AH10" i="218"/>
  <c r="AG10" i="218"/>
  <c r="U10" i="218"/>
  <c r="T10" i="218"/>
  <c r="R10" i="218"/>
  <c r="Q10" i="218"/>
  <c r="M10" i="218" s="1"/>
  <c r="P10" i="218"/>
  <c r="N10" i="218"/>
  <c r="E10" i="218"/>
  <c r="AF6" i="218" s="1"/>
  <c r="AJ9" i="218"/>
  <c r="AI9" i="218"/>
  <c r="AH9" i="218"/>
  <c r="AG9" i="218"/>
  <c r="U9" i="218"/>
  <c r="T9" i="218"/>
  <c r="R9" i="218"/>
  <c r="Q9" i="218"/>
  <c r="P9" i="218"/>
  <c r="N9" i="218"/>
  <c r="E9" i="218"/>
  <c r="AF15" i="218" s="1"/>
  <c r="AJ8" i="218"/>
  <c r="AI8" i="218"/>
  <c r="AH8" i="218"/>
  <c r="AG8" i="218"/>
  <c r="U8" i="218"/>
  <c r="T8" i="218"/>
  <c r="R8" i="218"/>
  <c r="Q8" i="218"/>
  <c r="P8" i="218"/>
  <c r="N8" i="218"/>
  <c r="E8" i="218"/>
  <c r="AF24" i="218" s="1"/>
  <c r="AJ7" i="218"/>
  <c r="AI7" i="218"/>
  <c r="AH7" i="218"/>
  <c r="AG7" i="218"/>
  <c r="U7" i="218"/>
  <c r="T7" i="218"/>
  <c r="R7" i="218"/>
  <c r="Q7" i="218"/>
  <c r="P7" i="218"/>
  <c r="N7" i="218"/>
  <c r="E7" i="218"/>
  <c r="AF23" i="218" s="1"/>
  <c r="AJ6" i="218"/>
  <c r="AI6" i="218"/>
  <c r="AH6" i="218"/>
  <c r="AG6" i="218"/>
  <c r="U6" i="218"/>
  <c r="T6" i="218"/>
  <c r="R6" i="218"/>
  <c r="Q6" i="218"/>
  <c r="P6" i="218"/>
  <c r="N6" i="218"/>
  <c r="E6" i="218"/>
  <c r="T46" i="217"/>
  <c r="R46" i="217"/>
  <c r="Q46" i="217"/>
  <c r="M46" i="217" s="1"/>
  <c r="P46" i="217"/>
  <c r="N46" i="217"/>
  <c r="T45" i="217"/>
  <c r="R45" i="217"/>
  <c r="Q45" i="217"/>
  <c r="P45" i="217"/>
  <c r="N45" i="217"/>
  <c r="T44" i="217"/>
  <c r="R44" i="217"/>
  <c r="Q44" i="217"/>
  <c r="M44" i="217" s="1"/>
  <c r="P44" i="217"/>
  <c r="N44" i="217"/>
  <c r="AJ31" i="217"/>
  <c r="AI31" i="217"/>
  <c r="AH31" i="217"/>
  <c r="AG31" i="217"/>
  <c r="U31" i="217"/>
  <c r="T31" i="217"/>
  <c r="R31" i="217"/>
  <c r="Q31" i="217"/>
  <c r="P31" i="217"/>
  <c r="N31" i="217"/>
  <c r="E31" i="217"/>
  <c r="AF22" i="217" s="1"/>
  <c r="AJ30" i="217"/>
  <c r="AI30" i="217"/>
  <c r="AH30" i="217"/>
  <c r="AG30" i="217"/>
  <c r="U30" i="217"/>
  <c r="T30" i="217"/>
  <c r="R30" i="217"/>
  <c r="Q30" i="217"/>
  <c r="P30" i="217"/>
  <c r="N30" i="217"/>
  <c r="E30" i="217"/>
  <c r="AF13" i="217" s="1"/>
  <c r="AJ29" i="217"/>
  <c r="AI29" i="217"/>
  <c r="AH29" i="217"/>
  <c r="AG29" i="217"/>
  <c r="U29" i="217"/>
  <c r="T29" i="217"/>
  <c r="R29" i="217"/>
  <c r="Q29" i="217"/>
  <c r="M29" i="217" s="1"/>
  <c r="AK21" i="217" s="1"/>
  <c r="P29" i="217"/>
  <c r="N29" i="217"/>
  <c r="E29" i="217"/>
  <c r="AF21" i="217" s="1"/>
  <c r="AJ28" i="217"/>
  <c r="AI28" i="217"/>
  <c r="AH28" i="217"/>
  <c r="AG28" i="217"/>
  <c r="U28" i="217"/>
  <c r="T28" i="217"/>
  <c r="R28" i="217"/>
  <c r="Q28" i="217"/>
  <c r="M28" i="217" s="1"/>
  <c r="AK31" i="217" s="1"/>
  <c r="P28" i="217"/>
  <c r="N28" i="217"/>
  <c r="E28" i="217"/>
  <c r="AF31" i="217" s="1"/>
  <c r="AJ27" i="217"/>
  <c r="AI27" i="217"/>
  <c r="AH27" i="217"/>
  <c r="AG27" i="217"/>
  <c r="U27" i="217"/>
  <c r="T27" i="217"/>
  <c r="R27" i="217"/>
  <c r="Q27" i="217"/>
  <c r="P27" i="217"/>
  <c r="N27" i="217"/>
  <c r="E27" i="217"/>
  <c r="AJ26" i="217"/>
  <c r="AI26" i="217"/>
  <c r="AH26" i="217"/>
  <c r="AG26" i="217"/>
  <c r="U26" i="217"/>
  <c r="T26" i="217"/>
  <c r="R26" i="217"/>
  <c r="M26" i="217" s="1"/>
  <c r="AK30" i="217" s="1"/>
  <c r="Q26" i="217"/>
  <c r="P26" i="217"/>
  <c r="N26" i="217"/>
  <c r="E26" i="217"/>
  <c r="AF30" i="217" s="1"/>
  <c r="AJ25" i="217"/>
  <c r="AI25" i="217"/>
  <c r="AH25" i="217"/>
  <c r="AG25" i="217"/>
  <c r="U25" i="217"/>
  <c r="T25" i="217"/>
  <c r="R25" i="217"/>
  <c r="Q25" i="217"/>
  <c r="P25" i="217"/>
  <c r="N25" i="217"/>
  <c r="E25" i="217"/>
  <c r="AF20" i="217" s="1"/>
  <c r="AJ24" i="217"/>
  <c r="AI24" i="217"/>
  <c r="AH24" i="217"/>
  <c r="AG24" i="217"/>
  <c r="U24" i="217"/>
  <c r="T24" i="217"/>
  <c r="R24" i="217"/>
  <c r="Q24" i="217"/>
  <c r="P24" i="217"/>
  <c r="N24" i="217"/>
  <c r="E24" i="217"/>
  <c r="AF11" i="217" s="1"/>
  <c r="AJ23" i="217"/>
  <c r="AI23" i="217"/>
  <c r="AH23" i="217"/>
  <c r="AG23" i="217"/>
  <c r="U23" i="217"/>
  <c r="T23" i="217"/>
  <c r="R23" i="217"/>
  <c r="Q23" i="217"/>
  <c r="P23" i="217"/>
  <c r="N23" i="217"/>
  <c r="E23" i="217"/>
  <c r="AF10" i="217" s="1"/>
  <c r="AJ22" i="217"/>
  <c r="AI22" i="217"/>
  <c r="AH22" i="217"/>
  <c r="AG22" i="217"/>
  <c r="U22" i="217"/>
  <c r="T22" i="217"/>
  <c r="R22" i="217"/>
  <c r="Q22" i="217"/>
  <c r="P22" i="217"/>
  <c r="N22" i="217"/>
  <c r="E22" i="217"/>
  <c r="AF9" i="217" s="1"/>
  <c r="AJ21" i="217"/>
  <c r="AI21" i="217"/>
  <c r="AH21" i="217"/>
  <c r="AG21" i="217"/>
  <c r="U21" i="217"/>
  <c r="T21" i="217"/>
  <c r="R21" i="217"/>
  <c r="Q21" i="217"/>
  <c r="M21" i="217" s="1"/>
  <c r="AK29" i="217" s="1"/>
  <c r="P21" i="217"/>
  <c r="N21" i="217"/>
  <c r="E21" i="217"/>
  <c r="AF29" i="217" s="1"/>
  <c r="AJ20" i="217"/>
  <c r="AI20" i="217"/>
  <c r="AH20" i="217"/>
  <c r="AG20" i="217"/>
  <c r="U20" i="217"/>
  <c r="T20" i="217"/>
  <c r="R20" i="217"/>
  <c r="Q20" i="217"/>
  <c r="P20" i="217"/>
  <c r="N20" i="217"/>
  <c r="E20" i="217"/>
  <c r="AF19" i="217" s="1"/>
  <c r="AJ19" i="217"/>
  <c r="AI19" i="217"/>
  <c r="AH19" i="217"/>
  <c r="AG19" i="217"/>
  <c r="U19" i="217"/>
  <c r="T19" i="217"/>
  <c r="R19" i="217"/>
  <c r="Q19" i="217"/>
  <c r="P19" i="217"/>
  <c r="N19" i="217"/>
  <c r="E19" i="217"/>
  <c r="AF28" i="217" s="1"/>
  <c r="AJ18" i="217"/>
  <c r="AI18" i="217"/>
  <c r="AH18" i="217"/>
  <c r="AG18" i="217"/>
  <c r="U18" i="217"/>
  <c r="T18" i="217"/>
  <c r="R18" i="217"/>
  <c r="Q18" i="217"/>
  <c r="M18" i="217" s="1"/>
  <c r="AK8" i="217" s="1"/>
  <c r="P18" i="217"/>
  <c r="N18" i="217"/>
  <c r="E18" i="217"/>
  <c r="AF8" i="217" s="1"/>
  <c r="AJ17" i="217"/>
  <c r="AI17" i="217"/>
  <c r="AH17" i="217"/>
  <c r="U17" i="217"/>
  <c r="T17" i="217"/>
  <c r="R17" i="217"/>
  <c r="Q17" i="217"/>
  <c r="P17" i="217"/>
  <c r="N17" i="217"/>
  <c r="E17" i="217"/>
  <c r="AF27" i="217" s="1"/>
  <c r="AJ16" i="217"/>
  <c r="AI16" i="217"/>
  <c r="AG16" i="217"/>
  <c r="U16" i="217"/>
  <c r="T16" i="217"/>
  <c r="R16" i="217"/>
  <c r="Q16" i="217"/>
  <c r="P16" i="217"/>
  <c r="N16" i="217"/>
  <c r="E16" i="217"/>
  <c r="AF26" i="217" s="1"/>
  <c r="AJ15" i="217"/>
  <c r="AI15" i="217"/>
  <c r="AH15" i="217"/>
  <c r="AG15" i="217"/>
  <c r="U15" i="217"/>
  <c r="T15" i="217"/>
  <c r="R15" i="217"/>
  <c r="Q15" i="217"/>
  <c r="P15" i="217"/>
  <c r="N15" i="217"/>
  <c r="E15" i="217"/>
  <c r="AF18" i="217" s="1"/>
  <c r="AJ14" i="217"/>
  <c r="AI14" i="217"/>
  <c r="AH14" i="217"/>
  <c r="AG14" i="217"/>
  <c r="U14" i="217"/>
  <c r="T14" i="217"/>
  <c r="R14" i="217"/>
  <c r="Q14" i="217"/>
  <c r="P14" i="217"/>
  <c r="N14" i="217"/>
  <c r="E14" i="217"/>
  <c r="AF17" i="217" s="1"/>
  <c r="AJ13" i="217"/>
  <c r="AI13" i="217"/>
  <c r="AH13" i="217"/>
  <c r="AG13" i="217"/>
  <c r="U13" i="217"/>
  <c r="T13" i="217"/>
  <c r="R13" i="217"/>
  <c r="Q13" i="217"/>
  <c r="P13" i="217"/>
  <c r="N13" i="217"/>
  <c r="AK16" i="217"/>
  <c r="E13" i="217"/>
  <c r="AF16" i="217" s="1"/>
  <c r="AJ12" i="217"/>
  <c r="AI12" i="217"/>
  <c r="AH12" i="217"/>
  <c r="AG12" i="217"/>
  <c r="AF12" i="217"/>
  <c r="U12" i="217"/>
  <c r="T12" i="217"/>
  <c r="R12" i="217"/>
  <c r="Q12" i="217"/>
  <c r="M12" i="217" s="1"/>
  <c r="AK7" i="217" s="1"/>
  <c r="P12" i="217"/>
  <c r="N12" i="217"/>
  <c r="E12" i="217"/>
  <c r="AF7" i="217" s="1"/>
  <c r="AJ11" i="217"/>
  <c r="AI11" i="217"/>
  <c r="AH11" i="217"/>
  <c r="AG11" i="217"/>
  <c r="U11" i="217"/>
  <c r="T11" i="217"/>
  <c r="R11" i="217"/>
  <c r="Q11" i="217"/>
  <c r="P11" i="217"/>
  <c r="N11" i="217"/>
  <c r="E11" i="217"/>
  <c r="AF25" i="217" s="1"/>
  <c r="AJ10" i="217"/>
  <c r="AI10" i="217"/>
  <c r="AH10" i="217"/>
  <c r="AG10" i="217"/>
  <c r="U10" i="217"/>
  <c r="T10" i="217"/>
  <c r="R10" i="217"/>
  <c r="Q10" i="217"/>
  <c r="P10" i="217"/>
  <c r="N10" i="217"/>
  <c r="M10" i="217"/>
  <c r="AK6" i="217" s="1"/>
  <c r="E10" i="217"/>
  <c r="AJ9" i="217"/>
  <c r="AI9" i="217"/>
  <c r="AH9" i="217"/>
  <c r="AG9" i="217"/>
  <c r="U9" i="217"/>
  <c r="T9" i="217"/>
  <c r="R9" i="217"/>
  <c r="Q9" i="217"/>
  <c r="P9" i="217"/>
  <c r="N9" i="217"/>
  <c r="E9" i="217"/>
  <c r="AF15" i="217" s="1"/>
  <c r="AJ8" i="217"/>
  <c r="AI8" i="217"/>
  <c r="AH8" i="217"/>
  <c r="AG8" i="217"/>
  <c r="U8" i="217"/>
  <c r="T8" i="217"/>
  <c r="R8" i="217"/>
  <c r="Q8" i="217"/>
  <c r="P8" i="217"/>
  <c r="N8" i="217"/>
  <c r="E8" i="217"/>
  <c r="AF24" i="217" s="1"/>
  <c r="AJ7" i="217"/>
  <c r="AI7" i="217"/>
  <c r="AH7" i="217"/>
  <c r="AG7" i="217"/>
  <c r="U7" i="217"/>
  <c r="T7" i="217"/>
  <c r="R7" i="217"/>
  <c r="Q7" i="217"/>
  <c r="P7" i="217"/>
  <c r="N7" i="217"/>
  <c r="E7" i="217"/>
  <c r="AF23" i="217" s="1"/>
  <c r="AJ6" i="217"/>
  <c r="AI6" i="217"/>
  <c r="AH6" i="217"/>
  <c r="AG6" i="217"/>
  <c r="U6" i="217"/>
  <c r="T6" i="217"/>
  <c r="R6" i="217"/>
  <c r="Q6" i="217"/>
  <c r="P6" i="217"/>
  <c r="N6" i="217"/>
  <c r="E6" i="217"/>
  <c r="T46" i="216"/>
  <c r="R46" i="216"/>
  <c r="Q46" i="216"/>
  <c r="P46" i="216"/>
  <c r="N46" i="216"/>
  <c r="T45" i="216"/>
  <c r="R45" i="216"/>
  <c r="Q45" i="216"/>
  <c r="M45" i="216" s="1"/>
  <c r="P45" i="216"/>
  <c r="N45" i="216"/>
  <c r="T44" i="216"/>
  <c r="R44" i="216"/>
  <c r="Q44" i="216"/>
  <c r="P44" i="216"/>
  <c r="N44" i="216"/>
  <c r="M44" i="216"/>
  <c r="AJ31" i="216"/>
  <c r="AI31" i="216"/>
  <c r="AH31" i="216"/>
  <c r="AG31" i="216"/>
  <c r="U31" i="216"/>
  <c r="T31" i="216"/>
  <c r="R31" i="216"/>
  <c r="Q31" i="216"/>
  <c r="P31" i="216"/>
  <c r="N31" i="216"/>
  <c r="E31" i="216"/>
  <c r="AF22" i="216" s="1"/>
  <c r="AJ30" i="216"/>
  <c r="AI30" i="216"/>
  <c r="AH30" i="216"/>
  <c r="AG30" i="216"/>
  <c r="U30" i="216"/>
  <c r="T30" i="216"/>
  <c r="R30" i="216"/>
  <c r="Q30" i="216"/>
  <c r="P30" i="216"/>
  <c r="N30" i="216"/>
  <c r="E30" i="216"/>
  <c r="AF13" i="216" s="1"/>
  <c r="AJ29" i="216"/>
  <c r="AI29" i="216"/>
  <c r="AH29" i="216"/>
  <c r="AG29" i="216"/>
  <c r="U29" i="216"/>
  <c r="T29" i="216"/>
  <c r="R29" i="216"/>
  <c r="Q29" i="216"/>
  <c r="M29" i="216" s="1"/>
  <c r="AK21" i="216" s="1"/>
  <c r="P29" i="216"/>
  <c r="N29" i="216"/>
  <c r="E29" i="216"/>
  <c r="AF21" i="216" s="1"/>
  <c r="AJ28" i="216"/>
  <c r="AI28" i="216"/>
  <c r="AH28" i="216"/>
  <c r="AG28" i="216"/>
  <c r="U28" i="216"/>
  <c r="T28" i="216"/>
  <c r="R28" i="216"/>
  <c r="Q28" i="216"/>
  <c r="P28" i="216"/>
  <c r="N28" i="216"/>
  <c r="E28" i="216"/>
  <c r="AF31" i="216" s="1"/>
  <c r="AJ27" i="216"/>
  <c r="AI27" i="216"/>
  <c r="AH27" i="216"/>
  <c r="AG27" i="216"/>
  <c r="U27" i="216"/>
  <c r="T27" i="216"/>
  <c r="R27" i="216"/>
  <c r="Q27" i="216"/>
  <c r="P27" i="216"/>
  <c r="N27" i="216"/>
  <c r="E27" i="216"/>
  <c r="AF12" i="216" s="1"/>
  <c r="AJ26" i="216"/>
  <c r="AI26" i="216"/>
  <c r="AH26" i="216"/>
  <c r="AG26" i="216"/>
  <c r="U26" i="216"/>
  <c r="T26" i="216"/>
  <c r="R26" i="216"/>
  <c r="Q26" i="216"/>
  <c r="P26" i="216"/>
  <c r="N26" i="216"/>
  <c r="E26" i="216"/>
  <c r="AF30" i="216" s="1"/>
  <c r="AJ25" i="216"/>
  <c r="AI25" i="216"/>
  <c r="AH25" i="216"/>
  <c r="AG25" i="216"/>
  <c r="U25" i="216"/>
  <c r="T25" i="216"/>
  <c r="R25" i="216"/>
  <c r="Q25" i="216"/>
  <c r="P25" i="216"/>
  <c r="N25" i="216"/>
  <c r="E25" i="216"/>
  <c r="AF20" i="216" s="1"/>
  <c r="AJ24" i="216"/>
  <c r="AI24" i="216"/>
  <c r="AH24" i="216"/>
  <c r="AG24" i="216"/>
  <c r="U24" i="216"/>
  <c r="T24" i="216"/>
  <c r="R24" i="216"/>
  <c r="Q24" i="216"/>
  <c r="M24" i="216" s="1"/>
  <c r="AK11" i="216" s="1"/>
  <c r="P24" i="216"/>
  <c r="N24" i="216"/>
  <c r="E24" i="216"/>
  <c r="AF11" i="216" s="1"/>
  <c r="AJ23" i="216"/>
  <c r="AI23" i="216"/>
  <c r="AH23" i="216"/>
  <c r="AG23" i="216"/>
  <c r="U23" i="216"/>
  <c r="T23" i="216"/>
  <c r="R23" i="216"/>
  <c r="Q23" i="216"/>
  <c r="P23" i="216"/>
  <c r="N23" i="216"/>
  <c r="E23" i="216"/>
  <c r="AF10" i="216" s="1"/>
  <c r="AJ22" i="216"/>
  <c r="AI22" i="216"/>
  <c r="AH22" i="216"/>
  <c r="AG22" i="216"/>
  <c r="U22" i="216"/>
  <c r="T22" i="216"/>
  <c r="R22" i="216"/>
  <c r="Q22" i="216"/>
  <c r="P22" i="216"/>
  <c r="N22" i="216"/>
  <c r="E22" i="216"/>
  <c r="AF9" i="216" s="1"/>
  <c r="AJ21" i="216"/>
  <c r="AI21" i="216"/>
  <c r="AH21" i="216"/>
  <c r="AG21" i="216"/>
  <c r="U21" i="216"/>
  <c r="T21" i="216"/>
  <c r="R21" i="216"/>
  <c r="Q21" i="216"/>
  <c r="P21" i="216"/>
  <c r="N21" i="216"/>
  <c r="E21" i="216"/>
  <c r="AF29" i="216" s="1"/>
  <c r="AJ20" i="216"/>
  <c r="AI20" i="216"/>
  <c r="AH20" i="216"/>
  <c r="AG20" i="216"/>
  <c r="U20" i="216"/>
  <c r="T20" i="216"/>
  <c r="R20" i="216"/>
  <c r="Q20" i="216"/>
  <c r="P20" i="216"/>
  <c r="N20" i="216"/>
  <c r="E20" i="216"/>
  <c r="AF19" i="216" s="1"/>
  <c r="AJ19" i="216"/>
  <c r="AI19" i="216"/>
  <c r="AH19" i="216"/>
  <c r="AG19" i="216"/>
  <c r="U19" i="216"/>
  <c r="T19" i="216"/>
  <c r="R19" i="216"/>
  <c r="Q19" i="216"/>
  <c r="P19" i="216"/>
  <c r="N19" i="216"/>
  <c r="E19" i="216"/>
  <c r="AF28" i="216" s="1"/>
  <c r="AJ18" i="216"/>
  <c r="AI18" i="216"/>
  <c r="AH18" i="216"/>
  <c r="AG18" i="216"/>
  <c r="U18" i="216"/>
  <c r="T18" i="216"/>
  <c r="R18" i="216"/>
  <c r="Q18" i="216"/>
  <c r="P18" i="216"/>
  <c r="N18" i="216"/>
  <c r="E18" i="216"/>
  <c r="AF8" i="216" s="1"/>
  <c r="AJ17" i="216"/>
  <c r="AI17" i="216"/>
  <c r="AH17" i="216"/>
  <c r="AG17" i="216"/>
  <c r="U17" i="216"/>
  <c r="T17" i="216"/>
  <c r="R17" i="216"/>
  <c r="Q17" i="216"/>
  <c r="P17" i="216"/>
  <c r="N17" i="216"/>
  <c r="E17" i="216"/>
  <c r="AF27" i="216" s="1"/>
  <c r="AJ16" i="216"/>
  <c r="AI16" i="216"/>
  <c r="AH16" i="216"/>
  <c r="AG16" i="216"/>
  <c r="U16" i="216"/>
  <c r="T16" i="216"/>
  <c r="R16" i="216"/>
  <c r="Q16" i="216"/>
  <c r="P16" i="216"/>
  <c r="N16" i="216"/>
  <c r="E16" i="216"/>
  <c r="AF26" i="216" s="1"/>
  <c r="AJ15" i="216"/>
  <c r="AI15" i="216"/>
  <c r="AH15" i="216"/>
  <c r="AG15" i="216"/>
  <c r="U15" i="216"/>
  <c r="T15" i="216"/>
  <c r="R15" i="216"/>
  <c r="Q15" i="216"/>
  <c r="P15" i="216"/>
  <c r="N15" i="216"/>
  <c r="E15" i="216"/>
  <c r="AF18" i="216" s="1"/>
  <c r="AJ14" i="216"/>
  <c r="AI14" i="216"/>
  <c r="AH14" i="216"/>
  <c r="AG14" i="216"/>
  <c r="U14" i="216"/>
  <c r="T14" i="216"/>
  <c r="R14" i="216"/>
  <c r="Q14" i="216"/>
  <c r="P14" i="216"/>
  <c r="N14" i="216"/>
  <c r="E14" i="216"/>
  <c r="AF17" i="216" s="1"/>
  <c r="AJ13" i="216"/>
  <c r="AI13" i="216"/>
  <c r="AH13" i="216"/>
  <c r="AG13" i="216"/>
  <c r="U13" i="216"/>
  <c r="T13" i="216"/>
  <c r="R13" i="216"/>
  <c r="Q13" i="216"/>
  <c r="AK16" i="216" s="1"/>
  <c r="P13" i="216"/>
  <c r="N13" i="216"/>
  <c r="E13" i="216"/>
  <c r="AF16" i="216" s="1"/>
  <c r="AJ12" i="216"/>
  <c r="AI12" i="216"/>
  <c r="AH12" i="216"/>
  <c r="AG12" i="216"/>
  <c r="U12" i="216"/>
  <c r="T12" i="216"/>
  <c r="R12" i="216"/>
  <c r="Q12" i="216"/>
  <c r="P12" i="216"/>
  <c r="N12" i="216"/>
  <c r="E12" i="216"/>
  <c r="AJ11" i="216"/>
  <c r="AI11" i="216"/>
  <c r="AH11" i="216"/>
  <c r="AG11" i="216"/>
  <c r="U11" i="216"/>
  <c r="T11" i="216"/>
  <c r="R11" i="216"/>
  <c r="Q11" i="216"/>
  <c r="P11" i="216"/>
  <c r="N11" i="216"/>
  <c r="E11" i="216"/>
  <c r="AF25" i="216" s="1"/>
  <c r="AJ10" i="216"/>
  <c r="AI10" i="216"/>
  <c r="AH10" i="216"/>
  <c r="AG10" i="216"/>
  <c r="U10" i="216"/>
  <c r="T10" i="216"/>
  <c r="R10" i="216"/>
  <c r="Q10" i="216"/>
  <c r="M10" i="216" s="1"/>
  <c r="AK6" i="216" s="1"/>
  <c r="P10" i="216"/>
  <c r="N10" i="216"/>
  <c r="E10" i="216"/>
  <c r="AF6" i="216" s="1"/>
  <c r="AJ9" i="216"/>
  <c r="AI9" i="216"/>
  <c r="AH9" i="216"/>
  <c r="AG9" i="216"/>
  <c r="U9" i="216"/>
  <c r="T9" i="216"/>
  <c r="R9" i="216"/>
  <c r="Q9" i="216"/>
  <c r="P9" i="216"/>
  <c r="N9" i="216"/>
  <c r="E9" i="216"/>
  <c r="AF15" i="216" s="1"/>
  <c r="AJ8" i="216"/>
  <c r="AI8" i="216"/>
  <c r="AH8" i="216"/>
  <c r="AG8" i="216"/>
  <c r="U8" i="216"/>
  <c r="T8" i="216"/>
  <c r="R8" i="216"/>
  <c r="Q8" i="216"/>
  <c r="M8" i="216" s="1"/>
  <c r="AK24" i="216" s="1"/>
  <c r="P8" i="216"/>
  <c r="N8" i="216"/>
  <c r="E8" i="216"/>
  <c r="AF24" i="216" s="1"/>
  <c r="AJ7" i="216"/>
  <c r="AI7" i="216"/>
  <c r="AH7" i="216"/>
  <c r="AG7" i="216"/>
  <c r="AF7" i="216"/>
  <c r="U7" i="216"/>
  <c r="T7" i="216"/>
  <c r="R7" i="216"/>
  <c r="Q7" i="216"/>
  <c r="P7" i="216"/>
  <c r="N7" i="216"/>
  <c r="E7" i="216"/>
  <c r="AF23" i="216" s="1"/>
  <c r="AJ6" i="216"/>
  <c r="AI6" i="216"/>
  <c r="AH6" i="216"/>
  <c r="AG6" i="216"/>
  <c r="U6" i="216"/>
  <c r="T6" i="216"/>
  <c r="R6" i="216"/>
  <c r="Q6" i="216"/>
  <c r="P6" i="216"/>
  <c r="N6" i="216"/>
  <c r="E6" i="216"/>
  <c r="M17" i="216" l="1"/>
  <c r="AK27" i="216" s="1"/>
  <c r="M7" i="217"/>
  <c r="AK23" i="217" s="1"/>
  <c r="M7" i="218"/>
  <c r="M12" i="218"/>
  <c r="AK7" i="218" s="1"/>
  <c r="M28" i="219"/>
  <c r="AK31" i="219" s="1"/>
  <c r="M31" i="219"/>
  <c r="AK22" i="219" s="1"/>
  <c r="M23" i="217"/>
  <c r="AK10" i="217" s="1"/>
  <c r="M31" i="218"/>
  <c r="AK22" i="218" s="1"/>
  <c r="M26" i="216"/>
  <c r="AK30" i="216" s="1"/>
  <c r="M26" i="218"/>
  <c r="AK30" i="218" s="1"/>
  <c r="M27" i="219"/>
  <c r="AK12" i="219" s="1"/>
  <c r="M6" i="216"/>
  <c r="AK14" i="216" s="1"/>
  <c r="M19" i="216"/>
  <c r="AK28" i="216" s="1"/>
  <c r="M27" i="217"/>
  <c r="AK12" i="217" s="1"/>
  <c r="M46" i="218"/>
  <c r="M25" i="219"/>
  <c r="AK20" i="219" s="1"/>
  <c r="M44" i="220"/>
  <c r="M21" i="219"/>
  <c r="AK29" i="219" s="1"/>
  <c r="M44" i="219"/>
  <c r="M16" i="218"/>
  <c r="AK26" i="218" s="1"/>
  <c r="M44" i="218"/>
  <c r="M9" i="218"/>
  <c r="AK15" i="218" s="1"/>
  <c r="AK23" i="218"/>
  <c r="M6" i="218"/>
  <c r="AK14" i="218" s="1"/>
  <c r="M8" i="218"/>
  <c r="AK24" i="218" s="1"/>
  <c r="M13" i="218"/>
  <c r="AK16" i="218" s="1"/>
  <c r="S6" i="217"/>
  <c r="O14" i="217"/>
  <c r="O22" i="217"/>
  <c r="O30" i="217"/>
  <c r="O9" i="217"/>
  <c r="O25" i="217"/>
  <c r="O21" i="217"/>
  <c r="O7" i="217"/>
  <c r="O15" i="217"/>
  <c r="O23" i="217"/>
  <c r="O31" i="217"/>
  <c r="O8" i="217"/>
  <c r="O16" i="217"/>
  <c r="O24" i="217"/>
  <c r="O6" i="217"/>
  <c r="O17" i="217"/>
  <c r="O29" i="217"/>
  <c r="O10" i="217"/>
  <c r="O18" i="217"/>
  <c r="O26" i="217"/>
  <c r="O11" i="217"/>
  <c r="O19" i="217"/>
  <c r="O27" i="217"/>
  <c r="O12" i="217"/>
  <c r="O20" i="217"/>
  <c r="O28" i="217"/>
  <c r="O13" i="217"/>
  <c r="S11" i="217"/>
  <c r="S19" i="217"/>
  <c r="S27" i="217"/>
  <c r="S30" i="217"/>
  <c r="S12" i="217"/>
  <c r="S20" i="217"/>
  <c r="S28" i="217"/>
  <c r="S22" i="217"/>
  <c r="S25" i="217"/>
  <c r="S10" i="217"/>
  <c r="S26" i="217"/>
  <c r="S13" i="217"/>
  <c r="S21" i="217"/>
  <c r="S29" i="217"/>
  <c r="S14" i="217"/>
  <c r="S9" i="217"/>
  <c r="S18" i="217"/>
  <c r="S7" i="217"/>
  <c r="S15" i="217"/>
  <c r="S23" i="217"/>
  <c r="S31" i="217"/>
  <c r="S8" i="217"/>
  <c r="S16" i="217"/>
  <c r="S24" i="217"/>
  <c r="S17" i="217"/>
  <c r="M17" i="217"/>
  <c r="AK27" i="217" s="1"/>
  <c r="M25" i="217"/>
  <c r="AK20" i="217" s="1"/>
  <c r="M15" i="217"/>
  <c r="AK18" i="217" s="1"/>
  <c r="M31" i="217"/>
  <c r="AK22" i="217" s="1"/>
  <c r="M15" i="216"/>
  <c r="AK18" i="216" s="1"/>
  <c r="M28" i="216"/>
  <c r="AK31" i="216" s="1"/>
  <c r="O12" i="216"/>
  <c r="O20" i="216"/>
  <c r="O28" i="216"/>
  <c r="O23" i="216"/>
  <c r="O8" i="216"/>
  <c r="O6" i="216"/>
  <c r="O13" i="216"/>
  <c r="O21" i="216"/>
  <c r="O29" i="216"/>
  <c r="O15" i="216"/>
  <c r="O31" i="216"/>
  <c r="O24" i="216"/>
  <c r="O27" i="216"/>
  <c r="O14" i="216"/>
  <c r="O22" i="216"/>
  <c r="O30" i="216"/>
  <c r="O7" i="216"/>
  <c r="O16" i="216"/>
  <c r="O19" i="216"/>
  <c r="O9" i="216"/>
  <c r="O17" i="216"/>
  <c r="O25" i="216"/>
  <c r="O10" i="216"/>
  <c r="O18" i="216"/>
  <c r="O26" i="216"/>
  <c r="O11" i="216"/>
  <c r="S11" i="216"/>
  <c r="S19" i="216"/>
  <c r="S27" i="216"/>
  <c r="S12" i="216"/>
  <c r="S20" i="216"/>
  <c r="S28" i="216"/>
  <c r="S15" i="216"/>
  <c r="S31" i="216"/>
  <c r="S13" i="216"/>
  <c r="S21" i="216"/>
  <c r="S29" i="216"/>
  <c r="S14" i="216"/>
  <c r="S22" i="216"/>
  <c r="S30" i="216"/>
  <c r="S7" i="216"/>
  <c r="S23" i="216"/>
  <c r="S8" i="216"/>
  <c r="S16" i="216"/>
  <c r="S24" i="216"/>
  <c r="S6" i="216"/>
  <c r="S9" i="216"/>
  <c r="S17" i="216"/>
  <c r="S25" i="216"/>
  <c r="S10" i="216"/>
  <c r="S18" i="216"/>
  <c r="S26" i="216"/>
  <c r="M14" i="216"/>
  <c r="AK17" i="216" s="1"/>
  <c r="M22" i="216"/>
  <c r="AK9" i="216" s="1"/>
  <c r="O18" i="218"/>
  <c r="AF14" i="218"/>
  <c r="M14" i="219"/>
  <c r="AK17" i="219" s="1"/>
  <c r="M7" i="219"/>
  <c r="AK23" i="219" s="1"/>
  <c r="M17" i="219"/>
  <c r="AK27" i="219" s="1"/>
  <c r="M19" i="219"/>
  <c r="AK28" i="219" s="1"/>
  <c r="M22" i="219"/>
  <c r="AK9" i="219" s="1"/>
  <c r="M12" i="219"/>
  <c r="AK7" i="219" s="1"/>
  <c r="M20" i="219"/>
  <c r="AK19" i="219" s="1"/>
  <c r="M45" i="219"/>
  <c r="M6" i="220"/>
  <c r="AK14" i="220" s="1"/>
  <c r="M9" i="220"/>
  <c r="AK15" i="220" s="1"/>
  <c r="M29" i="220"/>
  <c r="AK21" i="220" s="1"/>
  <c r="M15" i="220"/>
  <c r="AK18" i="220" s="1"/>
  <c r="M21" i="220"/>
  <c r="AK29" i="220" s="1"/>
  <c r="M23" i="220"/>
  <c r="AK10" i="220" s="1"/>
  <c r="AB16" i="219"/>
  <c r="M13" i="219"/>
  <c r="AK16" i="219" s="1"/>
  <c r="M46" i="219"/>
  <c r="M9" i="219"/>
  <c r="AK15" i="219" s="1"/>
  <c r="M26" i="219"/>
  <c r="AK30" i="219" s="1"/>
  <c r="M10" i="219"/>
  <c r="AK6" i="219" s="1"/>
  <c r="O45" i="217"/>
  <c r="M19" i="217"/>
  <c r="AK28" i="217" s="1"/>
  <c r="M30" i="217"/>
  <c r="AK13" i="217" s="1"/>
  <c r="M6" i="217"/>
  <c r="AK14" i="217" s="1"/>
  <c r="M22" i="217"/>
  <c r="AK9" i="217" s="1"/>
  <c r="M8" i="217"/>
  <c r="AK24" i="217" s="1"/>
  <c r="M9" i="217"/>
  <c r="AK15" i="217" s="1"/>
  <c r="M11" i="217"/>
  <c r="AK25" i="217" s="1"/>
  <c r="M20" i="217"/>
  <c r="AK19" i="217" s="1"/>
  <c r="M45" i="217"/>
  <c r="M11" i="216"/>
  <c r="AK25" i="216" s="1"/>
  <c r="M18" i="216"/>
  <c r="AK8" i="216" s="1"/>
  <c r="M12" i="216"/>
  <c r="AK7" i="216" s="1"/>
  <c r="M7" i="216"/>
  <c r="AK23" i="216" s="1"/>
  <c r="M9" i="216"/>
  <c r="AK15" i="216" s="1"/>
  <c r="M16" i="216"/>
  <c r="AK26" i="216" s="1"/>
  <c r="M27" i="216"/>
  <c r="AK12" i="216" s="1"/>
  <c r="M23" i="216"/>
  <c r="AK10" i="216" s="1"/>
  <c r="M25" i="216"/>
  <c r="AK20" i="216" s="1"/>
  <c r="M30" i="216"/>
  <c r="AK13" i="216" s="1"/>
  <c r="M27" i="220"/>
  <c r="AK12" i="220" s="1"/>
  <c r="M7" i="220"/>
  <c r="AK23" i="220" s="1"/>
  <c r="M28" i="220"/>
  <c r="AK31" i="220" s="1"/>
  <c r="M24" i="220"/>
  <c r="AK11" i="220" s="1"/>
  <c r="M19" i="220"/>
  <c r="AK28" i="220" s="1"/>
  <c r="AD7" i="220"/>
  <c r="S12" i="220"/>
  <c r="AD25" i="220"/>
  <c r="M31" i="220"/>
  <c r="AK22" i="220" s="1"/>
  <c r="M16" i="220"/>
  <c r="AK26" i="220" s="1"/>
  <c r="M10" i="220"/>
  <c r="AK6" i="220" s="1"/>
  <c r="M14" i="220"/>
  <c r="AK17" i="220" s="1"/>
  <c r="M20" i="220"/>
  <c r="AK19" i="220" s="1"/>
  <c r="M22" i="220"/>
  <c r="AK9" i="220" s="1"/>
  <c r="S14" i="220"/>
  <c r="O18" i="220"/>
  <c r="O28" i="220"/>
  <c r="S8" i="220"/>
  <c r="AF27" i="220"/>
  <c r="O8" i="220"/>
  <c r="O10" i="220"/>
  <c r="O45" i="220"/>
  <c r="O17" i="220"/>
  <c r="O30" i="220"/>
  <c r="O9" i="220"/>
  <c r="O16" i="220"/>
  <c r="M16" i="217"/>
  <c r="AK26" i="217" s="1"/>
  <c r="AF14" i="217"/>
  <c r="M24" i="217"/>
  <c r="AK11" i="217" s="1"/>
  <c r="M14" i="217"/>
  <c r="AK17" i="217" s="1"/>
  <c r="AC11" i="219"/>
  <c r="AB21" i="219"/>
  <c r="AB20" i="220"/>
  <c r="AB28" i="220"/>
  <c r="AB23" i="219"/>
  <c r="AB13" i="220"/>
  <c r="AB21" i="220"/>
  <c r="AC16" i="220"/>
  <c r="AB16" i="217"/>
  <c r="AB29" i="217"/>
  <c r="AB9" i="217"/>
  <c r="AC22" i="217"/>
  <c r="AB28" i="217"/>
  <c r="AB21" i="217"/>
  <c r="AD11" i="217"/>
  <c r="AB11" i="217"/>
  <c r="AB20" i="217"/>
  <c r="AC30" i="217"/>
  <c r="AB8" i="217"/>
  <c r="AB25" i="217"/>
  <c r="AB27" i="217"/>
  <c r="AB7" i="217"/>
  <c r="AC17" i="217"/>
  <c r="AB22" i="217"/>
  <c r="AC9" i="217"/>
  <c r="AD14" i="217"/>
  <c r="K45" i="217" s="1"/>
  <c r="AB12" i="217"/>
  <c r="AC31" i="217"/>
  <c r="AB17" i="217"/>
  <c r="AB19" i="217"/>
  <c r="AB30" i="217"/>
  <c r="AD6" i="217"/>
  <c r="K44" i="217" s="1"/>
  <c r="AC25" i="217"/>
  <c r="AB24" i="216"/>
  <c r="M20" i="216"/>
  <c r="AK19" i="216" s="1"/>
  <c r="M46" i="216"/>
  <c r="M21" i="216"/>
  <c r="AK29" i="216" s="1"/>
  <c r="M31" i="216"/>
  <c r="AK22" i="216" s="1"/>
  <c r="AC24" i="216"/>
  <c r="AB16" i="216"/>
  <c r="AC11" i="216"/>
  <c r="AB18" i="216"/>
  <c r="AB20" i="216"/>
  <c r="AD13" i="216"/>
  <c r="AB22" i="216"/>
  <c r="AB8" i="216"/>
  <c r="AB13" i="216"/>
  <c r="AB19" i="216"/>
  <c r="AC10" i="216"/>
  <c r="AC30" i="216"/>
  <c r="AB10" i="216"/>
  <c r="AB26" i="216"/>
  <c r="AC21" i="216"/>
  <c r="AB21" i="216"/>
  <c r="AC16" i="216"/>
  <c r="AB12" i="216"/>
  <c r="AC18" i="216"/>
  <c r="AD26" i="216"/>
  <c r="AB29" i="216"/>
  <c r="M15" i="219"/>
  <c r="AK18" i="219" s="1"/>
  <c r="M24" i="219"/>
  <c r="AK11" i="219" s="1"/>
  <c r="M11" i="219"/>
  <c r="AK25" i="219" s="1"/>
  <c r="M8" i="219"/>
  <c r="AK24" i="219" s="1"/>
  <c r="M30" i="219"/>
  <c r="AK13" i="219" s="1"/>
  <c r="AB27" i="219"/>
  <c r="AB17" i="219"/>
  <c r="AC29" i="219"/>
  <c r="AC12" i="219"/>
  <c r="AC20" i="219"/>
  <c r="S28" i="219"/>
  <c r="AD17" i="219"/>
  <c r="AC28" i="219"/>
  <c r="AD27" i="219"/>
  <c r="AD10" i="219"/>
  <c r="AB22" i="219"/>
  <c r="AC14" i="219"/>
  <c r="J45" i="219" s="1"/>
  <c r="AB24" i="219"/>
  <c r="AB28" i="219"/>
  <c r="AB9" i="219"/>
  <c r="AC6" i="219"/>
  <c r="J44" i="219" s="1"/>
  <c r="AC16" i="219"/>
  <c r="AB15" i="219"/>
  <c r="AD19" i="219"/>
  <c r="AD9" i="219"/>
  <c r="AB19" i="219"/>
  <c r="AC30" i="219"/>
  <c r="AD21" i="219"/>
  <c r="AC8" i="219"/>
  <c r="AB20" i="219"/>
  <c r="AD29" i="219"/>
  <c r="AD18" i="219"/>
  <c r="AD25" i="219"/>
  <c r="AK6" i="218"/>
  <c r="M24" i="218"/>
  <c r="AK11" i="218" s="1"/>
  <c r="M15" i="218"/>
  <c r="AK18" i="218" s="1"/>
  <c r="M20" i="218"/>
  <c r="AK19" i="218" s="1"/>
  <c r="M18" i="218"/>
  <c r="AK8" i="218" s="1"/>
  <c r="M25" i="218"/>
  <c r="AK20" i="218" s="1"/>
  <c r="O15" i="218"/>
  <c r="AD31" i="218"/>
  <c r="AC7" i="218"/>
  <c r="O17" i="218"/>
  <c r="O8" i="218"/>
  <c r="AB27" i="218"/>
  <c r="AB18" i="218"/>
  <c r="O45" i="218"/>
  <c r="O24" i="218"/>
  <c r="O28" i="218"/>
  <c r="AB20" i="218"/>
  <c r="AD22" i="218"/>
  <c r="AB11" i="218"/>
  <c r="AB19" i="218"/>
  <c r="AB21" i="218"/>
  <c r="AD25" i="218"/>
  <c r="AB13" i="218"/>
  <c r="AD8" i="218"/>
  <c r="AC15" i="218"/>
  <c r="AD20" i="218"/>
  <c r="AC16" i="218"/>
  <c r="AD15" i="218"/>
  <c r="AB28" i="218"/>
  <c r="AB12" i="218"/>
  <c r="AD14" i="218"/>
  <c r="K45" i="218" s="1"/>
  <c r="AD13" i="218"/>
  <c r="S18" i="219"/>
  <c r="O22" i="219"/>
  <c r="S45" i="219"/>
  <c r="AB6" i="218"/>
  <c r="S7" i="218"/>
  <c r="AC28" i="218"/>
  <c r="AB29" i="218"/>
  <c r="AD30" i="218"/>
  <c r="S30" i="219"/>
  <c r="O26" i="219"/>
  <c r="S22" i="219"/>
  <c r="O18" i="219"/>
  <c r="S14" i="219"/>
  <c r="O10" i="219"/>
  <c r="S6" i="219"/>
  <c r="O46" i="219"/>
  <c r="S44" i="219"/>
  <c r="O31" i="219"/>
  <c r="S27" i="219"/>
  <c r="O23" i="219"/>
  <c r="S19" i="219"/>
  <c r="O15" i="219"/>
  <c r="S11" i="219"/>
  <c r="O7" i="219"/>
  <c r="O45" i="219"/>
  <c r="S29" i="219"/>
  <c r="O25" i="219"/>
  <c r="S21" i="219"/>
  <c r="O17" i="219"/>
  <c r="S13" i="219"/>
  <c r="O9" i="219"/>
  <c r="S46" i="219"/>
  <c r="O44" i="219"/>
  <c r="S31" i="219"/>
  <c r="O27" i="219"/>
  <c r="S23" i="219"/>
  <c r="O19" i="219"/>
  <c r="S15" i="219"/>
  <c r="O11" i="219"/>
  <c r="S7" i="219"/>
  <c r="AD6" i="220"/>
  <c r="K44" i="220" s="1"/>
  <c r="AC8" i="220"/>
  <c r="S16" i="220"/>
  <c r="AC17" i="220"/>
  <c r="AC18" i="220"/>
  <c r="AD29" i="220"/>
  <c r="O6" i="218"/>
  <c r="S11" i="218"/>
  <c r="O16" i="218"/>
  <c r="AD17" i="220"/>
  <c r="AC26" i="220"/>
  <c r="AB10" i="219"/>
  <c r="AB30" i="220"/>
  <c r="AB7" i="218"/>
  <c r="S8" i="218"/>
  <c r="S13" i="218"/>
  <c r="S24" i="218"/>
  <c r="AC25" i="218"/>
  <c r="M27" i="218"/>
  <c r="AK12" i="218" s="1"/>
  <c r="AB30" i="218"/>
  <c r="O6" i="219"/>
  <c r="S8" i="219"/>
  <c r="AF23" i="219"/>
  <c r="O24" i="219"/>
  <c r="AC24" i="219"/>
  <c r="AB25" i="219"/>
  <c r="AD26" i="219"/>
  <c r="O28" i="219"/>
  <c r="M29" i="219"/>
  <c r="AK21" i="219" s="1"/>
  <c r="AB31" i="219"/>
  <c r="AD11" i="220"/>
  <c r="AB9" i="220"/>
  <c r="AC6" i="220"/>
  <c r="J44" i="220" s="1"/>
  <c r="AC11" i="220"/>
  <c r="AD8" i="220"/>
  <c r="AB6" i="220"/>
  <c r="AC13" i="220"/>
  <c r="AD10" i="220"/>
  <c r="AD12" i="220"/>
  <c r="AB10" i="220"/>
  <c r="AC7" i="220"/>
  <c r="O12" i="220"/>
  <c r="AC12" i="220"/>
  <c r="AD15" i="220"/>
  <c r="S21" i="220"/>
  <c r="S22" i="220"/>
  <c r="O26" i="220"/>
  <c r="S28" i="220"/>
  <c r="O8" i="219"/>
  <c r="S24" i="219"/>
  <c r="AC22" i="220"/>
  <c r="AD19" i="220"/>
  <c r="AB17" i="220"/>
  <c r="AC14" i="220"/>
  <c r="J45" i="220" s="1"/>
  <c r="AC19" i="220"/>
  <c r="AD16" i="220"/>
  <c r="AB14" i="220"/>
  <c r="AC21" i="220"/>
  <c r="AD18" i="220"/>
  <c r="AD20" i="220"/>
  <c r="AB18" i="220"/>
  <c r="AC15" i="220"/>
  <c r="AB24" i="220"/>
  <c r="AD28" i="220"/>
  <c r="AB26" i="220"/>
  <c r="AC23" i="220"/>
  <c r="J46" i="220" s="1"/>
  <c r="AC28" i="220"/>
  <c r="AB29" i="220"/>
  <c r="AC30" i="218"/>
  <c r="O12" i="219"/>
  <c r="S25" i="219"/>
  <c r="O30" i="219"/>
  <c r="AC6" i="218"/>
  <c r="J44" i="218" s="1"/>
  <c r="AB8" i="218"/>
  <c r="AD29" i="218"/>
  <c r="O29" i="219"/>
  <c r="AB22" i="220"/>
  <c r="AD6" i="218"/>
  <c r="K44" i="218" s="1"/>
  <c r="AB6" i="219"/>
  <c r="AB8" i="220"/>
  <c r="AB15" i="220"/>
  <c r="S20" i="220"/>
  <c r="S24" i="220"/>
  <c r="AC25" i="220"/>
  <c r="AC9" i="218"/>
  <c r="AB10" i="218"/>
  <c r="S14" i="218"/>
  <c r="S21" i="218"/>
  <c r="S22" i="218"/>
  <c r="O26" i="218"/>
  <c r="S28" i="218"/>
  <c r="AB13" i="219"/>
  <c r="S9" i="219"/>
  <c r="S10" i="219"/>
  <c r="S12" i="219"/>
  <c r="AD13" i="220"/>
  <c r="AD14" i="220"/>
  <c r="K45" i="220" s="1"/>
  <c r="AB23" i="220"/>
  <c r="O25" i="220"/>
  <c r="S29" i="220"/>
  <c r="S30" i="220"/>
  <c r="O13" i="219"/>
  <c r="AD21" i="220"/>
  <c r="AC30" i="220"/>
  <c r="AD30" i="220"/>
  <c r="AD21" i="218"/>
  <c r="AB24" i="218"/>
  <c r="AC31" i="218"/>
  <c r="AD28" i="218"/>
  <c r="AB26" i="218"/>
  <c r="AC23" i="218"/>
  <c r="J46" i="218" s="1"/>
  <c r="O21" i="219"/>
  <c r="S26" i="219"/>
  <c r="S13" i="220"/>
  <c r="S12" i="218"/>
  <c r="AB16" i="218"/>
  <c r="S19" i="218"/>
  <c r="AB22" i="218"/>
  <c r="AB12" i="219"/>
  <c r="O16" i="219"/>
  <c r="O20" i="219"/>
  <c r="AB11" i="220"/>
  <c r="AB12" i="220"/>
  <c r="S6" i="218"/>
  <c r="AD11" i="218"/>
  <c r="AB9" i="218"/>
  <c r="AC11" i="218"/>
  <c r="AC13" i="218"/>
  <c r="AD10" i="218"/>
  <c r="AD7" i="218"/>
  <c r="AD9" i="218"/>
  <c r="AC10" i="218"/>
  <c r="O12" i="218"/>
  <c r="AC12" i="218"/>
  <c r="S16" i="218"/>
  <c r="AC17" i="218"/>
  <c r="AB23" i="218"/>
  <c r="O25" i="218"/>
  <c r="S29" i="218"/>
  <c r="S30" i="218"/>
  <c r="AB11" i="219"/>
  <c r="AC13" i="219"/>
  <c r="AF14" i="219"/>
  <c r="AB14" i="219"/>
  <c r="AB18" i="219"/>
  <c r="AC22" i="219"/>
  <c r="AD31" i="219"/>
  <c r="S6" i="220"/>
  <c r="AF15" i="220"/>
  <c r="O7" i="220"/>
  <c r="AC9" i="220"/>
  <c r="AC10" i="220"/>
  <c r="AB16" i="220"/>
  <c r="AB19" i="220"/>
  <c r="AD23" i="220"/>
  <c r="K46" i="220" s="1"/>
  <c r="AC24" i="220"/>
  <c r="AB31" i="220"/>
  <c r="S17" i="219"/>
  <c r="AC22" i="218"/>
  <c r="AD19" i="218"/>
  <c r="AB17" i="218"/>
  <c r="AC14" i="218"/>
  <c r="J45" i="218" s="1"/>
  <c r="AC19" i="218"/>
  <c r="AD16" i="218"/>
  <c r="AB14" i="218"/>
  <c r="AC21" i="218"/>
  <c r="AD18" i="218"/>
  <c r="S20" i="218"/>
  <c r="AC26" i="218"/>
  <c r="O7" i="218"/>
  <c r="O30" i="218"/>
  <c r="S26" i="218"/>
  <c r="O22" i="218"/>
  <c r="S18" i="218"/>
  <c r="O14" i="218"/>
  <c r="S10" i="218"/>
  <c r="S46" i="218"/>
  <c r="O44" i="218"/>
  <c r="S31" i="218"/>
  <c r="O27" i="218"/>
  <c r="S23" i="218"/>
  <c r="O19" i="218"/>
  <c r="S15" i="218"/>
  <c r="O11" i="218"/>
  <c r="S45" i="218"/>
  <c r="O29" i="218"/>
  <c r="S25" i="218"/>
  <c r="O21" i="218"/>
  <c r="S17" i="218"/>
  <c r="O13" i="218"/>
  <c r="S9" i="218"/>
  <c r="O46" i="218"/>
  <c r="S44" i="218"/>
  <c r="O31" i="218"/>
  <c r="S27" i="218"/>
  <c r="O23" i="218"/>
  <c r="AC8" i="218"/>
  <c r="O9" i="218"/>
  <c r="O10" i="218"/>
  <c r="AD12" i="218"/>
  <c r="AB15" i="218"/>
  <c r="AD17" i="218"/>
  <c r="AC18" i="218"/>
  <c r="O20" i="218"/>
  <c r="AC20" i="218"/>
  <c r="AD23" i="218"/>
  <c r="K46" i="218" s="1"/>
  <c r="AC24" i="218"/>
  <c r="AB31" i="218"/>
  <c r="AB7" i="219"/>
  <c r="AB8" i="219"/>
  <c r="AD11" i="219"/>
  <c r="AD13" i="219"/>
  <c r="O14" i="219"/>
  <c r="S16" i="219"/>
  <c r="S20" i="219"/>
  <c r="AC21" i="219"/>
  <c r="M23" i="219"/>
  <c r="AK10" i="219" s="1"/>
  <c r="AB26" i="219"/>
  <c r="AB7" i="220"/>
  <c r="AD9" i="220"/>
  <c r="M11" i="220"/>
  <c r="AK25" i="220" s="1"/>
  <c r="O20" i="220"/>
  <c r="AC20" i="220"/>
  <c r="AD22" i="220"/>
  <c r="O24" i="220"/>
  <c r="M25" i="220"/>
  <c r="AK20" i="220" s="1"/>
  <c r="AB27" i="220"/>
  <c r="AD31" i="220"/>
  <c r="M45" i="220"/>
  <c r="AD8" i="219"/>
  <c r="AD16" i="219"/>
  <c r="AC19" i="219"/>
  <c r="AD24" i="219"/>
  <c r="AC27" i="219"/>
  <c r="AB30" i="219"/>
  <c r="S11" i="220"/>
  <c r="O15" i="220"/>
  <c r="S19" i="220"/>
  <c r="O23" i="220"/>
  <c r="S27" i="220"/>
  <c r="O31" i="220"/>
  <c r="AC31" i="220"/>
  <c r="S44" i="220"/>
  <c r="O46" i="220"/>
  <c r="AD26" i="218"/>
  <c r="AC29" i="218"/>
  <c r="AD6" i="219"/>
  <c r="K44" i="219" s="1"/>
  <c r="AC9" i="219"/>
  <c r="AD14" i="219"/>
  <c r="K45" i="219" s="1"/>
  <c r="AC17" i="219"/>
  <c r="AD22" i="219"/>
  <c r="AC25" i="219"/>
  <c r="AD30" i="219"/>
  <c r="S9" i="220"/>
  <c r="O13" i="220"/>
  <c r="S17" i="220"/>
  <c r="O21" i="220"/>
  <c r="S25" i="220"/>
  <c r="AD26" i="220"/>
  <c r="O29" i="220"/>
  <c r="AC29" i="220"/>
  <c r="S45" i="220"/>
  <c r="AD24" i="218"/>
  <c r="AC27" i="218"/>
  <c r="AC7" i="219"/>
  <c r="AD12" i="219"/>
  <c r="AC15" i="219"/>
  <c r="AD20" i="219"/>
  <c r="AC23" i="219"/>
  <c r="J46" i="219" s="1"/>
  <c r="AD28" i="219"/>
  <c r="AC31" i="219"/>
  <c r="S7" i="220"/>
  <c r="O11" i="220"/>
  <c r="S15" i="220"/>
  <c r="O19" i="220"/>
  <c r="S23" i="220"/>
  <c r="AD24" i="220"/>
  <c r="O27" i="220"/>
  <c r="AC27" i="220"/>
  <c r="S31" i="220"/>
  <c r="O44" i="220"/>
  <c r="S46" i="220"/>
  <c r="AB25" i="218"/>
  <c r="AD27" i="218"/>
  <c r="AD7" i="219"/>
  <c r="AC10" i="219"/>
  <c r="AD15" i="219"/>
  <c r="AC18" i="219"/>
  <c r="AD23" i="219"/>
  <c r="K46" i="219" s="1"/>
  <c r="AC26" i="219"/>
  <c r="AB29" i="219"/>
  <c r="O6" i="220"/>
  <c r="S10" i="220"/>
  <c r="O14" i="220"/>
  <c r="S18" i="220"/>
  <c r="O22" i="220"/>
  <c r="AB25" i="220"/>
  <c r="S26" i="220"/>
  <c r="AD27" i="220"/>
  <c r="AD30" i="217"/>
  <c r="AF6" i="217"/>
  <c r="AB15" i="217"/>
  <c r="AD17" i="217"/>
  <c r="AC28" i="217"/>
  <c r="AC15" i="217"/>
  <c r="AB18" i="217"/>
  <c r="AC23" i="217"/>
  <c r="J46" i="217" s="1"/>
  <c r="AB26" i="217"/>
  <c r="S44" i="217"/>
  <c r="AC10" i="217"/>
  <c r="AD23" i="217"/>
  <c r="K46" i="217" s="1"/>
  <c r="AC26" i="217"/>
  <c r="AC13" i="217"/>
  <c r="AC21" i="217"/>
  <c r="AB24" i="217"/>
  <c r="AD26" i="217"/>
  <c r="AC8" i="217"/>
  <c r="AD13" i="217"/>
  <c r="AC16" i="217"/>
  <c r="AD21" i="217"/>
  <c r="AC24" i="217"/>
  <c r="AD29" i="217"/>
  <c r="AD9" i="217"/>
  <c r="AC12" i="217"/>
  <c r="AC20" i="217"/>
  <c r="AB23" i="217"/>
  <c r="AD25" i="217"/>
  <c r="AB31" i="217"/>
  <c r="AB10" i="217"/>
  <c r="AD12" i="217"/>
  <c r="AD20" i="217"/>
  <c r="AD28" i="217"/>
  <c r="O46" i="217"/>
  <c r="AB13" i="217"/>
  <c r="AD15" i="217"/>
  <c r="AC18" i="217"/>
  <c r="AD31" i="217"/>
  <c r="AC29" i="217"/>
  <c r="S45" i="217"/>
  <c r="AB6" i="217"/>
  <c r="AD8" i="217"/>
  <c r="AC11" i="217"/>
  <c r="AB14" i="217"/>
  <c r="AD16" i="217"/>
  <c r="AC19" i="217"/>
  <c r="AD24" i="217"/>
  <c r="AC27" i="217"/>
  <c r="O44" i="217"/>
  <c r="S46" i="217"/>
  <c r="AD22" i="217"/>
  <c r="AC7" i="217"/>
  <c r="AD7" i="217"/>
  <c r="AD10" i="217"/>
  <c r="AD18" i="217"/>
  <c r="AC6" i="217"/>
  <c r="J44" i="217" s="1"/>
  <c r="AC14" i="217"/>
  <c r="J45" i="217" s="1"/>
  <c r="AD19" i="217"/>
  <c r="AD27" i="217"/>
  <c r="AC8" i="216"/>
  <c r="AD8" i="216"/>
  <c r="AD24" i="216"/>
  <c r="AC6" i="216"/>
  <c r="J44" i="216" s="1"/>
  <c r="AD11" i="216"/>
  <c r="AC14" i="216"/>
  <c r="J45" i="216" s="1"/>
  <c r="AB17" i="216"/>
  <c r="AD19" i="216"/>
  <c r="AC22" i="216"/>
  <c r="AD27" i="216"/>
  <c r="AC17" i="216"/>
  <c r="AD22" i="216"/>
  <c r="AB31" i="216"/>
  <c r="AB28" i="216"/>
  <c r="O45" i="216"/>
  <c r="AC12" i="216"/>
  <c r="AB15" i="216"/>
  <c r="AC20" i="216"/>
  <c r="AD25" i="216"/>
  <c r="AC7" i="216"/>
  <c r="AD12" i="216"/>
  <c r="AC15" i="216"/>
  <c r="AD20" i="216"/>
  <c r="AC23" i="216"/>
  <c r="J46" i="216" s="1"/>
  <c r="AD28" i="216"/>
  <c r="AC31" i="216"/>
  <c r="S44" i="216"/>
  <c r="O46" i="216"/>
  <c r="AD21" i="216"/>
  <c r="AB6" i="216"/>
  <c r="AB14" i="216"/>
  <c r="AD16" i="216"/>
  <c r="AB9" i="216"/>
  <c r="AB25" i="216"/>
  <c r="AD6" i="216"/>
  <c r="K44" i="216" s="1"/>
  <c r="AC9" i="216"/>
  <c r="AD14" i="216"/>
  <c r="K45" i="216" s="1"/>
  <c r="AC25" i="216"/>
  <c r="AD30" i="216"/>
  <c r="AB7" i="216"/>
  <c r="AD9" i="216"/>
  <c r="AF14" i="216"/>
  <c r="AD17" i="216"/>
  <c r="AB23" i="216"/>
  <c r="AC28" i="216"/>
  <c r="AD7" i="216"/>
  <c r="AD15" i="216"/>
  <c r="AD23" i="216"/>
  <c r="K46" i="216" s="1"/>
  <c r="AC26" i="216"/>
  <c r="AD31" i="216"/>
  <c r="AC13" i="216"/>
  <c r="AD18" i="216"/>
  <c r="AC29" i="216"/>
  <c r="S45" i="216"/>
  <c r="AB27" i="216"/>
  <c r="AD29" i="216"/>
  <c r="AD10" i="216"/>
  <c r="AB11" i="216"/>
  <c r="AC19" i="216"/>
  <c r="AC27" i="216"/>
  <c r="AB30" i="216"/>
  <c r="O44" i="216"/>
  <c r="S46" i="216"/>
  <c r="C16" i="81"/>
  <c r="C17" i="81"/>
  <c r="C18" i="81"/>
  <c r="C19" i="81"/>
  <c r="C20" i="81"/>
  <c r="C21" i="81"/>
  <c r="C22" i="81"/>
  <c r="C23" i="81"/>
  <c r="C24" i="81"/>
  <c r="C25" i="81"/>
  <c r="C26" i="81"/>
  <c r="C27" i="81"/>
  <c r="C28" i="81"/>
  <c r="C29" i="81"/>
  <c r="C30" i="81"/>
  <c r="C31" i="81"/>
  <c r="C32" i="81"/>
  <c r="C34" i="81"/>
  <c r="C35" i="81"/>
  <c r="C36" i="81"/>
  <c r="C37" i="81"/>
  <c r="C38" i="81"/>
  <c r="C39" i="81"/>
  <c r="C40" i="81"/>
  <c r="C41" i="81"/>
  <c r="C42" i="81"/>
  <c r="C43" i="81"/>
  <c r="C44" i="81"/>
  <c r="C45" i="81"/>
  <c r="C47" i="81"/>
  <c r="C48" i="81"/>
  <c r="C49" i="81"/>
  <c r="C50" i="81"/>
  <c r="C51" i="81"/>
  <c r="C52" i="81"/>
  <c r="C53" i="81"/>
  <c r="C54" i="81"/>
  <c r="C55" i="81"/>
  <c r="C56" i="81"/>
  <c r="C57" i="81"/>
  <c r="C58" i="81"/>
  <c r="C59" i="81"/>
  <c r="C60" i="81"/>
  <c r="C61" i="81"/>
  <c r="C62" i="81"/>
  <c r="C63" i="81"/>
  <c r="C64" i="81"/>
  <c r="C65" i="81"/>
  <c r="C66" i="81"/>
  <c r="C67" i="81"/>
  <c r="C68" i="81"/>
  <c r="C69" i="81"/>
  <c r="C70" i="81"/>
  <c r="C71" i="81"/>
  <c r="C72" i="81"/>
  <c r="C73" i="81"/>
  <c r="C74" i="81"/>
  <c r="C75" i="81"/>
  <c r="C76" i="81"/>
  <c r="C77" i="81"/>
  <c r="C78" i="81"/>
  <c r="C79" i="81"/>
  <c r="D43" i="81"/>
  <c r="D44" i="81"/>
  <c r="D45" i="81"/>
  <c r="D47" i="81"/>
  <c r="D48" i="81"/>
  <c r="D49" i="81"/>
  <c r="D50" i="81"/>
  <c r="D51" i="81"/>
  <c r="D52" i="81"/>
  <c r="D53" i="81"/>
  <c r="D54" i="81"/>
  <c r="D55" i="81"/>
  <c r="D56" i="81"/>
  <c r="D57" i="81"/>
  <c r="D58" i="81"/>
  <c r="D59" i="81"/>
  <c r="D60" i="81"/>
  <c r="D61" i="81"/>
  <c r="D62" i="81"/>
  <c r="D63" i="81"/>
  <c r="D64" i="81"/>
  <c r="D65" i="81"/>
  <c r="D66" i="81"/>
  <c r="D67" i="81"/>
  <c r="D68" i="81"/>
  <c r="D69" i="81"/>
  <c r="D70" i="81"/>
  <c r="D71" i="81"/>
  <c r="D72" i="81"/>
  <c r="D73" i="81"/>
  <c r="D74" i="81"/>
  <c r="D75" i="81"/>
  <c r="D76" i="81"/>
  <c r="D77" i="81"/>
  <c r="D78" i="81"/>
  <c r="D79" i="81"/>
  <c r="C27" i="116"/>
  <c r="C28" i="116"/>
  <c r="C29" i="116"/>
  <c r="C30" i="116"/>
  <c r="C31" i="116"/>
  <c r="C32" i="116"/>
  <c r="C34" i="116"/>
  <c r="C35" i="116"/>
  <c r="C36" i="116"/>
  <c r="C37" i="116"/>
  <c r="C38" i="116"/>
  <c r="C39" i="116"/>
  <c r="C40" i="116"/>
  <c r="C41" i="116"/>
  <c r="C42" i="116"/>
  <c r="C43" i="116"/>
  <c r="C44" i="116"/>
  <c r="C45" i="116"/>
  <c r="C47" i="116"/>
  <c r="C48" i="116"/>
  <c r="C49" i="116"/>
  <c r="C50" i="116"/>
  <c r="C51" i="116"/>
  <c r="C52" i="116"/>
  <c r="C53" i="116"/>
  <c r="C54" i="116"/>
  <c r="C55" i="116"/>
  <c r="C56" i="116"/>
  <c r="C57" i="116"/>
  <c r="C58" i="116"/>
  <c r="C59" i="116"/>
  <c r="C60" i="116"/>
  <c r="C61" i="116"/>
  <c r="C62" i="116"/>
  <c r="C63" i="116"/>
  <c r="C64" i="116"/>
  <c r="C65" i="116"/>
  <c r="C66" i="116"/>
  <c r="C67" i="116"/>
  <c r="C68" i="116"/>
  <c r="C69" i="116"/>
  <c r="C70" i="116"/>
  <c r="C71" i="116"/>
  <c r="C72" i="116"/>
  <c r="C73" i="116"/>
  <c r="C74" i="116"/>
  <c r="C75" i="116"/>
  <c r="C76" i="116"/>
  <c r="C77" i="116"/>
  <c r="C78" i="116"/>
  <c r="C79" i="116"/>
  <c r="D28" i="116"/>
  <c r="D29" i="116"/>
  <c r="D30" i="116"/>
  <c r="D31" i="116"/>
  <c r="D32" i="116"/>
  <c r="D34" i="116"/>
  <c r="D35" i="116"/>
  <c r="D36" i="116"/>
  <c r="D37" i="116"/>
  <c r="D38" i="116"/>
  <c r="D39" i="116"/>
  <c r="D40" i="116"/>
  <c r="D41" i="116"/>
  <c r="D42" i="116"/>
  <c r="D43" i="116"/>
  <c r="D44" i="116"/>
  <c r="D45" i="116"/>
  <c r="D47" i="116"/>
  <c r="D48" i="116"/>
  <c r="D49" i="116"/>
  <c r="D50" i="116"/>
  <c r="D51" i="116"/>
  <c r="D52" i="116"/>
  <c r="D53" i="116"/>
  <c r="D54" i="116"/>
  <c r="D55" i="116"/>
  <c r="D56" i="116"/>
  <c r="D57" i="116"/>
  <c r="D58" i="116"/>
  <c r="D59" i="116"/>
  <c r="D60" i="116"/>
  <c r="D61" i="116"/>
  <c r="D62" i="116"/>
  <c r="D63" i="116"/>
  <c r="D64" i="116"/>
  <c r="D65" i="116"/>
  <c r="D66" i="116"/>
  <c r="D67" i="116"/>
  <c r="D68" i="116"/>
  <c r="D69" i="116"/>
  <c r="D70" i="116"/>
  <c r="D71" i="116"/>
  <c r="D72" i="116"/>
  <c r="D73" i="116"/>
  <c r="D74" i="116"/>
  <c r="D75" i="116"/>
  <c r="D76" i="116"/>
  <c r="D77" i="116"/>
  <c r="D78" i="116"/>
  <c r="D79" i="116"/>
  <c r="C127" i="39"/>
  <c r="C128" i="39"/>
  <c r="C129" i="39"/>
  <c r="C130" i="39"/>
  <c r="C131" i="39"/>
  <c r="C132" i="39"/>
  <c r="C133" i="39"/>
  <c r="C134" i="39"/>
  <c r="C135" i="39"/>
  <c r="C136" i="39"/>
  <c r="C137" i="39"/>
  <c r="C138" i="39"/>
  <c r="C139" i="39"/>
  <c r="C140" i="39"/>
  <c r="C141" i="39"/>
  <c r="C142" i="39"/>
  <c r="C143" i="39"/>
  <c r="C144" i="39"/>
  <c r="C145" i="39"/>
  <c r="C146" i="39"/>
  <c r="C147" i="39"/>
  <c r="C148" i="39"/>
  <c r="C149" i="39"/>
  <c r="C150" i="39"/>
  <c r="C151" i="39"/>
  <c r="C152" i="39"/>
  <c r="D27" i="81"/>
  <c r="D28" i="81"/>
  <c r="D29" i="81"/>
  <c r="D30" i="81"/>
  <c r="D31" i="81"/>
  <c r="D32" i="81"/>
  <c r="D34" i="81"/>
  <c r="D35" i="81"/>
  <c r="D36" i="81"/>
  <c r="D37" i="81"/>
  <c r="D38" i="81"/>
  <c r="D39" i="81"/>
  <c r="D40" i="81"/>
  <c r="D41" i="81"/>
  <c r="D42" i="81"/>
  <c r="C115" i="39"/>
  <c r="C116" i="39"/>
  <c r="C117" i="39"/>
  <c r="C118" i="39"/>
  <c r="C120" i="39"/>
  <c r="C121" i="39"/>
  <c r="C122" i="39"/>
  <c r="C123" i="39"/>
  <c r="C124" i="39"/>
  <c r="C125" i="39"/>
  <c r="C126" i="39"/>
  <c r="B100" i="39"/>
  <c r="B101" i="39"/>
  <c r="B102" i="39"/>
  <c r="B103" i="39"/>
  <c r="B104" i="39"/>
  <c r="B105" i="39"/>
  <c r="C100" i="39"/>
  <c r="C101" i="39"/>
  <c r="C102" i="39"/>
  <c r="C103" i="39"/>
  <c r="C104" i="39"/>
  <c r="C105" i="39"/>
  <c r="C108" i="39"/>
  <c r="C109" i="39"/>
  <c r="C110" i="39"/>
  <c r="C111" i="39"/>
  <c r="C112" i="39"/>
  <c r="C113" i="39"/>
  <c r="C114" i="39"/>
  <c r="E25" i="39"/>
  <c r="E71" i="39"/>
  <c r="E116" i="39"/>
  <c r="E142" i="39"/>
  <c r="E47" i="39"/>
  <c r="E48" i="39"/>
  <c r="E40" i="39"/>
  <c r="E101" i="39"/>
  <c r="E55" i="39"/>
  <c r="E145" i="39"/>
  <c r="E45" i="39"/>
  <c r="E41" i="39"/>
  <c r="E60" i="39"/>
  <c r="E63" i="39"/>
  <c r="E57" i="39"/>
  <c r="E138" i="39"/>
  <c r="E37" i="39"/>
  <c r="E52" i="39"/>
  <c r="E135" i="39"/>
  <c r="E35" i="39"/>
  <c r="E141" i="39"/>
  <c r="E117" i="39"/>
  <c r="E118" i="39"/>
  <c r="E68" i="39"/>
  <c r="E72" i="39"/>
  <c r="E64" i="39"/>
  <c r="E147" i="39"/>
  <c r="E73" i="39"/>
  <c r="E59" i="39"/>
  <c r="E61" i="39"/>
  <c r="E62" i="39"/>
  <c r="E53" i="39"/>
  <c r="E39" i="39"/>
  <c r="E124" i="39"/>
  <c r="E130" i="39"/>
  <c r="E67" i="39"/>
  <c r="E51" i="39"/>
  <c r="E127" i="39"/>
  <c r="E26" i="39"/>
  <c r="E133" i="39"/>
  <c r="E50" i="39"/>
  <c r="E66" i="39"/>
  <c r="E146" i="39"/>
  <c r="E143" i="39"/>
  <c r="E33" i="39"/>
  <c r="E152" i="39"/>
  <c r="E125" i="39"/>
  <c r="E28" i="39"/>
  <c r="E136" i="39"/>
  <c r="E100" i="39"/>
  <c r="E56" i="39"/>
  <c r="E140" i="39"/>
  <c r="E27" i="39"/>
  <c r="E44" i="39"/>
  <c r="E74" i="39"/>
  <c r="E144" i="39"/>
  <c r="E129" i="39"/>
  <c r="E23" i="39"/>
  <c r="E24" i="39"/>
  <c r="E128" i="39"/>
  <c r="E120" i="39"/>
  <c r="E32" i="39"/>
  <c r="E102" i="39"/>
  <c r="E43" i="39"/>
  <c r="E70" i="39"/>
  <c r="E58" i="39"/>
  <c r="E36" i="39"/>
  <c r="E122" i="39"/>
  <c r="E132" i="39"/>
  <c r="E139" i="39"/>
  <c r="E121" i="39"/>
  <c r="E65" i="39"/>
  <c r="E150" i="39"/>
  <c r="E34" i="39"/>
  <c r="E46" i="39"/>
  <c r="E31" i="39"/>
  <c r="E49" i="39"/>
  <c r="E148" i="39"/>
  <c r="E137" i="39"/>
  <c r="E30" i="39"/>
  <c r="E38" i="39"/>
  <c r="E69" i="39"/>
  <c r="E151" i="39"/>
  <c r="E131" i="39"/>
  <c r="E126" i="39"/>
  <c r="E123" i="39"/>
  <c r="E149" i="39"/>
  <c r="E103" i="39"/>
  <c r="E54" i="39"/>
  <c r="E115" i="39"/>
  <c r="E75" i="39"/>
  <c r="E134" i="39"/>
  <c r="U30" i="210" l="1"/>
  <c r="U7" i="215" l="1"/>
  <c r="U6" i="215"/>
  <c r="T46" i="215" l="1"/>
  <c r="R46" i="215"/>
  <c r="Q46" i="215"/>
  <c r="P46" i="215"/>
  <c r="N46" i="215"/>
  <c r="T45" i="215"/>
  <c r="R45" i="215"/>
  <c r="Q45" i="215"/>
  <c r="P45" i="215"/>
  <c r="N45" i="215"/>
  <c r="T44" i="215"/>
  <c r="R44" i="215"/>
  <c r="Q44" i="215"/>
  <c r="P44" i="215"/>
  <c r="N44" i="215"/>
  <c r="AJ31" i="215"/>
  <c r="AI31" i="215"/>
  <c r="AH31" i="215"/>
  <c r="AG31" i="215"/>
  <c r="U31" i="215"/>
  <c r="T31" i="215"/>
  <c r="R31" i="215"/>
  <c r="Q31" i="215"/>
  <c r="P31" i="215"/>
  <c r="N31" i="215"/>
  <c r="E31" i="215"/>
  <c r="AJ30" i="215"/>
  <c r="AI30" i="215"/>
  <c r="AH30" i="215"/>
  <c r="AG30" i="215"/>
  <c r="U30" i="215"/>
  <c r="T30" i="215"/>
  <c r="R30" i="215"/>
  <c r="Q30" i="215"/>
  <c r="M30" i="215" s="1"/>
  <c r="AK13" i="215" s="1"/>
  <c r="P30" i="215"/>
  <c r="N30" i="215"/>
  <c r="E30" i="215"/>
  <c r="AJ29" i="215"/>
  <c r="AI29" i="215"/>
  <c r="AH29" i="215"/>
  <c r="AG29" i="215"/>
  <c r="U29" i="215"/>
  <c r="T29" i="215"/>
  <c r="R29" i="215"/>
  <c r="Q29" i="215"/>
  <c r="P29" i="215"/>
  <c r="N29" i="215"/>
  <c r="E29" i="215"/>
  <c r="AF21" i="215" s="1"/>
  <c r="AJ28" i="215"/>
  <c r="AI28" i="215"/>
  <c r="AH28" i="215"/>
  <c r="AG28" i="215"/>
  <c r="U28" i="215"/>
  <c r="T28" i="215"/>
  <c r="R28" i="215"/>
  <c r="Q28" i="215"/>
  <c r="P28" i="215"/>
  <c r="N28" i="215"/>
  <c r="E28" i="215"/>
  <c r="AF31" i="215" s="1"/>
  <c r="AJ27" i="215"/>
  <c r="AI27" i="215"/>
  <c r="AH27" i="215"/>
  <c r="AG27" i="215"/>
  <c r="U27" i="215"/>
  <c r="T27" i="215"/>
  <c r="R27" i="215"/>
  <c r="Q27" i="215"/>
  <c r="P27" i="215"/>
  <c r="N27" i="215"/>
  <c r="E27" i="215"/>
  <c r="AF12" i="215" s="1"/>
  <c r="AJ26" i="215"/>
  <c r="AI26" i="215"/>
  <c r="AH26" i="215"/>
  <c r="AG26" i="215"/>
  <c r="U26" i="215"/>
  <c r="T26" i="215"/>
  <c r="R26" i="215"/>
  <c r="Q26" i="215"/>
  <c r="P26" i="215"/>
  <c r="N26" i="215"/>
  <c r="E26" i="215"/>
  <c r="AF30" i="215" s="1"/>
  <c r="AJ25" i="215"/>
  <c r="AI25" i="215"/>
  <c r="AH25" i="215"/>
  <c r="AG25" i="215"/>
  <c r="U25" i="215"/>
  <c r="T25" i="215"/>
  <c r="R25" i="215"/>
  <c r="Q25" i="215"/>
  <c r="P25" i="215"/>
  <c r="N25" i="215"/>
  <c r="E25" i="215"/>
  <c r="AF20" i="215" s="1"/>
  <c r="AJ24" i="215"/>
  <c r="AI24" i="215"/>
  <c r="AH24" i="215"/>
  <c r="AG24" i="215"/>
  <c r="U24" i="215"/>
  <c r="T24" i="215"/>
  <c r="R24" i="215"/>
  <c r="Q24" i="215"/>
  <c r="P24" i="215"/>
  <c r="N24" i="215"/>
  <c r="E24" i="215"/>
  <c r="AF11" i="215" s="1"/>
  <c r="AJ23" i="215"/>
  <c r="AI23" i="215"/>
  <c r="AH23" i="215"/>
  <c r="AG23" i="215"/>
  <c r="U23" i="215"/>
  <c r="T23" i="215"/>
  <c r="R23" i="215"/>
  <c r="Q23" i="215"/>
  <c r="P23" i="215"/>
  <c r="N23" i="215"/>
  <c r="E23" i="215"/>
  <c r="AF10" i="215" s="1"/>
  <c r="AJ22" i="215"/>
  <c r="AI22" i="215"/>
  <c r="AH22" i="215"/>
  <c r="AG22" i="215"/>
  <c r="AF22" i="215"/>
  <c r="U22" i="215"/>
  <c r="T22" i="215"/>
  <c r="R22" i="215"/>
  <c r="Q22" i="215"/>
  <c r="P22" i="215"/>
  <c r="N22" i="215"/>
  <c r="E22" i="215"/>
  <c r="AF9" i="215" s="1"/>
  <c r="AJ21" i="215"/>
  <c r="AI21" i="215"/>
  <c r="AH21" i="215"/>
  <c r="AG21" i="215"/>
  <c r="U21" i="215"/>
  <c r="T21" i="215"/>
  <c r="R21" i="215"/>
  <c r="Q21" i="215"/>
  <c r="P21" i="215"/>
  <c r="N21" i="215"/>
  <c r="E21" i="215"/>
  <c r="AF29" i="215" s="1"/>
  <c r="AJ20" i="215"/>
  <c r="AI20" i="215"/>
  <c r="AH20" i="215"/>
  <c r="AG20" i="215"/>
  <c r="U20" i="215"/>
  <c r="T20" i="215"/>
  <c r="R20" i="215"/>
  <c r="Q20" i="215"/>
  <c r="P20" i="215"/>
  <c r="N20" i="215"/>
  <c r="E20" i="215"/>
  <c r="AF19" i="215" s="1"/>
  <c r="AJ19" i="215"/>
  <c r="AI19" i="215"/>
  <c r="AH19" i="215"/>
  <c r="AG19" i="215"/>
  <c r="U19" i="215"/>
  <c r="T19" i="215"/>
  <c r="R19" i="215"/>
  <c r="Q19" i="215"/>
  <c r="M19" i="215" s="1"/>
  <c r="AK28" i="215" s="1"/>
  <c r="P19" i="215"/>
  <c r="N19" i="215"/>
  <c r="E19" i="215"/>
  <c r="AF28" i="215" s="1"/>
  <c r="AJ18" i="215"/>
  <c r="AI18" i="215"/>
  <c r="AH18" i="215"/>
  <c r="AG18" i="215"/>
  <c r="U18" i="215"/>
  <c r="T18" i="215"/>
  <c r="R18" i="215"/>
  <c r="Q18" i="215"/>
  <c r="P18" i="215"/>
  <c r="N18" i="215"/>
  <c r="E18" i="215"/>
  <c r="AF8" i="215" s="1"/>
  <c r="AJ17" i="215"/>
  <c r="AI17" i="215"/>
  <c r="AH17" i="215"/>
  <c r="AG17" i="215"/>
  <c r="U17" i="215"/>
  <c r="T17" i="215"/>
  <c r="R17" i="215"/>
  <c r="Q17" i="215"/>
  <c r="M17" i="215" s="1"/>
  <c r="AK27" i="215" s="1"/>
  <c r="P17" i="215"/>
  <c r="N17" i="215"/>
  <c r="E17" i="215"/>
  <c r="AF27" i="215" s="1"/>
  <c r="AJ16" i="215"/>
  <c r="AI16" i="215"/>
  <c r="AH16" i="215"/>
  <c r="AG16" i="215"/>
  <c r="U16" i="215"/>
  <c r="T16" i="215"/>
  <c r="R16" i="215"/>
  <c r="Q16" i="215"/>
  <c r="P16" i="215"/>
  <c r="N16" i="215"/>
  <c r="E16" i="215"/>
  <c r="AF26" i="215" s="1"/>
  <c r="AJ15" i="215"/>
  <c r="AI15" i="215"/>
  <c r="AH15" i="215"/>
  <c r="AG15" i="215"/>
  <c r="U15" i="215"/>
  <c r="T15" i="215"/>
  <c r="R15" i="215"/>
  <c r="Q15" i="215"/>
  <c r="P15" i="215"/>
  <c r="N15" i="215"/>
  <c r="E15" i="215"/>
  <c r="AF18" i="215" s="1"/>
  <c r="AJ14" i="215"/>
  <c r="AI14" i="215"/>
  <c r="AH14" i="215"/>
  <c r="AG14" i="215"/>
  <c r="U14" i="215"/>
  <c r="T14" i="215"/>
  <c r="R14" i="215"/>
  <c r="Q14" i="215"/>
  <c r="P14" i="215"/>
  <c r="N14" i="215"/>
  <c r="E14" i="215"/>
  <c r="AF17" i="215" s="1"/>
  <c r="AJ13" i="215"/>
  <c r="AI13" i="215"/>
  <c r="AH13" i="215"/>
  <c r="AG13" i="215"/>
  <c r="AF13" i="215"/>
  <c r="U13" i="215"/>
  <c r="T13" i="215"/>
  <c r="R13" i="215"/>
  <c r="Q13" i="215"/>
  <c r="P13" i="215"/>
  <c r="N13" i="215"/>
  <c r="E13" i="215"/>
  <c r="AF16" i="215" s="1"/>
  <c r="AJ12" i="215"/>
  <c r="AI12" i="215"/>
  <c r="AH12" i="215"/>
  <c r="AG12" i="215"/>
  <c r="U12" i="215"/>
  <c r="T12" i="215"/>
  <c r="R12" i="215"/>
  <c r="Q12" i="215"/>
  <c r="P12" i="215"/>
  <c r="N12" i="215"/>
  <c r="E12" i="215"/>
  <c r="AF7" i="215" s="1"/>
  <c r="AJ11" i="215"/>
  <c r="AI11" i="215"/>
  <c r="AH11" i="215"/>
  <c r="AG11" i="215"/>
  <c r="U11" i="215"/>
  <c r="T11" i="215"/>
  <c r="R11" i="215"/>
  <c r="Q11" i="215"/>
  <c r="P11" i="215"/>
  <c r="N11" i="215"/>
  <c r="E11" i="215"/>
  <c r="AF25" i="215" s="1"/>
  <c r="AJ10" i="215"/>
  <c r="AI10" i="215"/>
  <c r="AH10" i="215"/>
  <c r="AG10" i="215"/>
  <c r="U10" i="215"/>
  <c r="T10" i="215"/>
  <c r="R10" i="215"/>
  <c r="Q10" i="215"/>
  <c r="M10" i="215" s="1"/>
  <c r="AK6" i="215" s="1"/>
  <c r="P10" i="215"/>
  <c r="N10" i="215"/>
  <c r="E10" i="215"/>
  <c r="AF6" i="215" s="1"/>
  <c r="AJ9" i="215"/>
  <c r="AI9" i="215"/>
  <c r="AH9" i="215"/>
  <c r="AG9" i="215"/>
  <c r="U9" i="215"/>
  <c r="T9" i="215"/>
  <c r="R9" i="215"/>
  <c r="Q9" i="215"/>
  <c r="P9" i="215"/>
  <c r="N9" i="215"/>
  <c r="E9" i="215"/>
  <c r="AF15" i="215" s="1"/>
  <c r="AJ8" i="215"/>
  <c r="AI8" i="215"/>
  <c r="AH8" i="215"/>
  <c r="AG8" i="215"/>
  <c r="U8" i="215"/>
  <c r="T8" i="215"/>
  <c r="R8" i="215"/>
  <c r="Q8" i="215"/>
  <c r="P8" i="215"/>
  <c r="N8" i="215"/>
  <c r="E8" i="215"/>
  <c r="AF24" i="215" s="1"/>
  <c r="AJ7" i="215"/>
  <c r="AI7" i="215"/>
  <c r="AH7" i="215"/>
  <c r="AG7" i="215"/>
  <c r="T7" i="215"/>
  <c r="R7" i="215"/>
  <c r="Q7" i="215"/>
  <c r="P7" i="215"/>
  <c r="N7" i="215"/>
  <c r="E7" i="215"/>
  <c r="AF23" i="215" s="1"/>
  <c r="AJ6" i="215"/>
  <c r="AI6" i="215"/>
  <c r="AH6" i="215"/>
  <c r="AG6" i="215"/>
  <c r="T6" i="215"/>
  <c r="R6" i="215"/>
  <c r="Q6" i="215"/>
  <c r="P6" i="215"/>
  <c r="N6" i="215"/>
  <c r="E6" i="215"/>
  <c r="C93" i="39"/>
  <c r="AI6" i="214"/>
  <c r="AH6" i="214"/>
  <c r="AG6" i="214"/>
  <c r="N44" i="214"/>
  <c r="N46" i="214"/>
  <c r="N45" i="214"/>
  <c r="T44" i="214"/>
  <c r="M29" i="215" l="1"/>
  <c r="AK21" i="215" s="1"/>
  <c r="M44" i="215"/>
  <c r="M46" i="215"/>
  <c r="M20" i="215"/>
  <c r="AK19" i="215" s="1"/>
  <c r="AC15" i="215"/>
  <c r="AB26" i="215"/>
  <c r="M45" i="215"/>
  <c r="M12" i="215"/>
  <c r="AK7" i="215" s="1"/>
  <c r="M27" i="215"/>
  <c r="AK12" i="215" s="1"/>
  <c r="M21" i="215"/>
  <c r="AK29" i="215" s="1"/>
  <c r="AB6" i="215"/>
  <c r="M13" i="215"/>
  <c r="AK16" i="215" s="1"/>
  <c r="AB18" i="215"/>
  <c r="M16" i="215"/>
  <c r="AK26" i="215" s="1"/>
  <c r="AB27" i="215"/>
  <c r="O18" i="215"/>
  <c r="M11" i="215"/>
  <c r="AK25" i="215" s="1"/>
  <c r="M15" i="215"/>
  <c r="AK18" i="215" s="1"/>
  <c r="M24" i="215"/>
  <c r="AK11" i="215" s="1"/>
  <c r="M25" i="215"/>
  <c r="AK20" i="215" s="1"/>
  <c r="M31" i="215"/>
  <c r="AK22" i="215" s="1"/>
  <c r="M8" i="215"/>
  <c r="AK24" i="215" s="1"/>
  <c r="M22" i="215"/>
  <c r="AK9" i="215" s="1"/>
  <c r="M9" i="215"/>
  <c r="AK15" i="215" s="1"/>
  <c r="M18" i="215"/>
  <c r="AK8" i="215" s="1"/>
  <c r="M28" i="215"/>
  <c r="AK31" i="215" s="1"/>
  <c r="M7" i="215"/>
  <c r="AK23" i="215" s="1"/>
  <c r="M6" i="215"/>
  <c r="AK14" i="215" s="1"/>
  <c r="M14" i="215"/>
  <c r="AK17" i="215" s="1"/>
  <c r="M23" i="215"/>
  <c r="AK10" i="215" s="1"/>
  <c r="M26" i="215"/>
  <c r="AK30" i="215" s="1"/>
  <c r="AD11" i="215"/>
  <c r="AB10" i="215"/>
  <c r="O11" i="215"/>
  <c r="AB13" i="215"/>
  <c r="O15" i="215"/>
  <c r="AD16" i="215"/>
  <c r="AC24" i="215"/>
  <c r="O30" i="215"/>
  <c r="O8" i="215"/>
  <c r="O17" i="215"/>
  <c r="O27" i="215"/>
  <c r="AD29" i="215"/>
  <c r="AB29" i="215"/>
  <c r="AB31" i="215"/>
  <c r="O46" i="215"/>
  <c r="AC7" i="215"/>
  <c r="AC23" i="215"/>
  <c r="J46" i="215" s="1"/>
  <c r="AD8" i="215"/>
  <c r="O19" i="215"/>
  <c r="AB14" i="215"/>
  <c r="AB21" i="215"/>
  <c r="O26" i="215"/>
  <c r="AB28" i="215"/>
  <c r="AB20" i="215"/>
  <c r="O25" i="215"/>
  <c r="O10" i="215"/>
  <c r="O24" i="215"/>
  <c r="O31" i="215"/>
  <c r="AB12" i="215"/>
  <c r="AC22" i="215"/>
  <c r="O45" i="215"/>
  <c r="O7" i="215"/>
  <c r="O9" i="215"/>
  <c r="O16" i="215"/>
  <c r="O23" i="215"/>
  <c r="AC30" i="215"/>
  <c r="O44" i="215"/>
  <c r="S11" i="215"/>
  <c r="AB11" i="215"/>
  <c r="AD13" i="215"/>
  <c r="AB19" i="215"/>
  <c r="AD6" i="215"/>
  <c r="K44" i="215" s="1"/>
  <c r="AC9" i="215"/>
  <c r="S13" i="215"/>
  <c r="AD14" i="215"/>
  <c r="K45" i="215" s="1"/>
  <c r="AC17" i="215"/>
  <c r="S21" i="215"/>
  <c r="AD22" i="215"/>
  <c r="AC25" i="215"/>
  <c r="S29" i="215"/>
  <c r="AD30" i="215"/>
  <c r="AB7" i="215"/>
  <c r="S8" i="215"/>
  <c r="AD9" i="215"/>
  <c r="O12" i="215"/>
  <c r="AC12" i="215"/>
  <c r="AF14" i="215"/>
  <c r="AB15" i="215"/>
  <c r="S16" i="215"/>
  <c r="AD17" i="215"/>
  <c r="O20" i="215"/>
  <c r="AC20" i="215"/>
  <c r="AB23" i="215"/>
  <c r="S24" i="215"/>
  <c r="AD25" i="215"/>
  <c r="O28" i="215"/>
  <c r="AC28" i="215"/>
  <c r="AD12" i="215"/>
  <c r="S19" i="215"/>
  <c r="AD20" i="215"/>
  <c r="S27" i="215"/>
  <c r="AD28" i="215"/>
  <c r="AC31" i="215"/>
  <c r="S44" i="215"/>
  <c r="S6" i="215"/>
  <c r="AD7" i="215"/>
  <c r="AC10" i="215"/>
  <c r="S14" i="215"/>
  <c r="AD15" i="215"/>
  <c r="AC18" i="215"/>
  <c r="S22" i="215"/>
  <c r="AD23" i="215"/>
  <c r="K46" i="215" s="1"/>
  <c r="AC26" i="215"/>
  <c r="S30" i="215"/>
  <c r="AD31" i="215"/>
  <c r="AB8" i="215"/>
  <c r="S9" i="215"/>
  <c r="AD10" i="215"/>
  <c r="O13" i="215"/>
  <c r="AC13" i="215"/>
  <c r="AB16" i="215"/>
  <c r="S17" i="215"/>
  <c r="AD18" i="215"/>
  <c r="O21" i="215"/>
  <c r="AC21" i="215"/>
  <c r="AB24" i="215"/>
  <c r="S25" i="215"/>
  <c r="AD26" i="215"/>
  <c r="O29" i="215"/>
  <c r="AC29" i="215"/>
  <c r="S45" i="215"/>
  <c r="AC8" i="215"/>
  <c r="S12" i="215"/>
  <c r="AC16" i="215"/>
  <c r="S20" i="215"/>
  <c r="AD21" i="215"/>
  <c r="S28" i="215"/>
  <c r="S7" i="215"/>
  <c r="AC11" i="215"/>
  <c r="S15" i="215"/>
  <c r="AC19" i="215"/>
  <c r="AB22" i="215"/>
  <c r="S23" i="215"/>
  <c r="AD24" i="215"/>
  <c r="AC27" i="215"/>
  <c r="AB30" i="215"/>
  <c r="S31" i="215"/>
  <c r="S46" i="215"/>
  <c r="O6" i="215"/>
  <c r="AC6" i="215"/>
  <c r="J44" i="215" s="1"/>
  <c r="AB9" i="215"/>
  <c r="S10" i="215"/>
  <c r="O14" i="215"/>
  <c r="AC14" i="215"/>
  <c r="J45" i="215" s="1"/>
  <c r="AB17" i="215"/>
  <c r="S18" i="215"/>
  <c r="AD19" i="215"/>
  <c r="O22" i="215"/>
  <c r="AB25" i="215"/>
  <c r="S26" i="215"/>
  <c r="AD27" i="215"/>
  <c r="T46" i="214" l="1"/>
  <c r="R46" i="214"/>
  <c r="Q46" i="214"/>
  <c r="P46" i="214"/>
  <c r="M46" i="214"/>
  <c r="T45" i="214"/>
  <c r="R45" i="214"/>
  <c r="Q45" i="214"/>
  <c r="P45" i="214"/>
  <c r="R44" i="214"/>
  <c r="Q44" i="214"/>
  <c r="M44" i="214" s="1"/>
  <c r="P44" i="214"/>
  <c r="AJ31" i="214"/>
  <c r="AI31" i="214"/>
  <c r="AH31" i="214"/>
  <c r="AG31" i="214"/>
  <c r="U31" i="214"/>
  <c r="T31" i="214"/>
  <c r="R31" i="214"/>
  <c r="Q31" i="214"/>
  <c r="P31" i="214"/>
  <c r="N31" i="214"/>
  <c r="E31" i="214"/>
  <c r="AF22" i="214" s="1"/>
  <c r="AJ30" i="214"/>
  <c r="AI30" i="214"/>
  <c r="AH30" i="214"/>
  <c r="AG30" i="214"/>
  <c r="U30" i="214"/>
  <c r="T30" i="214"/>
  <c r="R30" i="214"/>
  <c r="Q30" i="214"/>
  <c r="M30" i="214" s="1"/>
  <c r="AK13" i="214" s="1"/>
  <c r="P30" i="214"/>
  <c r="N30" i="214"/>
  <c r="E30" i="214"/>
  <c r="AJ29" i="214"/>
  <c r="AI29" i="214"/>
  <c r="AH29" i="214"/>
  <c r="AG29" i="214"/>
  <c r="U29" i="214"/>
  <c r="T29" i="214"/>
  <c r="R29" i="214"/>
  <c r="Q29" i="214"/>
  <c r="P29" i="214"/>
  <c r="N29" i="214"/>
  <c r="E29" i="214"/>
  <c r="AF21" i="214" s="1"/>
  <c r="AJ28" i="214"/>
  <c r="AI28" i="214"/>
  <c r="AH28" i="214"/>
  <c r="AG28" i="214"/>
  <c r="U28" i="214"/>
  <c r="T28" i="214"/>
  <c r="R28" i="214"/>
  <c r="Q28" i="214"/>
  <c r="M28" i="214" s="1"/>
  <c r="AK31" i="214" s="1"/>
  <c r="P28" i="214"/>
  <c r="N28" i="214"/>
  <c r="E28" i="214"/>
  <c r="AF31" i="214" s="1"/>
  <c r="AJ27" i="214"/>
  <c r="AI27" i="214"/>
  <c r="AH27" i="214"/>
  <c r="AG27" i="214"/>
  <c r="U27" i="214"/>
  <c r="T27" i="214"/>
  <c r="R27" i="214"/>
  <c r="Q27" i="214"/>
  <c r="P27" i="214"/>
  <c r="N27" i="214"/>
  <c r="E27" i="214"/>
  <c r="AF12" i="214" s="1"/>
  <c r="AJ26" i="214"/>
  <c r="AI26" i="214"/>
  <c r="AH26" i="214"/>
  <c r="AG26" i="214"/>
  <c r="U26" i="214"/>
  <c r="T26" i="214"/>
  <c r="R26" i="214"/>
  <c r="Q26" i="214"/>
  <c r="M26" i="214" s="1"/>
  <c r="AK30" i="214" s="1"/>
  <c r="P26" i="214"/>
  <c r="N26" i="214"/>
  <c r="E26" i="214"/>
  <c r="AF30" i="214" s="1"/>
  <c r="AJ25" i="214"/>
  <c r="AI25" i="214"/>
  <c r="AH25" i="214"/>
  <c r="AG25" i="214"/>
  <c r="U25" i="214"/>
  <c r="T25" i="214"/>
  <c r="R25" i="214"/>
  <c r="Q25" i="214"/>
  <c r="P25" i="214"/>
  <c r="N25" i="214"/>
  <c r="E25" i="214"/>
  <c r="AJ24" i="214"/>
  <c r="AI24" i="214"/>
  <c r="AH24" i="214"/>
  <c r="AG24" i="214"/>
  <c r="U24" i="214"/>
  <c r="T24" i="214"/>
  <c r="R24" i="214"/>
  <c r="Q24" i="214"/>
  <c r="P24" i="214"/>
  <c r="N24" i="214"/>
  <c r="E24" i="214"/>
  <c r="AF11" i="214" s="1"/>
  <c r="AJ23" i="214"/>
  <c r="AI23" i="214"/>
  <c r="AH23" i="214"/>
  <c r="AG23" i="214"/>
  <c r="U23" i="214"/>
  <c r="T23" i="214"/>
  <c r="R23" i="214"/>
  <c r="Q23" i="214"/>
  <c r="P23" i="214"/>
  <c r="N23" i="214"/>
  <c r="E23" i="214"/>
  <c r="AF10" i="214" s="1"/>
  <c r="AJ22" i="214"/>
  <c r="AI22" i="214"/>
  <c r="AH22" i="214"/>
  <c r="AG22" i="214"/>
  <c r="U22" i="214"/>
  <c r="T22" i="214"/>
  <c r="R22" i="214"/>
  <c r="Q22" i="214"/>
  <c r="P22" i="214"/>
  <c r="N22" i="214"/>
  <c r="E22" i="214"/>
  <c r="AF9" i="214" s="1"/>
  <c r="AJ21" i="214"/>
  <c r="AI21" i="214"/>
  <c r="AH21" i="214"/>
  <c r="AG21" i="214"/>
  <c r="U21" i="214"/>
  <c r="T21" i="214"/>
  <c r="R21" i="214"/>
  <c r="Q21" i="214"/>
  <c r="M21" i="214" s="1"/>
  <c r="AK29" i="214" s="1"/>
  <c r="P21" i="214"/>
  <c r="N21" i="214"/>
  <c r="E21" i="214"/>
  <c r="AF29" i="214" s="1"/>
  <c r="AJ20" i="214"/>
  <c r="AI20" i="214"/>
  <c r="AH20" i="214"/>
  <c r="AG20" i="214"/>
  <c r="AF20" i="214"/>
  <c r="U20" i="214"/>
  <c r="T20" i="214"/>
  <c r="R20" i="214"/>
  <c r="Q20" i="214"/>
  <c r="P20" i="214"/>
  <c r="N20" i="214"/>
  <c r="E20" i="214"/>
  <c r="AF19" i="214" s="1"/>
  <c r="AJ19" i="214"/>
  <c r="AI19" i="214"/>
  <c r="AH19" i="214"/>
  <c r="AG19" i="214"/>
  <c r="U19" i="214"/>
  <c r="T19" i="214"/>
  <c r="R19" i="214"/>
  <c r="Q19" i="214"/>
  <c r="P19" i="214"/>
  <c r="N19" i="214"/>
  <c r="E19" i="214"/>
  <c r="AF28" i="214" s="1"/>
  <c r="AJ18" i="214"/>
  <c r="AI18" i="214"/>
  <c r="AH18" i="214"/>
  <c r="AG18" i="214"/>
  <c r="U18" i="214"/>
  <c r="T18" i="214"/>
  <c r="R18" i="214"/>
  <c r="Q18" i="214"/>
  <c r="P18" i="214"/>
  <c r="N18" i="214"/>
  <c r="E18" i="214"/>
  <c r="AF8" i="214" s="1"/>
  <c r="AJ17" i="214"/>
  <c r="AI17" i="214"/>
  <c r="AH17" i="214"/>
  <c r="AG17" i="214"/>
  <c r="U17" i="214"/>
  <c r="T17" i="214"/>
  <c r="R17" i="214"/>
  <c r="Q17" i="214"/>
  <c r="M17" i="214" s="1"/>
  <c r="AK27" i="214" s="1"/>
  <c r="P17" i="214"/>
  <c r="N17" i="214"/>
  <c r="E17" i="214"/>
  <c r="AF27" i="214" s="1"/>
  <c r="AJ16" i="214"/>
  <c r="AI16" i="214"/>
  <c r="AH16" i="214"/>
  <c r="AG16" i="214"/>
  <c r="U16" i="214"/>
  <c r="T16" i="214"/>
  <c r="R16" i="214"/>
  <c r="Q16" i="214"/>
  <c r="P16" i="214"/>
  <c r="N16" i="214"/>
  <c r="E16" i="214"/>
  <c r="AF26" i="214" s="1"/>
  <c r="AJ15" i="214"/>
  <c r="AI15" i="214"/>
  <c r="AH15" i="214"/>
  <c r="AG15" i="214"/>
  <c r="U15" i="214"/>
  <c r="T15" i="214"/>
  <c r="R15" i="214"/>
  <c r="Q15" i="214"/>
  <c r="P15" i="214"/>
  <c r="N15" i="214"/>
  <c r="E15" i="214"/>
  <c r="AF18" i="214" s="1"/>
  <c r="AJ14" i="214"/>
  <c r="AI14" i="214"/>
  <c r="AH14" i="214"/>
  <c r="AG14" i="214"/>
  <c r="U14" i="214"/>
  <c r="T14" i="214"/>
  <c r="R14" i="214"/>
  <c r="Q14" i="214"/>
  <c r="M14" i="214" s="1"/>
  <c r="AK17" i="214" s="1"/>
  <c r="P14" i="214"/>
  <c r="N14" i="214"/>
  <c r="E14" i="214"/>
  <c r="AF17" i="214" s="1"/>
  <c r="AJ13" i="214"/>
  <c r="AI13" i="214"/>
  <c r="AH13" i="214"/>
  <c r="AG13" i="214"/>
  <c r="AF13" i="214"/>
  <c r="U13" i="214"/>
  <c r="T13" i="214"/>
  <c r="R13" i="214"/>
  <c r="M13" i="214" s="1"/>
  <c r="AK16" i="214" s="1"/>
  <c r="Q13" i="214"/>
  <c r="P13" i="214"/>
  <c r="N13" i="214"/>
  <c r="E13" i="214"/>
  <c r="AF16" i="214" s="1"/>
  <c r="AJ12" i="214"/>
  <c r="AI12" i="214"/>
  <c r="AH12" i="214"/>
  <c r="AG12" i="214"/>
  <c r="U12" i="214"/>
  <c r="T12" i="214"/>
  <c r="R12" i="214"/>
  <c r="Q12" i="214"/>
  <c r="M12" i="214" s="1"/>
  <c r="AK7" i="214" s="1"/>
  <c r="P12" i="214"/>
  <c r="N12" i="214"/>
  <c r="E12" i="214"/>
  <c r="AF7" i="214" s="1"/>
  <c r="AJ11" i="214"/>
  <c r="AI11" i="214"/>
  <c r="AH11" i="214"/>
  <c r="AG11" i="214"/>
  <c r="U11" i="214"/>
  <c r="T11" i="214"/>
  <c r="R11" i="214"/>
  <c r="Q11" i="214"/>
  <c r="M11" i="214" s="1"/>
  <c r="AK25" i="214" s="1"/>
  <c r="P11" i="214"/>
  <c r="N11" i="214"/>
  <c r="E11" i="214"/>
  <c r="AF25" i="214" s="1"/>
  <c r="AJ10" i="214"/>
  <c r="AI10" i="214"/>
  <c r="AH10" i="214"/>
  <c r="AG10" i="214"/>
  <c r="U10" i="214"/>
  <c r="T10" i="214"/>
  <c r="R10" i="214"/>
  <c r="Q10" i="214"/>
  <c r="P10" i="214"/>
  <c r="N10" i="214"/>
  <c r="E10" i="214"/>
  <c r="AF6" i="214" s="1"/>
  <c r="AJ9" i="214"/>
  <c r="AI9" i="214"/>
  <c r="AH9" i="214"/>
  <c r="AG9" i="214"/>
  <c r="U9" i="214"/>
  <c r="T9" i="214"/>
  <c r="R9" i="214"/>
  <c r="Q9" i="214"/>
  <c r="P9" i="214"/>
  <c r="N9" i="214"/>
  <c r="E9" i="214"/>
  <c r="AF15" i="214" s="1"/>
  <c r="AJ8" i="214"/>
  <c r="AI8" i="214"/>
  <c r="AH8" i="214"/>
  <c r="AG8" i="214"/>
  <c r="U8" i="214"/>
  <c r="T8" i="214"/>
  <c r="R8" i="214"/>
  <c r="Q8" i="214"/>
  <c r="P8" i="214"/>
  <c r="N8" i="214"/>
  <c r="E8" i="214"/>
  <c r="AF24" i="214" s="1"/>
  <c r="AJ7" i="214"/>
  <c r="AI7" i="214"/>
  <c r="AH7" i="214"/>
  <c r="AG7" i="214"/>
  <c r="U7" i="214"/>
  <c r="T7" i="214"/>
  <c r="R7" i="214"/>
  <c r="Q7" i="214"/>
  <c r="P7" i="214"/>
  <c r="N7" i="214"/>
  <c r="E7" i="214"/>
  <c r="AJ6" i="214"/>
  <c r="U6" i="214"/>
  <c r="T6" i="214"/>
  <c r="R6" i="214"/>
  <c r="Q6" i="214"/>
  <c r="P6" i="214"/>
  <c r="N6" i="214"/>
  <c r="E6" i="214"/>
  <c r="M25" i="214" l="1"/>
  <c r="AK20" i="214" s="1"/>
  <c r="M23" i="214"/>
  <c r="AK10" i="214" s="1"/>
  <c r="M31" i="214"/>
  <c r="AK22" i="214" s="1"/>
  <c r="M9" i="214"/>
  <c r="AK15" i="214" s="1"/>
  <c r="M19" i="214"/>
  <c r="AK28" i="214" s="1"/>
  <c r="M15" i="214"/>
  <c r="AK18" i="214" s="1"/>
  <c r="M18" i="214"/>
  <c r="AK8" i="214" s="1"/>
  <c r="M6" i="214"/>
  <c r="AK14" i="214" s="1"/>
  <c r="M10" i="214"/>
  <c r="AK6" i="214" s="1"/>
  <c r="AD11" i="214"/>
  <c r="M29" i="214"/>
  <c r="AK21" i="214" s="1"/>
  <c r="M7" i="214"/>
  <c r="AK23" i="214" s="1"/>
  <c r="M27" i="214"/>
  <c r="AK12" i="214" s="1"/>
  <c r="O30" i="214"/>
  <c r="O44" i="214"/>
  <c r="S46" i="214"/>
  <c r="S45" i="214"/>
  <c r="O46" i="214"/>
  <c r="S44" i="214"/>
  <c r="O45" i="214"/>
  <c r="AB16" i="214"/>
  <c r="AB15" i="214"/>
  <c r="AB6" i="214"/>
  <c r="AC17" i="214"/>
  <c r="AC16" i="214"/>
  <c r="AB14" i="214"/>
  <c r="AC15" i="214"/>
  <c r="AC21" i="214"/>
  <c r="AC19" i="214"/>
  <c r="AC18" i="214"/>
  <c r="AC22" i="214"/>
  <c r="AC20" i="214"/>
  <c r="AC14" i="214"/>
  <c r="J45" i="214" s="1"/>
  <c r="AC30" i="214"/>
  <c r="M16" i="214"/>
  <c r="AK26" i="214" s="1"/>
  <c r="M45" i="214"/>
  <c r="M8" i="214"/>
  <c r="AK24" i="214" s="1"/>
  <c r="M20" i="214"/>
  <c r="AK19" i="214" s="1"/>
  <c r="M22" i="214"/>
  <c r="AK9" i="214" s="1"/>
  <c r="M24" i="214"/>
  <c r="AK11" i="214" s="1"/>
  <c r="AD15" i="214"/>
  <c r="AB11" i="214"/>
  <c r="AB20" i="214"/>
  <c r="AD22" i="214"/>
  <c r="S24" i="214"/>
  <c r="AD12" i="214"/>
  <c r="AB27" i="214"/>
  <c r="AB12" i="214"/>
  <c r="AB23" i="214"/>
  <c r="O14" i="214"/>
  <c r="S8" i="214"/>
  <c r="AD14" i="214"/>
  <c r="K45" i="214" s="1"/>
  <c r="AB30" i="214"/>
  <c r="AC6" i="214"/>
  <c r="J44" i="214" s="1"/>
  <c r="O28" i="214"/>
  <c r="AB7" i="214"/>
  <c r="AB28" i="214"/>
  <c r="AC9" i="214"/>
  <c r="S16" i="214"/>
  <c r="S21" i="214"/>
  <c r="AB22" i="214"/>
  <c r="AB25" i="214"/>
  <c r="AD8" i="214"/>
  <c r="O9" i="214"/>
  <c r="S13" i="214"/>
  <c r="AF14" i="214"/>
  <c r="AB19" i="214"/>
  <c r="AC25" i="214"/>
  <c r="S29" i="214"/>
  <c r="AD6" i="214"/>
  <c r="K44" i="214" s="1"/>
  <c r="O17" i="214"/>
  <c r="O12" i="214"/>
  <c r="AD25" i="214"/>
  <c r="O7" i="214"/>
  <c r="AD20" i="214"/>
  <c r="O23" i="214"/>
  <c r="AC23" i="214"/>
  <c r="J46" i="214" s="1"/>
  <c r="AB26" i="214"/>
  <c r="AD28" i="214"/>
  <c r="AD7" i="214"/>
  <c r="S14" i="214"/>
  <c r="O18" i="214"/>
  <c r="AB21" i="214"/>
  <c r="S22" i="214"/>
  <c r="AD23" i="214"/>
  <c r="K46" i="214" s="1"/>
  <c r="O26" i="214"/>
  <c r="AC26" i="214"/>
  <c r="AB29" i="214"/>
  <c r="S30" i="214"/>
  <c r="AD31" i="214"/>
  <c r="AB8" i="214"/>
  <c r="S9" i="214"/>
  <c r="AD10" i="214"/>
  <c r="O13" i="214"/>
  <c r="AC13" i="214"/>
  <c r="S17" i="214"/>
  <c r="AD18" i="214"/>
  <c r="O21" i="214"/>
  <c r="AF23" i="214"/>
  <c r="AB24" i="214"/>
  <c r="S25" i="214"/>
  <c r="AD26" i="214"/>
  <c r="O29" i="214"/>
  <c r="AC29" i="214"/>
  <c r="AD30" i="214"/>
  <c r="AC12" i="214"/>
  <c r="AD17" i="214"/>
  <c r="AC28" i="214"/>
  <c r="AB31" i="214"/>
  <c r="S11" i="214"/>
  <c r="S27" i="214"/>
  <c r="AC31" i="214"/>
  <c r="O10" i="214"/>
  <c r="AC10" i="214"/>
  <c r="AB13" i="214"/>
  <c r="O8" i="214"/>
  <c r="AC8" i="214"/>
  <c r="S12" i="214"/>
  <c r="AD13" i="214"/>
  <c r="S20" i="214"/>
  <c r="O24" i="214"/>
  <c r="S28" i="214"/>
  <c r="AD29" i="214"/>
  <c r="S7" i="214"/>
  <c r="O11" i="214"/>
  <c r="AC11" i="214"/>
  <c r="S15" i="214"/>
  <c r="AD16" i="214"/>
  <c r="O19" i="214"/>
  <c r="S23" i="214"/>
  <c r="AD24" i="214"/>
  <c r="O27" i="214"/>
  <c r="AC27" i="214"/>
  <c r="S31" i="214"/>
  <c r="O25" i="214"/>
  <c r="AD9" i="214"/>
  <c r="O20" i="214"/>
  <c r="AC7" i="214"/>
  <c r="AB10" i="214"/>
  <c r="O15" i="214"/>
  <c r="AB18" i="214"/>
  <c r="S19" i="214"/>
  <c r="O31" i="214"/>
  <c r="S6" i="214"/>
  <c r="O16" i="214"/>
  <c r="AD21" i="214"/>
  <c r="AC24" i="214"/>
  <c r="O6" i="214"/>
  <c r="AB9" i="214"/>
  <c r="S10" i="214"/>
  <c r="AB17" i="214"/>
  <c r="S18" i="214"/>
  <c r="AD19" i="214"/>
  <c r="O22" i="214"/>
  <c r="S26" i="214"/>
  <c r="AD27" i="214"/>
  <c r="C20" i="116" l="1"/>
  <c r="D20" i="116"/>
  <c r="C21" i="116"/>
  <c r="D21" i="116"/>
  <c r="C22" i="116"/>
  <c r="D22" i="116"/>
  <c r="C23" i="116"/>
  <c r="D23" i="116"/>
  <c r="C24" i="116"/>
  <c r="D24" i="116"/>
  <c r="C25" i="116"/>
  <c r="D25" i="116"/>
  <c r="C26" i="116"/>
  <c r="D26" i="116"/>
  <c r="U6" i="213" l="1"/>
  <c r="U6" i="166" l="1"/>
  <c r="Y84" i="39" l="1"/>
  <c r="T46" i="213" l="1"/>
  <c r="R46" i="213"/>
  <c r="Q46" i="213"/>
  <c r="P46" i="213"/>
  <c r="N46" i="213"/>
  <c r="T45" i="213"/>
  <c r="R45" i="213"/>
  <c r="Q45" i="213"/>
  <c r="P45" i="213"/>
  <c r="N45" i="213"/>
  <c r="T44" i="213"/>
  <c r="R44" i="213"/>
  <c r="Q44" i="213"/>
  <c r="P44" i="213"/>
  <c r="N44" i="213"/>
  <c r="AJ31" i="213"/>
  <c r="AI31" i="213"/>
  <c r="AH31" i="213"/>
  <c r="AG31" i="213"/>
  <c r="U31" i="213"/>
  <c r="T31" i="213"/>
  <c r="R31" i="213"/>
  <c r="Q31" i="213"/>
  <c r="M31" i="213" s="1"/>
  <c r="AK22" i="213" s="1"/>
  <c r="P31" i="213"/>
  <c r="N31" i="213"/>
  <c r="E31" i="213"/>
  <c r="AF22" i="213" s="1"/>
  <c r="AJ30" i="213"/>
  <c r="AI30" i="213"/>
  <c r="AH30" i="213"/>
  <c r="AG30" i="213"/>
  <c r="U30" i="213"/>
  <c r="T30" i="213"/>
  <c r="R30" i="213"/>
  <c r="Q30" i="213"/>
  <c r="P30" i="213"/>
  <c r="N30" i="213"/>
  <c r="E30" i="213"/>
  <c r="AF13" i="213" s="1"/>
  <c r="AJ29" i="213"/>
  <c r="AI29" i="213"/>
  <c r="AH29" i="213"/>
  <c r="AG29" i="213"/>
  <c r="U29" i="213"/>
  <c r="T29" i="213"/>
  <c r="R29" i="213"/>
  <c r="Q29" i="213"/>
  <c r="P29" i="213"/>
  <c r="N29" i="213"/>
  <c r="E29" i="213"/>
  <c r="AF21" i="213" s="1"/>
  <c r="AJ28" i="213"/>
  <c r="AI28" i="213"/>
  <c r="AH28" i="213"/>
  <c r="AG28" i="213"/>
  <c r="U28" i="213"/>
  <c r="T28" i="213"/>
  <c r="R28" i="213"/>
  <c r="Q28" i="213"/>
  <c r="M28" i="213" s="1"/>
  <c r="AK31" i="213" s="1"/>
  <c r="P28" i="213"/>
  <c r="N28" i="213"/>
  <c r="E28" i="213"/>
  <c r="AF31" i="213" s="1"/>
  <c r="AJ27" i="213"/>
  <c r="AI27" i="213"/>
  <c r="AH27" i="213"/>
  <c r="AG27" i="213"/>
  <c r="U27" i="213"/>
  <c r="T27" i="213"/>
  <c r="R27" i="213"/>
  <c r="Q27" i="213"/>
  <c r="P27" i="213"/>
  <c r="N27" i="213"/>
  <c r="E27" i="213"/>
  <c r="AJ26" i="213"/>
  <c r="AI26" i="213"/>
  <c r="AH26" i="213"/>
  <c r="AG26" i="213"/>
  <c r="U26" i="213"/>
  <c r="T26" i="213"/>
  <c r="R26" i="213"/>
  <c r="Q26" i="213"/>
  <c r="M26" i="213" s="1"/>
  <c r="AK30" i="213" s="1"/>
  <c r="P26" i="213"/>
  <c r="N26" i="213"/>
  <c r="E26" i="213"/>
  <c r="AF30" i="213" s="1"/>
  <c r="AJ25" i="213"/>
  <c r="AI25" i="213"/>
  <c r="AH25" i="213"/>
  <c r="AG25" i="213"/>
  <c r="U25" i="213"/>
  <c r="T25" i="213"/>
  <c r="R25" i="213"/>
  <c r="Q25" i="213"/>
  <c r="P25" i="213"/>
  <c r="N25" i="213"/>
  <c r="E25" i="213"/>
  <c r="AF20" i="213" s="1"/>
  <c r="AJ24" i="213"/>
  <c r="AI24" i="213"/>
  <c r="AH24" i="213"/>
  <c r="AG24" i="213"/>
  <c r="U24" i="213"/>
  <c r="T24" i="213"/>
  <c r="R24" i="213"/>
  <c r="Q24" i="213"/>
  <c r="M24" i="213" s="1"/>
  <c r="AK11" i="213" s="1"/>
  <c r="P24" i="213"/>
  <c r="N24" i="213"/>
  <c r="E24" i="213"/>
  <c r="AF11" i="213" s="1"/>
  <c r="AJ23" i="213"/>
  <c r="AI23" i="213"/>
  <c r="AH23" i="213"/>
  <c r="AG23" i="213"/>
  <c r="U23" i="213"/>
  <c r="T23" i="213"/>
  <c r="R23" i="213"/>
  <c r="Q23" i="213"/>
  <c r="M23" i="213" s="1"/>
  <c r="AK10" i="213" s="1"/>
  <c r="P23" i="213"/>
  <c r="N23" i="213"/>
  <c r="E23" i="213"/>
  <c r="AF10" i="213" s="1"/>
  <c r="AJ22" i="213"/>
  <c r="AI22" i="213"/>
  <c r="AH22" i="213"/>
  <c r="AG22" i="213"/>
  <c r="U22" i="213"/>
  <c r="T22" i="213"/>
  <c r="R22" i="213"/>
  <c r="Q22" i="213"/>
  <c r="M22" i="213" s="1"/>
  <c r="AK9" i="213" s="1"/>
  <c r="P22" i="213"/>
  <c r="N22" i="213"/>
  <c r="E22" i="213"/>
  <c r="AF9" i="213" s="1"/>
  <c r="AJ21" i="213"/>
  <c r="AI21" i="213"/>
  <c r="AH21" i="213"/>
  <c r="AG21" i="213"/>
  <c r="U21" i="213"/>
  <c r="T21" i="213"/>
  <c r="R21" i="213"/>
  <c r="Q21" i="213"/>
  <c r="P21" i="213"/>
  <c r="N21" i="213"/>
  <c r="E21" i="213"/>
  <c r="AF29" i="213" s="1"/>
  <c r="AJ20" i="213"/>
  <c r="AI20" i="213"/>
  <c r="AH20" i="213"/>
  <c r="AG20" i="213"/>
  <c r="U20" i="213"/>
  <c r="T20" i="213"/>
  <c r="R20" i="213"/>
  <c r="Q20" i="213"/>
  <c r="M20" i="213" s="1"/>
  <c r="AK19" i="213" s="1"/>
  <c r="P20" i="213"/>
  <c r="N20" i="213"/>
  <c r="E20" i="213"/>
  <c r="AJ19" i="213"/>
  <c r="AI19" i="213"/>
  <c r="AH19" i="213"/>
  <c r="AG19" i="213"/>
  <c r="AF19" i="213"/>
  <c r="U19" i="213"/>
  <c r="T19" i="213"/>
  <c r="R19" i="213"/>
  <c r="Q19" i="213"/>
  <c r="P19" i="213"/>
  <c r="N19" i="213"/>
  <c r="E19" i="213"/>
  <c r="AF28" i="213" s="1"/>
  <c r="AJ18" i="213"/>
  <c r="AI18" i="213"/>
  <c r="AH18" i="213"/>
  <c r="AG18" i="213"/>
  <c r="U18" i="213"/>
  <c r="T18" i="213"/>
  <c r="R18" i="213"/>
  <c r="Q18" i="213"/>
  <c r="M18" i="213" s="1"/>
  <c r="AK8" i="213" s="1"/>
  <c r="P18" i="213"/>
  <c r="N18" i="213"/>
  <c r="E18" i="213"/>
  <c r="AF8" i="213" s="1"/>
  <c r="AJ17" i="213"/>
  <c r="AI17" i="213"/>
  <c r="AH17" i="213"/>
  <c r="AG17" i="213"/>
  <c r="U17" i="213"/>
  <c r="T17" i="213"/>
  <c r="R17" i="213"/>
  <c r="Q17" i="213"/>
  <c r="P17" i="213"/>
  <c r="N17" i="213"/>
  <c r="E17" i="213"/>
  <c r="AF27" i="213" s="1"/>
  <c r="AJ16" i="213"/>
  <c r="AI16" i="213"/>
  <c r="AH16" i="213"/>
  <c r="AG16" i="213"/>
  <c r="U16" i="213"/>
  <c r="T16" i="213"/>
  <c r="R16" i="213"/>
  <c r="Q16" i="213"/>
  <c r="P16" i="213"/>
  <c r="N16" i="213"/>
  <c r="E16" i="213"/>
  <c r="AF26" i="213" s="1"/>
  <c r="AJ15" i="213"/>
  <c r="AI15" i="213"/>
  <c r="AH15" i="213"/>
  <c r="AG15" i="213"/>
  <c r="U15" i="213"/>
  <c r="T15" i="213"/>
  <c r="R15" i="213"/>
  <c r="Q15" i="213"/>
  <c r="M15" i="213" s="1"/>
  <c r="AK18" i="213" s="1"/>
  <c r="P15" i="213"/>
  <c r="N15" i="213"/>
  <c r="E15" i="213"/>
  <c r="AF18" i="213" s="1"/>
  <c r="AJ14" i="213"/>
  <c r="AI14" i="213"/>
  <c r="AH14" i="213"/>
  <c r="AG14" i="213"/>
  <c r="U14" i="213"/>
  <c r="T14" i="213"/>
  <c r="R14" i="213"/>
  <c r="Q14" i="213"/>
  <c r="P14" i="213"/>
  <c r="N14" i="213"/>
  <c r="E14" i="213"/>
  <c r="AF17" i="213" s="1"/>
  <c r="AJ13" i="213"/>
  <c r="AI13" i="213"/>
  <c r="AH13" i="213"/>
  <c r="AG13" i="213"/>
  <c r="U13" i="213"/>
  <c r="T13" i="213"/>
  <c r="R13" i="213"/>
  <c r="Q13" i="213"/>
  <c r="M13" i="213" s="1"/>
  <c r="AK16" i="213" s="1"/>
  <c r="P13" i="213"/>
  <c r="N13" i="213"/>
  <c r="E13" i="213"/>
  <c r="AF16" i="213" s="1"/>
  <c r="AJ12" i="213"/>
  <c r="AI12" i="213"/>
  <c r="AH12" i="213"/>
  <c r="AG12" i="213"/>
  <c r="AF12" i="213"/>
  <c r="U12" i="213"/>
  <c r="T12" i="213"/>
  <c r="R12" i="213"/>
  <c r="Q12" i="213"/>
  <c r="M12" i="213" s="1"/>
  <c r="AK7" i="213" s="1"/>
  <c r="P12" i="213"/>
  <c r="N12" i="213"/>
  <c r="E12" i="213"/>
  <c r="AF7" i="213" s="1"/>
  <c r="AJ11" i="213"/>
  <c r="AI11" i="213"/>
  <c r="AH11" i="213"/>
  <c r="AG11" i="213"/>
  <c r="U11" i="213"/>
  <c r="T11" i="213"/>
  <c r="R11" i="213"/>
  <c r="Q11" i="213"/>
  <c r="P11" i="213"/>
  <c r="N11" i="213"/>
  <c r="E11" i="213"/>
  <c r="AJ10" i="213"/>
  <c r="AI10" i="213"/>
  <c r="AH10" i="213"/>
  <c r="AG10" i="213"/>
  <c r="U10" i="213"/>
  <c r="T10" i="213"/>
  <c r="R10" i="213"/>
  <c r="Q10" i="213"/>
  <c r="M10" i="213" s="1"/>
  <c r="AK6" i="213" s="1"/>
  <c r="P10" i="213"/>
  <c r="N10" i="213"/>
  <c r="E10" i="213"/>
  <c r="AJ9" i="213"/>
  <c r="AI9" i="213"/>
  <c r="AH9" i="213"/>
  <c r="AG9" i="213"/>
  <c r="U9" i="213"/>
  <c r="T9" i="213"/>
  <c r="R9" i="213"/>
  <c r="Q9" i="213"/>
  <c r="P9" i="213"/>
  <c r="N9" i="213"/>
  <c r="E9" i="213"/>
  <c r="AF15" i="213" s="1"/>
  <c r="AJ8" i="213"/>
  <c r="AI8" i="213"/>
  <c r="AH8" i="213"/>
  <c r="AG8" i="213"/>
  <c r="U8" i="213"/>
  <c r="T8" i="213"/>
  <c r="R8" i="213"/>
  <c r="Q8" i="213"/>
  <c r="P8" i="213"/>
  <c r="N8" i="213"/>
  <c r="E8" i="213"/>
  <c r="AF24" i="213" s="1"/>
  <c r="AJ7" i="213"/>
  <c r="AI7" i="213"/>
  <c r="AH7" i="213"/>
  <c r="AG7" i="213"/>
  <c r="U7" i="213"/>
  <c r="T7" i="213"/>
  <c r="R7" i="213"/>
  <c r="Q7" i="213"/>
  <c r="P7" i="213"/>
  <c r="N7" i="213"/>
  <c r="E7" i="213"/>
  <c r="AF23" i="213" s="1"/>
  <c r="AJ6" i="213"/>
  <c r="AI6" i="213"/>
  <c r="AH6" i="213"/>
  <c r="AG6" i="213"/>
  <c r="T6" i="213"/>
  <c r="R6" i="213"/>
  <c r="Q6" i="213"/>
  <c r="P6" i="213"/>
  <c r="N6" i="213"/>
  <c r="E6" i="213"/>
  <c r="D18" i="116"/>
  <c r="T46" i="212"/>
  <c r="R46" i="212"/>
  <c r="Q46" i="212"/>
  <c r="P46" i="212"/>
  <c r="N46" i="212"/>
  <c r="T45" i="212"/>
  <c r="R45" i="212"/>
  <c r="Q45" i="212"/>
  <c r="P45" i="212"/>
  <c r="N45" i="212"/>
  <c r="T44" i="212"/>
  <c r="R44" i="212"/>
  <c r="Q44" i="212"/>
  <c r="M44" i="212" s="1"/>
  <c r="P44" i="212"/>
  <c r="N44" i="212"/>
  <c r="AJ31" i="212"/>
  <c r="AI31" i="212"/>
  <c r="AH31" i="212"/>
  <c r="AG31" i="212"/>
  <c r="U31" i="212"/>
  <c r="T31" i="212"/>
  <c r="R31" i="212"/>
  <c r="Q31" i="212"/>
  <c r="M31" i="212" s="1"/>
  <c r="AK22" i="212" s="1"/>
  <c r="P31" i="212"/>
  <c r="N31" i="212"/>
  <c r="E31" i="212"/>
  <c r="AF22" i="212" s="1"/>
  <c r="AJ30" i="212"/>
  <c r="AI30" i="212"/>
  <c r="AH30" i="212"/>
  <c r="AG30" i="212"/>
  <c r="U30" i="212"/>
  <c r="T30" i="212"/>
  <c r="R30" i="212"/>
  <c r="Q30" i="212"/>
  <c r="P30" i="212"/>
  <c r="N30" i="212"/>
  <c r="E30" i="212"/>
  <c r="AF13" i="212" s="1"/>
  <c r="AJ29" i="212"/>
  <c r="AI29" i="212"/>
  <c r="AH29" i="212"/>
  <c r="AG29" i="212"/>
  <c r="U29" i="212"/>
  <c r="T29" i="212"/>
  <c r="R29" i="212"/>
  <c r="Q29" i="212"/>
  <c r="M29" i="212" s="1"/>
  <c r="AK21" i="212" s="1"/>
  <c r="P29" i="212"/>
  <c r="N29" i="212"/>
  <c r="E29" i="212"/>
  <c r="AF21" i="212" s="1"/>
  <c r="AJ28" i="212"/>
  <c r="AI28" i="212"/>
  <c r="AH28" i="212"/>
  <c r="AG28" i="212"/>
  <c r="U28" i="212"/>
  <c r="T28" i="212"/>
  <c r="R28" i="212"/>
  <c r="Q28" i="212"/>
  <c r="M28" i="212" s="1"/>
  <c r="AK31" i="212" s="1"/>
  <c r="P28" i="212"/>
  <c r="N28" i="212"/>
  <c r="E28" i="212"/>
  <c r="AF31" i="212" s="1"/>
  <c r="AJ27" i="212"/>
  <c r="AI27" i="212"/>
  <c r="AH27" i="212"/>
  <c r="AG27" i="212"/>
  <c r="U27" i="212"/>
  <c r="T27" i="212"/>
  <c r="R27" i="212"/>
  <c r="Q27" i="212"/>
  <c r="P27" i="212"/>
  <c r="N27" i="212"/>
  <c r="E27" i="212"/>
  <c r="AF12" i="212" s="1"/>
  <c r="AJ26" i="212"/>
  <c r="AI26" i="212"/>
  <c r="AH26" i="212"/>
  <c r="AG26" i="212"/>
  <c r="U26" i="212"/>
  <c r="T26" i="212"/>
  <c r="R26" i="212"/>
  <c r="Q26" i="212"/>
  <c r="P26" i="212"/>
  <c r="N26" i="212"/>
  <c r="M26" i="212"/>
  <c r="AK30" i="212" s="1"/>
  <c r="E26" i="212"/>
  <c r="AF30" i="212" s="1"/>
  <c r="AJ25" i="212"/>
  <c r="AI25" i="212"/>
  <c r="AH25" i="212"/>
  <c r="AG25" i="212"/>
  <c r="U25" i="212"/>
  <c r="T25" i="212"/>
  <c r="R25" i="212"/>
  <c r="Q25" i="212"/>
  <c r="P25" i="212"/>
  <c r="N25" i="212"/>
  <c r="E25" i="212"/>
  <c r="AF20" i="212" s="1"/>
  <c r="AJ24" i="212"/>
  <c r="AI24" i="212"/>
  <c r="AH24" i="212"/>
  <c r="AG24" i="212"/>
  <c r="U24" i="212"/>
  <c r="T24" i="212"/>
  <c r="R24" i="212"/>
  <c r="Q24" i="212"/>
  <c r="P24" i="212"/>
  <c r="N24" i="212"/>
  <c r="E24" i="212"/>
  <c r="AF11" i="212" s="1"/>
  <c r="AJ23" i="212"/>
  <c r="AI23" i="212"/>
  <c r="AH23" i="212"/>
  <c r="AG23" i="212"/>
  <c r="U23" i="212"/>
  <c r="T23" i="212"/>
  <c r="R23" i="212"/>
  <c r="Q23" i="212"/>
  <c r="P23" i="212"/>
  <c r="N23" i="212"/>
  <c r="E23" i="212"/>
  <c r="AJ22" i="212"/>
  <c r="AI22" i="212"/>
  <c r="AH22" i="212"/>
  <c r="AG22" i="212"/>
  <c r="U22" i="212"/>
  <c r="T22" i="212"/>
  <c r="R22" i="212"/>
  <c r="Q22" i="212"/>
  <c r="P22" i="212"/>
  <c r="N22" i="212"/>
  <c r="E22" i="212"/>
  <c r="AF9" i="212" s="1"/>
  <c r="AJ21" i="212"/>
  <c r="AI21" i="212"/>
  <c r="AH21" i="212"/>
  <c r="AG21" i="212"/>
  <c r="U21" i="212"/>
  <c r="T21" i="212"/>
  <c r="R21" i="212"/>
  <c r="Q21" i="212"/>
  <c r="M21" i="212" s="1"/>
  <c r="AK29" i="212" s="1"/>
  <c r="P21" i="212"/>
  <c r="N21" i="212"/>
  <c r="E21" i="212"/>
  <c r="AF29" i="212" s="1"/>
  <c r="AJ20" i="212"/>
  <c r="AI20" i="212"/>
  <c r="AH20" i="212"/>
  <c r="AG20" i="212"/>
  <c r="U20" i="212"/>
  <c r="T20" i="212"/>
  <c r="R20" i="212"/>
  <c r="Q20" i="212"/>
  <c r="P20" i="212"/>
  <c r="N20" i="212"/>
  <c r="E20" i="212"/>
  <c r="AF19" i="212" s="1"/>
  <c r="AJ19" i="212"/>
  <c r="AI19" i="212"/>
  <c r="AH19" i="212"/>
  <c r="AG19" i="212"/>
  <c r="U19" i="212"/>
  <c r="T19" i="212"/>
  <c r="R19" i="212"/>
  <c r="Q19" i="212"/>
  <c r="M19" i="212" s="1"/>
  <c r="AK28" i="212" s="1"/>
  <c r="P19" i="212"/>
  <c r="N19" i="212"/>
  <c r="E19" i="212"/>
  <c r="AF28" i="212" s="1"/>
  <c r="AJ18" i="212"/>
  <c r="AI18" i="212"/>
  <c r="AH18" i="212"/>
  <c r="AG18" i="212"/>
  <c r="U18" i="212"/>
  <c r="T18" i="212"/>
  <c r="R18" i="212"/>
  <c r="Q18" i="212"/>
  <c r="P18" i="212"/>
  <c r="N18" i="212"/>
  <c r="E18" i="212"/>
  <c r="AF8" i="212" s="1"/>
  <c r="AJ17" i="212"/>
  <c r="AI17" i="212"/>
  <c r="AH17" i="212"/>
  <c r="AG17" i="212"/>
  <c r="U17" i="212"/>
  <c r="T17" i="212"/>
  <c r="R17" i="212"/>
  <c r="Q17" i="212"/>
  <c r="P17" i="212"/>
  <c r="N17" i="212"/>
  <c r="E17" i="212"/>
  <c r="AF27" i="212" s="1"/>
  <c r="AJ16" i="212"/>
  <c r="AI16" i="212"/>
  <c r="AH16" i="212"/>
  <c r="AG16" i="212"/>
  <c r="U16" i="212"/>
  <c r="T16" i="212"/>
  <c r="R16" i="212"/>
  <c r="Q16" i="212"/>
  <c r="P16" i="212"/>
  <c r="N16" i="212"/>
  <c r="E16" i="212"/>
  <c r="AF26" i="212" s="1"/>
  <c r="AJ15" i="212"/>
  <c r="AI15" i="212"/>
  <c r="AH15" i="212"/>
  <c r="AG15" i="212"/>
  <c r="U15" i="212"/>
  <c r="T15" i="212"/>
  <c r="R15" i="212"/>
  <c r="Q15" i="212"/>
  <c r="P15" i="212"/>
  <c r="N15" i="212"/>
  <c r="E15" i="212"/>
  <c r="AF18" i="212" s="1"/>
  <c r="AJ14" i="212"/>
  <c r="AI14" i="212"/>
  <c r="AH14" i="212"/>
  <c r="AG14" i="212"/>
  <c r="U14" i="212"/>
  <c r="T14" i="212"/>
  <c r="R14" i="212"/>
  <c r="Q14" i="212"/>
  <c r="P14" i="212"/>
  <c r="N14" i="212"/>
  <c r="E14" i="212"/>
  <c r="AF17" i="212" s="1"/>
  <c r="AJ13" i="212"/>
  <c r="AI13" i="212"/>
  <c r="AH13" i="212"/>
  <c r="AG13" i="212"/>
  <c r="U13" i="212"/>
  <c r="T13" i="212"/>
  <c r="R13" i="212"/>
  <c r="Q13" i="212"/>
  <c r="P13" i="212"/>
  <c r="N13" i="212"/>
  <c r="E13" i="212"/>
  <c r="AF16" i="212" s="1"/>
  <c r="AJ12" i="212"/>
  <c r="AI12" i="212"/>
  <c r="AH12" i="212"/>
  <c r="AG12" i="212"/>
  <c r="U12" i="212"/>
  <c r="T12" i="212"/>
  <c r="R12" i="212"/>
  <c r="Q12" i="212"/>
  <c r="P12" i="212"/>
  <c r="N12" i="212"/>
  <c r="E12" i="212"/>
  <c r="AF7" i="212" s="1"/>
  <c r="AJ11" i="212"/>
  <c r="AI11" i="212"/>
  <c r="AH11" i="212"/>
  <c r="AG11" i="212"/>
  <c r="U11" i="212"/>
  <c r="T11" i="212"/>
  <c r="R11" i="212"/>
  <c r="Q11" i="212"/>
  <c r="P11" i="212"/>
  <c r="N11" i="212"/>
  <c r="E11" i="212"/>
  <c r="AF25" i="212" s="1"/>
  <c r="AJ10" i="212"/>
  <c r="AI10" i="212"/>
  <c r="AH10" i="212"/>
  <c r="AG10" i="212"/>
  <c r="AF10" i="212"/>
  <c r="U10" i="212"/>
  <c r="T10" i="212"/>
  <c r="R10" i="212"/>
  <c r="Q10" i="212"/>
  <c r="M10" i="212" s="1"/>
  <c r="AK6" i="212" s="1"/>
  <c r="P10" i="212"/>
  <c r="N10" i="212"/>
  <c r="E10" i="212"/>
  <c r="AF6" i="212" s="1"/>
  <c r="AJ9" i="212"/>
  <c r="AI9" i="212"/>
  <c r="AH9" i="212"/>
  <c r="AG9" i="212"/>
  <c r="U9" i="212"/>
  <c r="T9" i="212"/>
  <c r="R9" i="212"/>
  <c r="Q9" i="212"/>
  <c r="P9" i="212"/>
  <c r="N9" i="212"/>
  <c r="E9" i="212"/>
  <c r="AF15" i="212" s="1"/>
  <c r="AJ8" i="212"/>
  <c r="AI8" i="212"/>
  <c r="AH8" i="212"/>
  <c r="AG8" i="212"/>
  <c r="U8" i="212"/>
  <c r="T8" i="212"/>
  <c r="R8" i="212"/>
  <c r="Q8" i="212"/>
  <c r="P8" i="212"/>
  <c r="N8" i="212"/>
  <c r="E8" i="212"/>
  <c r="AF24" i="212" s="1"/>
  <c r="AJ7" i="212"/>
  <c r="AI7" i="212"/>
  <c r="AH7" i="212"/>
  <c r="AG7" i="212"/>
  <c r="U7" i="212"/>
  <c r="T7" i="212"/>
  <c r="R7" i="212"/>
  <c r="Q7" i="212"/>
  <c r="P7" i="212"/>
  <c r="N7" i="212"/>
  <c r="E7" i="212"/>
  <c r="AF23" i="212" s="1"/>
  <c r="AJ6" i="212"/>
  <c r="AI6" i="212"/>
  <c r="AH6" i="212"/>
  <c r="AG6" i="212"/>
  <c r="U6" i="212"/>
  <c r="T6" i="212"/>
  <c r="R6" i="212"/>
  <c r="Q6" i="212"/>
  <c r="P6" i="212"/>
  <c r="N6" i="212"/>
  <c r="E6" i="212"/>
  <c r="P30" i="211"/>
  <c r="T46" i="211"/>
  <c r="R46" i="211"/>
  <c r="Q46" i="211"/>
  <c r="P46" i="211"/>
  <c r="N46" i="211"/>
  <c r="T45" i="211"/>
  <c r="R45" i="211"/>
  <c r="Q45" i="211"/>
  <c r="P45" i="211"/>
  <c r="N45" i="211"/>
  <c r="T44" i="211"/>
  <c r="R44" i="211"/>
  <c r="Q44" i="211"/>
  <c r="P44" i="211"/>
  <c r="N44" i="211"/>
  <c r="AJ31" i="211"/>
  <c r="AI31" i="211"/>
  <c r="AH31" i="211"/>
  <c r="AG31" i="211"/>
  <c r="U31" i="211"/>
  <c r="T31" i="211"/>
  <c r="R31" i="211"/>
  <c r="Q31" i="211"/>
  <c r="P31" i="211"/>
  <c r="N31" i="211"/>
  <c r="E31" i="211"/>
  <c r="AJ30" i="211"/>
  <c r="AI30" i="211"/>
  <c r="AH30" i="211"/>
  <c r="AG30" i="211"/>
  <c r="U30" i="211"/>
  <c r="T30" i="211"/>
  <c r="R30" i="211"/>
  <c r="Q30" i="211"/>
  <c r="N30" i="211"/>
  <c r="E30" i="211"/>
  <c r="AF13" i="211" s="1"/>
  <c r="AJ29" i="211"/>
  <c r="AI29" i="211"/>
  <c r="AH29" i="211"/>
  <c r="AG29" i="211"/>
  <c r="U29" i="211"/>
  <c r="T29" i="211"/>
  <c r="R29" i="211"/>
  <c r="Q29" i="211"/>
  <c r="P29" i="211"/>
  <c r="N29" i="211"/>
  <c r="E29" i="211"/>
  <c r="AF21" i="211" s="1"/>
  <c r="AJ28" i="211"/>
  <c r="AI28" i="211"/>
  <c r="AH28" i="211"/>
  <c r="AG28" i="211"/>
  <c r="U28" i="211"/>
  <c r="T28" i="211"/>
  <c r="R28" i="211"/>
  <c r="Q28" i="211"/>
  <c r="M28" i="211" s="1"/>
  <c r="AK31" i="211" s="1"/>
  <c r="P28" i="211"/>
  <c r="N28" i="211"/>
  <c r="E28" i="211"/>
  <c r="AF31" i="211" s="1"/>
  <c r="AJ27" i="211"/>
  <c r="AI27" i="211"/>
  <c r="AH27" i="211"/>
  <c r="AG27" i="211"/>
  <c r="AF27" i="211"/>
  <c r="U27" i="211"/>
  <c r="T27" i="211"/>
  <c r="R27" i="211"/>
  <c r="Q27" i="211"/>
  <c r="M27" i="211" s="1"/>
  <c r="AK12" i="211" s="1"/>
  <c r="P27" i="211"/>
  <c r="N27" i="211"/>
  <c r="E27" i="211"/>
  <c r="AJ26" i="211"/>
  <c r="AI26" i="211"/>
  <c r="AH26" i="211"/>
  <c r="AG26" i="211"/>
  <c r="U26" i="211"/>
  <c r="T26" i="211"/>
  <c r="R26" i="211"/>
  <c r="Q26" i="211"/>
  <c r="M26" i="211" s="1"/>
  <c r="AK30" i="211" s="1"/>
  <c r="P26" i="211"/>
  <c r="N26" i="211"/>
  <c r="E26" i="211"/>
  <c r="AF30" i="211" s="1"/>
  <c r="AJ25" i="211"/>
  <c r="AI25" i="211"/>
  <c r="AH25" i="211"/>
  <c r="AG25" i="211"/>
  <c r="U25" i="211"/>
  <c r="T25" i="211"/>
  <c r="R25" i="211"/>
  <c r="Q25" i="211"/>
  <c r="P25" i="211"/>
  <c r="N25" i="211"/>
  <c r="E25" i="211"/>
  <c r="AF20" i="211" s="1"/>
  <c r="AJ24" i="211"/>
  <c r="AI24" i="211"/>
  <c r="AH24" i="211"/>
  <c r="AG24" i="211"/>
  <c r="U24" i="211"/>
  <c r="T24" i="211"/>
  <c r="R24" i="211"/>
  <c r="Q24" i="211"/>
  <c r="P24" i="211"/>
  <c r="N24" i="211"/>
  <c r="E24" i="211"/>
  <c r="AF11" i="211" s="1"/>
  <c r="AJ23" i="211"/>
  <c r="AI23" i="211"/>
  <c r="AH23" i="211"/>
  <c r="AG23" i="211"/>
  <c r="U23" i="211"/>
  <c r="T23" i="211"/>
  <c r="R23" i="211"/>
  <c r="Q23" i="211"/>
  <c r="M23" i="211" s="1"/>
  <c r="AK10" i="211" s="1"/>
  <c r="P23" i="211"/>
  <c r="N23" i="211"/>
  <c r="E23" i="211"/>
  <c r="AF10" i="211" s="1"/>
  <c r="AJ22" i="211"/>
  <c r="AI22" i="211"/>
  <c r="AH22" i="211"/>
  <c r="AG22" i="211"/>
  <c r="AF22" i="211"/>
  <c r="U22" i="211"/>
  <c r="T22" i="211"/>
  <c r="R22" i="211"/>
  <c r="Q22" i="211"/>
  <c r="M22" i="211" s="1"/>
  <c r="AK9" i="211" s="1"/>
  <c r="P22" i="211"/>
  <c r="N22" i="211"/>
  <c r="E22" i="211"/>
  <c r="AF9" i="211" s="1"/>
  <c r="AJ21" i="211"/>
  <c r="AI21" i="211"/>
  <c r="AH21" i="211"/>
  <c r="AG21" i="211"/>
  <c r="U21" i="211"/>
  <c r="T21" i="211"/>
  <c r="R21" i="211"/>
  <c r="Q21" i="211"/>
  <c r="M21" i="211" s="1"/>
  <c r="AK29" i="211" s="1"/>
  <c r="P21" i="211"/>
  <c r="N21" i="211"/>
  <c r="E21" i="211"/>
  <c r="AF29" i="211" s="1"/>
  <c r="AJ20" i="211"/>
  <c r="AI20" i="211"/>
  <c r="AH20" i="211"/>
  <c r="AG20" i="211"/>
  <c r="U20" i="211"/>
  <c r="T20" i="211"/>
  <c r="R20" i="211"/>
  <c r="Q20" i="211"/>
  <c r="P20" i="211"/>
  <c r="N20" i="211"/>
  <c r="E20" i="211"/>
  <c r="AF19" i="211" s="1"/>
  <c r="AJ19" i="211"/>
  <c r="AI19" i="211"/>
  <c r="AH19" i="211"/>
  <c r="AG19" i="211"/>
  <c r="U19" i="211"/>
  <c r="T19" i="211"/>
  <c r="R19" i="211"/>
  <c r="Q19" i="211"/>
  <c r="P19" i="211"/>
  <c r="N19" i="211"/>
  <c r="E19" i="211"/>
  <c r="AF28" i="211" s="1"/>
  <c r="AJ18" i="211"/>
  <c r="AI18" i="211"/>
  <c r="AH18" i="211"/>
  <c r="AG18" i="211"/>
  <c r="U18" i="211"/>
  <c r="T18" i="211"/>
  <c r="R18" i="211"/>
  <c r="Q18" i="211"/>
  <c r="P18" i="211"/>
  <c r="N18" i="211"/>
  <c r="E18" i="211"/>
  <c r="AF8" i="211" s="1"/>
  <c r="AJ17" i="211"/>
  <c r="AI17" i="211"/>
  <c r="AH17" i="211"/>
  <c r="AG17" i="211"/>
  <c r="U17" i="211"/>
  <c r="T17" i="211"/>
  <c r="R17" i="211"/>
  <c r="Q17" i="211"/>
  <c r="P17" i="211"/>
  <c r="N17" i="211"/>
  <c r="E17" i="211"/>
  <c r="AJ16" i="211"/>
  <c r="AI16" i="211"/>
  <c r="AH16" i="211"/>
  <c r="AG16" i="211"/>
  <c r="U16" i="211"/>
  <c r="T16" i="211"/>
  <c r="R16" i="211"/>
  <c r="Q16" i="211"/>
  <c r="P16" i="211"/>
  <c r="N16" i="211"/>
  <c r="E16" i="211"/>
  <c r="AF26" i="211" s="1"/>
  <c r="AJ15" i="211"/>
  <c r="AI15" i="211"/>
  <c r="AH15" i="211"/>
  <c r="AG15" i="211"/>
  <c r="U15" i="211"/>
  <c r="T15" i="211"/>
  <c r="R15" i="211"/>
  <c r="Q15" i="211"/>
  <c r="P15" i="211"/>
  <c r="N15" i="211"/>
  <c r="E15" i="211"/>
  <c r="AF18" i="211" s="1"/>
  <c r="AJ14" i="211"/>
  <c r="AI14" i="211"/>
  <c r="AH14" i="211"/>
  <c r="AG14" i="211"/>
  <c r="U14" i="211"/>
  <c r="T14" i="211"/>
  <c r="R14" i="211"/>
  <c r="Q14" i="211"/>
  <c r="P14" i="211"/>
  <c r="N14" i="211"/>
  <c r="E14" i="211"/>
  <c r="AF17" i="211" s="1"/>
  <c r="AJ13" i="211"/>
  <c r="AI13" i="211"/>
  <c r="AH13" i="211"/>
  <c r="AG13" i="211"/>
  <c r="U13" i="211"/>
  <c r="T13" i="211"/>
  <c r="R13" i="211"/>
  <c r="Q13" i="211"/>
  <c r="M13" i="211" s="1"/>
  <c r="AK16" i="211" s="1"/>
  <c r="P13" i="211"/>
  <c r="N13" i="211"/>
  <c r="E13" i="211"/>
  <c r="AF16" i="211" s="1"/>
  <c r="AJ12" i="211"/>
  <c r="AI12" i="211"/>
  <c r="AH12" i="211"/>
  <c r="AG12" i="211"/>
  <c r="AF12" i="211"/>
  <c r="U12" i="211"/>
  <c r="T12" i="211"/>
  <c r="R12" i="211"/>
  <c r="Q12" i="211"/>
  <c r="P12" i="211"/>
  <c r="N12" i="211"/>
  <c r="E12" i="211"/>
  <c r="AF7" i="211" s="1"/>
  <c r="AJ11" i="211"/>
  <c r="AI11" i="211"/>
  <c r="AH11" i="211"/>
  <c r="AG11" i="211"/>
  <c r="U11" i="211"/>
  <c r="T11" i="211"/>
  <c r="R11" i="211"/>
  <c r="Q11" i="211"/>
  <c r="P11" i="211"/>
  <c r="N11" i="211"/>
  <c r="E11" i="211"/>
  <c r="AF25" i="211" s="1"/>
  <c r="AJ10" i="211"/>
  <c r="AI10" i="211"/>
  <c r="AH10" i="211"/>
  <c r="AG10" i="211"/>
  <c r="U10" i="211"/>
  <c r="T10" i="211"/>
  <c r="R10" i="211"/>
  <c r="Q10" i="211"/>
  <c r="P10" i="211"/>
  <c r="N10" i="211"/>
  <c r="E10" i="211"/>
  <c r="AJ9" i="211"/>
  <c r="AI9" i="211"/>
  <c r="AH9" i="211"/>
  <c r="AG9" i="211"/>
  <c r="U9" i="211"/>
  <c r="T9" i="211"/>
  <c r="R9" i="211"/>
  <c r="Q9" i="211"/>
  <c r="P9" i="211"/>
  <c r="N9" i="211"/>
  <c r="E9" i="211"/>
  <c r="AJ8" i="211"/>
  <c r="AI8" i="211"/>
  <c r="AH8" i="211"/>
  <c r="AG8" i="211"/>
  <c r="U8" i="211"/>
  <c r="T8" i="211"/>
  <c r="R8" i="211"/>
  <c r="Q8" i="211"/>
  <c r="P8" i="211"/>
  <c r="N8" i="211"/>
  <c r="E8" i="211"/>
  <c r="AF24" i="211" s="1"/>
  <c r="AJ7" i="211"/>
  <c r="AI7" i="211"/>
  <c r="AH7" i="211"/>
  <c r="AG7" i="211"/>
  <c r="U7" i="211"/>
  <c r="T7" i="211"/>
  <c r="R7" i="211"/>
  <c r="Q7" i="211"/>
  <c r="M7" i="211" s="1"/>
  <c r="AK23" i="211" s="1"/>
  <c r="P7" i="211"/>
  <c r="N7" i="211"/>
  <c r="E7" i="211"/>
  <c r="AF23" i="211" s="1"/>
  <c r="AJ6" i="211"/>
  <c r="AI6" i="211"/>
  <c r="AH6" i="211"/>
  <c r="AG6" i="211"/>
  <c r="U6" i="211"/>
  <c r="T6" i="211"/>
  <c r="R6" i="211"/>
  <c r="Q6" i="211"/>
  <c r="P6" i="211"/>
  <c r="N6" i="211"/>
  <c r="E6" i="211"/>
  <c r="AF14" i="211" s="1"/>
  <c r="AJ6" i="210"/>
  <c r="AI6" i="210"/>
  <c r="AH6" i="210"/>
  <c r="AG6" i="210"/>
  <c r="P45" i="210"/>
  <c r="P44" i="210"/>
  <c r="S149" i="39"/>
  <c r="S150" i="39"/>
  <c r="S145" i="39"/>
  <c r="S144" i="39"/>
  <c r="S101" i="39"/>
  <c r="S122" i="39"/>
  <c r="S100" i="39"/>
  <c r="S147" i="39"/>
  <c r="S129" i="39"/>
  <c r="S115" i="39"/>
  <c r="S124" i="39"/>
  <c r="S138" i="39"/>
  <c r="S116" i="39"/>
  <c r="S142" i="39"/>
  <c r="S141" i="39"/>
  <c r="S123" i="39"/>
  <c r="S88" i="39"/>
  <c r="S143" i="39"/>
  <c r="S130" i="39"/>
  <c r="S127" i="39"/>
  <c r="S125" i="39"/>
  <c r="S103" i="39"/>
  <c r="S135" i="39"/>
  <c r="S118" i="39"/>
  <c r="S146" i="39"/>
  <c r="S136" i="39"/>
  <c r="S131" i="39"/>
  <c r="S102" i="39"/>
  <c r="S148" i="39"/>
  <c r="S119" i="39"/>
  <c r="S137" i="39"/>
  <c r="S126" i="39"/>
  <c r="S89" i="39"/>
  <c r="S106" i="39"/>
  <c r="S140" i="39"/>
  <c r="S128" i="39"/>
  <c r="S152" i="39"/>
  <c r="S117" i="39"/>
  <c r="S121" i="39"/>
  <c r="S134" i="39"/>
  <c r="S139" i="39"/>
  <c r="S132" i="39"/>
  <c r="S120" i="39"/>
  <c r="S133" i="39"/>
  <c r="S151" i="39"/>
  <c r="M15" i="212" l="1"/>
  <c r="AK18" i="212" s="1"/>
  <c r="M6" i="212"/>
  <c r="AK14" i="212" s="1"/>
  <c r="M17" i="211"/>
  <c r="AK27" i="211" s="1"/>
  <c r="M15" i="211"/>
  <c r="AK18" i="211" s="1"/>
  <c r="M12" i="212"/>
  <c r="AK7" i="212" s="1"/>
  <c r="M16" i="213"/>
  <c r="AK26" i="213" s="1"/>
  <c r="M29" i="213"/>
  <c r="AK21" i="213" s="1"/>
  <c r="M44" i="213"/>
  <c r="M14" i="212"/>
  <c r="AK17" i="212" s="1"/>
  <c r="M18" i="211"/>
  <c r="AK8" i="211" s="1"/>
  <c r="M9" i="211"/>
  <c r="AK15" i="211" s="1"/>
  <c r="M44" i="211"/>
  <c r="M9" i="213"/>
  <c r="AK15" i="213" s="1"/>
  <c r="M46" i="213"/>
  <c r="M7" i="213"/>
  <c r="AK23" i="213" s="1"/>
  <c r="M46" i="212"/>
  <c r="M18" i="212"/>
  <c r="AK8" i="212" s="1"/>
  <c r="M30" i="212"/>
  <c r="AK13" i="212" s="1"/>
  <c r="M31" i="211"/>
  <c r="AK22" i="211" s="1"/>
  <c r="M29" i="211"/>
  <c r="AK21" i="211" s="1"/>
  <c r="S24" i="211"/>
  <c r="M30" i="211"/>
  <c r="AK13" i="211" s="1"/>
  <c r="M46" i="211"/>
  <c r="AC17" i="211"/>
  <c r="M30" i="213"/>
  <c r="AK13" i="213" s="1"/>
  <c r="M14" i="213"/>
  <c r="AK17" i="213" s="1"/>
  <c r="AD29" i="213"/>
  <c r="M8" i="213"/>
  <c r="AK24" i="213" s="1"/>
  <c r="AB9" i="213"/>
  <c r="M17" i="213"/>
  <c r="AK27" i="213" s="1"/>
  <c r="M16" i="212"/>
  <c r="AK26" i="212" s="1"/>
  <c r="M11" i="212"/>
  <c r="AK25" i="212" s="1"/>
  <c r="M13" i="212"/>
  <c r="AK16" i="212" s="1"/>
  <c r="M20" i="212"/>
  <c r="AK19" i="212" s="1"/>
  <c r="M25" i="212"/>
  <c r="AK20" i="212" s="1"/>
  <c r="AB28" i="212"/>
  <c r="O30" i="212"/>
  <c r="AD14" i="212"/>
  <c r="K45" i="212" s="1"/>
  <c r="M17" i="212"/>
  <c r="AK27" i="212" s="1"/>
  <c r="M7" i="212"/>
  <c r="AK23" i="212" s="1"/>
  <c r="AC28" i="212"/>
  <c r="AD11" i="212"/>
  <c r="M23" i="212"/>
  <c r="AK10" i="212" s="1"/>
  <c r="M22" i="212"/>
  <c r="AK9" i="212" s="1"/>
  <c r="AB17" i="211"/>
  <c r="M8" i="211"/>
  <c r="AK24" i="211" s="1"/>
  <c r="AB20" i="211"/>
  <c r="AC9" i="211"/>
  <c r="AC30" i="211"/>
  <c r="M24" i="211"/>
  <c r="AK11" i="211" s="1"/>
  <c r="AB12" i="211"/>
  <c r="AD6" i="211"/>
  <c r="K44" i="211" s="1"/>
  <c r="M10" i="211"/>
  <c r="AK6" i="211" s="1"/>
  <c r="M12" i="211"/>
  <c r="AK7" i="211" s="1"/>
  <c r="AB17" i="213"/>
  <c r="AD11" i="213"/>
  <c r="S30" i="213"/>
  <c r="M11" i="213"/>
  <c r="AK25" i="213" s="1"/>
  <c r="AC30" i="213"/>
  <c r="AB24" i="213"/>
  <c r="O18" i="213"/>
  <c r="AB26" i="213"/>
  <c r="O30" i="213"/>
  <c r="AB29" i="213"/>
  <c r="AB25" i="213"/>
  <c r="M6" i="213"/>
  <c r="AK14" i="213" s="1"/>
  <c r="AC22" i="213"/>
  <c r="M19" i="213"/>
  <c r="AK28" i="213" s="1"/>
  <c r="M21" i="213"/>
  <c r="AK29" i="213" s="1"/>
  <c r="AD23" i="213"/>
  <c r="K46" i="213" s="1"/>
  <c r="O10" i="213"/>
  <c r="AB22" i="213"/>
  <c r="AC26" i="213"/>
  <c r="S6" i="213"/>
  <c r="AB18" i="213"/>
  <c r="M25" i="213"/>
  <c r="AK20" i="213" s="1"/>
  <c r="M27" i="213"/>
  <c r="AK12" i="213" s="1"/>
  <c r="AD31" i="213"/>
  <c r="M45" i="213"/>
  <c r="AD6" i="213"/>
  <c r="K44" i="213" s="1"/>
  <c r="O9" i="213"/>
  <c r="AC9" i="213"/>
  <c r="AB12" i="213"/>
  <c r="S13" i="213"/>
  <c r="AD14" i="213"/>
  <c r="K45" i="213" s="1"/>
  <c r="O17" i="213"/>
  <c r="AC17" i="213"/>
  <c r="AB20" i="213"/>
  <c r="S21" i="213"/>
  <c r="AD22" i="213"/>
  <c r="O25" i="213"/>
  <c r="AC25" i="213"/>
  <c r="AB28" i="213"/>
  <c r="S29" i="213"/>
  <c r="AD30" i="213"/>
  <c r="O45" i="213"/>
  <c r="AF6" i="213"/>
  <c r="AB7" i="213"/>
  <c r="S8" i="213"/>
  <c r="AD9" i="213"/>
  <c r="O12" i="213"/>
  <c r="AC12" i="213"/>
  <c r="AF14" i="213"/>
  <c r="AB15" i="213"/>
  <c r="S16" i="213"/>
  <c r="AD17" i="213"/>
  <c r="O20" i="213"/>
  <c r="AC20" i="213"/>
  <c r="AB23" i="213"/>
  <c r="S24" i="213"/>
  <c r="AD25" i="213"/>
  <c r="O28" i="213"/>
  <c r="AC28" i="213"/>
  <c r="AB31" i="213"/>
  <c r="O7" i="213"/>
  <c r="AC7" i="213"/>
  <c r="AB10" i="213"/>
  <c r="S11" i="213"/>
  <c r="AD12" i="213"/>
  <c r="O15" i="213"/>
  <c r="AC15" i="213"/>
  <c r="S19" i="213"/>
  <c r="AD20" i="213"/>
  <c r="O23" i="213"/>
  <c r="AC23" i="213"/>
  <c r="J46" i="213" s="1"/>
  <c r="AF25" i="213"/>
  <c r="S27" i="213"/>
  <c r="AD28" i="213"/>
  <c r="O31" i="213"/>
  <c r="AC31" i="213"/>
  <c r="S44" i="213"/>
  <c r="O46" i="213"/>
  <c r="AC10" i="213"/>
  <c r="AB13" i="213"/>
  <c r="S14" i="213"/>
  <c r="AD15" i="213"/>
  <c r="O26" i="213"/>
  <c r="S9" i="213"/>
  <c r="O13" i="213"/>
  <c r="AC13" i="213"/>
  <c r="AB16" i="213"/>
  <c r="S17" i="213"/>
  <c r="AD18" i="213"/>
  <c r="O21" i="213"/>
  <c r="AC21" i="213"/>
  <c r="S25" i="213"/>
  <c r="AD26" i="213"/>
  <c r="O29" i="213"/>
  <c r="AC29" i="213"/>
  <c r="S45" i="213"/>
  <c r="O8" i="213"/>
  <c r="AC8" i="213"/>
  <c r="AB11" i="213"/>
  <c r="S12" i="213"/>
  <c r="AD13" i="213"/>
  <c r="O16" i="213"/>
  <c r="AC16" i="213"/>
  <c r="AB19" i="213"/>
  <c r="S20" i="213"/>
  <c r="AD21" i="213"/>
  <c r="O24" i="213"/>
  <c r="AC24" i="213"/>
  <c r="AB27" i="213"/>
  <c r="S28" i="213"/>
  <c r="AB6" i="213"/>
  <c r="S7" i="213"/>
  <c r="AD8" i="213"/>
  <c r="O11" i="213"/>
  <c r="AC11" i="213"/>
  <c r="AB14" i="213"/>
  <c r="S15" i="213"/>
  <c r="AD16" i="213"/>
  <c r="O19" i="213"/>
  <c r="AC19" i="213"/>
  <c r="S23" i="213"/>
  <c r="AD24" i="213"/>
  <c r="O27" i="213"/>
  <c r="AC27" i="213"/>
  <c r="AB30" i="213"/>
  <c r="S31" i="213"/>
  <c r="O44" i="213"/>
  <c r="S46" i="213"/>
  <c r="AD7" i="213"/>
  <c r="AC18" i="213"/>
  <c r="AB21" i="213"/>
  <c r="S22" i="213"/>
  <c r="AB8" i="213"/>
  <c r="AD10" i="213"/>
  <c r="O6" i="213"/>
  <c r="AC6" i="213"/>
  <c r="J44" i="213" s="1"/>
  <c r="S10" i="213"/>
  <c r="O14" i="213"/>
  <c r="AC14" i="213"/>
  <c r="J45" i="213" s="1"/>
  <c r="S18" i="213"/>
  <c r="AD19" i="213"/>
  <c r="O22" i="213"/>
  <c r="S26" i="213"/>
  <c r="AD27" i="213"/>
  <c r="AB6" i="212"/>
  <c r="S21" i="212"/>
  <c r="S16" i="212"/>
  <c r="AC11" i="212"/>
  <c r="AB21" i="212"/>
  <c r="AC30" i="212"/>
  <c r="O9" i="212"/>
  <c r="AB9" i="212"/>
  <c r="AC22" i="212"/>
  <c r="AB14" i="212"/>
  <c r="AB25" i="212"/>
  <c r="AB27" i="212"/>
  <c r="AB13" i="212"/>
  <c r="AB19" i="212"/>
  <c r="S29" i="212"/>
  <c r="S13" i="212"/>
  <c r="AF14" i="212"/>
  <c r="M24" i="212"/>
  <c r="AK11" i="212" s="1"/>
  <c r="S24" i="212"/>
  <c r="AB11" i="212"/>
  <c r="AB23" i="212"/>
  <c r="AB22" i="212"/>
  <c r="AB17" i="212"/>
  <c r="AC25" i="212"/>
  <c r="M8" i="212"/>
  <c r="AK24" i="212" s="1"/>
  <c r="S8" i="212"/>
  <c r="AB20" i="212"/>
  <c r="M9" i="212"/>
  <c r="AK15" i="212" s="1"/>
  <c r="AC17" i="212"/>
  <c r="M27" i="212"/>
  <c r="AK12" i="212" s="1"/>
  <c r="M45" i="212"/>
  <c r="AD22" i="212"/>
  <c r="AC12" i="212"/>
  <c r="AB15" i="212"/>
  <c r="O20" i="212"/>
  <c r="O28" i="212"/>
  <c r="AB31" i="212"/>
  <c r="O7" i="212"/>
  <c r="AB18" i="212"/>
  <c r="O31" i="212"/>
  <c r="AC31" i="212"/>
  <c r="S44" i="212"/>
  <c r="S6" i="212"/>
  <c r="O18" i="212"/>
  <c r="AC18" i="212"/>
  <c r="O26" i="212"/>
  <c r="AC26" i="212"/>
  <c r="S30" i="212"/>
  <c r="AB8" i="212"/>
  <c r="S9" i="212"/>
  <c r="AD10" i="212"/>
  <c r="O13" i="212"/>
  <c r="AC13" i="212"/>
  <c r="AB16" i="212"/>
  <c r="S17" i="212"/>
  <c r="AD18" i="212"/>
  <c r="O21" i="212"/>
  <c r="AC21" i="212"/>
  <c r="AB24" i="212"/>
  <c r="S25" i="212"/>
  <c r="AD26" i="212"/>
  <c r="O29" i="212"/>
  <c r="AC29" i="212"/>
  <c r="S45" i="212"/>
  <c r="AD9" i="212"/>
  <c r="O12" i="212"/>
  <c r="AD17" i="212"/>
  <c r="AC7" i="212"/>
  <c r="S11" i="212"/>
  <c r="O15" i="212"/>
  <c r="AC15" i="212"/>
  <c r="S19" i="212"/>
  <c r="AD20" i="212"/>
  <c r="O23" i="212"/>
  <c r="AC23" i="212"/>
  <c r="J46" i="212" s="1"/>
  <c r="AB26" i="212"/>
  <c r="S27" i="212"/>
  <c r="AD28" i="212"/>
  <c r="O46" i="212"/>
  <c r="AD7" i="212"/>
  <c r="O10" i="212"/>
  <c r="AC10" i="212"/>
  <c r="S14" i="212"/>
  <c r="AD15" i="212"/>
  <c r="S22" i="212"/>
  <c r="AD23" i="212"/>
  <c r="K46" i="212" s="1"/>
  <c r="AB29" i="212"/>
  <c r="AD31" i="212"/>
  <c r="O8" i="212"/>
  <c r="AC8" i="212"/>
  <c r="S12" i="212"/>
  <c r="AD13" i="212"/>
  <c r="O16" i="212"/>
  <c r="AC16" i="212"/>
  <c r="S20" i="212"/>
  <c r="AD21" i="212"/>
  <c r="O24" i="212"/>
  <c r="AC24" i="212"/>
  <c r="S28" i="212"/>
  <c r="AD29" i="212"/>
  <c r="AD6" i="212"/>
  <c r="K44" i="212" s="1"/>
  <c r="AC9" i="212"/>
  <c r="AB12" i="212"/>
  <c r="O17" i="212"/>
  <c r="O25" i="212"/>
  <c r="AD30" i="212"/>
  <c r="O45" i="212"/>
  <c r="AB7" i="212"/>
  <c r="AC20" i="212"/>
  <c r="AD25" i="212"/>
  <c r="AB10" i="212"/>
  <c r="AD12" i="212"/>
  <c r="S7" i="212"/>
  <c r="AD8" i="212"/>
  <c r="O11" i="212"/>
  <c r="S15" i="212"/>
  <c r="AD16" i="212"/>
  <c r="O19" i="212"/>
  <c r="AC19" i="212"/>
  <c r="S23" i="212"/>
  <c r="AD24" i="212"/>
  <c r="O27" i="212"/>
  <c r="AC27" i="212"/>
  <c r="AB30" i="212"/>
  <c r="S31" i="212"/>
  <c r="O44" i="212"/>
  <c r="S46" i="212"/>
  <c r="O6" i="212"/>
  <c r="AC6" i="212"/>
  <c r="J44" i="212" s="1"/>
  <c r="S10" i="212"/>
  <c r="O14" i="212"/>
  <c r="AC14" i="212"/>
  <c r="J45" i="212" s="1"/>
  <c r="S18" i="212"/>
  <c r="AD19" i="212"/>
  <c r="O22" i="212"/>
  <c r="S26" i="212"/>
  <c r="AD27" i="212"/>
  <c r="S8" i="211"/>
  <c r="M16" i="211"/>
  <c r="AK26" i="211" s="1"/>
  <c r="AB25" i="211"/>
  <c r="O30" i="211"/>
  <c r="O9" i="211"/>
  <c r="AD14" i="211"/>
  <c r="K45" i="211" s="1"/>
  <c r="S16" i="211"/>
  <c r="M20" i="211"/>
  <c r="AK19" i="211" s="1"/>
  <c r="S21" i="211"/>
  <c r="M25" i="211"/>
  <c r="AK20" i="211" s="1"/>
  <c r="AB27" i="211"/>
  <c r="S11" i="211"/>
  <c r="AB9" i="211"/>
  <c r="S13" i="211"/>
  <c r="AB22" i="211"/>
  <c r="AB29" i="211"/>
  <c r="S30" i="211"/>
  <c r="S44" i="211"/>
  <c r="AD11" i="211"/>
  <c r="AB19" i="211"/>
  <c r="M6" i="211"/>
  <c r="AK14" i="211" s="1"/>
  <c r="AD12" i="211"/>
  <c r="AB11" i="211"/>
  <c r="M14" i="211"/>
  <c r="AK17" i="211" s="1"/>
  <c r="AC22" i="211"/>
  <c r="M19" i="211"/>
  <c r="AK28" i="211" s="1"/>
  <c r="S27" i="211"/>
  <c r="AF15" i="211"/>
  <c r="AC29" i="211"/>
  <c r="AB28" i="211"/>
  <c r="O25" i="211"/>
  <c r="M11" i="211"/>
  <c r="AK25" i="211" s="1"/>
  <c r="AB16" i="211"/>
  <c r="AB15" i="211"/>
  <c r="S22" i="211"/>
  <c r="AC25" i="211"/>
  <c r="S6" i="211"/>
  <c r="AB13" i="211"/>
  <c r="S14" i="211"/>
  <c r="S19" i="211"/>
  <c r="S29" i="211"/>
  <c r="AB30" i="211"/>
  <c r="M45" i="211"/>
  <c r="O17" i="211"/>
  <c r="AD30" i="211"/>
  <c r="O45" i="211"/>
  <c r="AF6" i="211"/>
  <c r="AB7" i="211"/>
  <c r="AD9" i="211"/>
  <c r="AC12" i="211"/>
  <c r="AC20" i="211"/>
  <c r="AB23" i="211"/>
  <c r="AD25" i="211"/>
  <c r="AC28" i="211"/>
  <c r="O15" i="211"/>
  <c r="AC23" i="211"/>
  <c r="J46" i="211" s="1"/>
  <c r="AD7" i="211"/>
  <c r="AC10" i="211"/>
  <c r="O8" i="211"/>
  <c r="AC8" i="211"/>
  <c r="S12" i="211"/>
  <c r="AD13" i="211"/>
  <c r="O16" i="211"/>
  <c r="AC16" i="211"/>
  <c r="S20" i="211"/>
  <c r="AD21" i="211"/>
  <c r="O24" i="211"/>
  <c r="AC24" i="211"/>
  <c r="S28" i="211"/>
  <c r="AD29" i="211"/>
  <c r="O12" i="211"/>
  <c r="AD17" i="211"/>
  <c r="O20" i="211"/>
  <c r="O28" i="211"/>
  <c r="O7" i="211"/>
  <c r="AC15" i="211"/>
  <c r="AB18" i="211"/>
  <c r="AD20" i="211"/>
  <c r="O23" i="211"/>
  <c r="O31" i="211"/>
  <c r="O46" i="211"/>
  <c r="O10" i="211"/>
  <c r="AD15" i="211"/>
  <c r="AB21" i="211"/>
  <c r="AD23" i="211"/>
  <c r="K46" i="211" s="1"/>
  <c r="AB8" i="211"/>
  <c r="AD10" i="211"/>
  <c r="O21" i="211"/>
  <c r="AB24" i="211"/>
  <c r="O29" i="211"/>
  <c r="AB6" i="211"/>
  <c r="S7" i="211"/>
  <c r="AD8" i="211"/>
  <c r="O11" i="211"/>
  <c r="AC11" i="211"/>
  <c r="AB14" i="211"/>
  <c r="S15" i="211"/>
  <c r="AD16" i="211"/>
  <c r="O19" i="211"/>
  <c r="AC19" i="211"/>
  <c r="S23" i="211"/>
  <c r="AD24" i="211"/>
  <c r="O27" i="211"/>
  <c r="AC27" i="211"/>
  <c r="S31" i="211"/>
  <c r="O44" i="211"/>
  <c r="S46" i="211"/>
  <c r="AD22" i="211"/>
  <c r="AB31" i="211"/>
  <c r="AC7" i="211"/>
  <c r="AB10" i="211"/>
  <c r="AB26" i="211"/>
  <c r="AD28" i="211"/>
  <c r="AC31" i="211"/>
  <c r="O18" i="211"/>
  <c r="AC18" i="211"/>
  <c r="O26" i="211"/>
  <c r="AC26" i="211"/>
  <c r="AD31" i="211"/>
  <c r="S9" i="211"/>
  <c r="O13" i="211"/>
  <c r="AC13" i="211"/>
  <c r="S17" i="211"/>
  <c r="AD18" i="211"/>
  <c r="AC21" i="211"/>
  <c r="S25" i="211"/>
  <c r="AD26" i="211"/>
  <c r="S45" i="211"/>
  <c r="O6" i="211"/>
  <c r="AC6" i="211"/>
  <c r="J44" i="211" s="1"/>
  <c r="S10" i="211"/>
  <c r="O14" i="211"/>
  <c r="AC14" i="211"/>
  <c r="J45" i="211" s="1"/>
  <c r="S18" i="211"/>
  <c r="AD19" i="211"/>
  <c r="O22" i="211"/>
  <c r="S26" i="211"/>
  <c r="AD27" i="211"/>
  <c r="T46" i="210" l="1"/>
  <c r="R46" i="210"/>
  <c r="Q46" i="210"/>
  <c r="P46" i="210"/>
  <c r="N46" i="210"/>
  <c r="T45" i="210"/>
  <c r="R45" i="210"/>
  <c r="Q45" i="210"/>
  <c r="N45" i="210"/>
  <c r="T44" i="210"/>
  <c r="R44" i="210"/>
  <c r="Q44" i="210"/>
  <c r="M44" i="210" s="1"/>
  <c r="N44" i="210"/>
  <c r="AJ31" i="210"/>
  <c r="AI31" i="210"/>
  <c r="AH31" i="210"/>
  <c r="AG31" i="210"/>
  <c r="U31" i="210"/>
  <c r="T31" i="210"/>
  <c r="R31" i="210"/>
  <c r="Q31" i="210"/>
  <c r="P31" i="210"/>
  <c r="N31" i="210"/>
  <c r="E31" i="210"/>
  <c r="AF22" i="210" s="1"/>
  <c r="AJ30" i="210"/>
  <c r="AI30" i="210"/>
  <c r="AH30" i="210"/>
  <c r="AG30" i="210"/>
  <c r="T30" i="210"/>
  <c r="R30" i="210"/>
  <c r="Q30" i="210"/>
  <c r="P30" i="210"/>
  <c r="N30" i="210"/>
  <c r="E30" i="210"/>
  <c r="AF13" i="210" s="1"/>
  <c r="AJ29" i="210"/>
  <c r="AI29" i="210"/>
  <c r="AH29" i="210"/>
  <c r="AG29" i="210"/>
  <c r="U29" i="210"/>
  <c r="T29" i="210"/>
  <c r="R29" i="210"/>
  <c r="Q29" i="210"/>
  <c r="P29" i="210"/>
  <c r="N29" i="210"/>
  <c r="E29" i="210"/>
  <c r="AF21" i="210" s="1"/>
  <c r="AJ28" i="210"/>
  <c r="AI28" i="210"/>
  <c r="AH28" i="210"/>
  <c r="AG28" i="210"/>
  <c r="U28" i="210"/>
  <c r="T28" i="210"/>
  <c r="R28" i="210"/>
  <c r="Q28" i="210"/>
  <c r="P28" i="210"/>
  <c r="N28" i="210"/>
  <c r="E28" i="210"/>
  <c r="AF31" i="210" s="1"/>
  <c r="AJ27" i="210"/>
  <c r="AI27" i="210"/>
  <c r="AH27" i="210"/>
  <c r="AG27" i="210"/>
  <c r="U27" i="210"/>
  <c r="T27" i="210"/>
  <c r="R27" i="210"/>
  <c r="Q27" i="210"/>
  <c r="P27" i="210"/>
  <c r="N27" i="210"/>
  <c r="E27" i="210"/>
  <c r="AF12" i="210" s="1"/>
  <c r="AJ26" i="210"/>
  <c r="AI26" i="210"/>
  <c r="AH26" i="210"/>
  <c r="AG26" i="210"/>
  <c r="U26" i="210"/>
  <c r="T26" i="210"/>
  <c r="R26" i="210"/>
  <c r="Q26" i="210"/>
  <c r="P26" i="210"/>
  <c r="N26" i="210"/>
  <c r="E26" i="210"/>
  <c r="AF30" i="210" s="1"/>
  <c r="AJ25" i="210"/>
  <c r="AI25" i="210"/>
  <c r="AH25" i="210"/>
  <c r="AG25" i="210"/>
  <c r="U25" i="210"/>
  <c r="T25" i="210"/>
  <c r="R25" i="210"/>
  <c r="Q25" i="210"/>
  <c r="P25" i="210"/>
  <c r="N25" i="210"/>
  <c r="E25" i="210"/>
  <c r="AJ24" i="210"/>
  <c r="AI24" i="210"/>
  <c r="AH24" i="210"/>
  <c r="AG24" i="210"/>
  <c r="U24" i="210"/>
  <c r="T24" i="210"/>
  <c r="R24" i="210"/>
  <c r="Q24" i="210"/>
  <c r="P24" i="210"/>
  <c r="N24" i="210"/>
  <c r="E24" i="210"/>
  <c r="AF11" i="210" s="1"/>
  <c r="AJ23" i="210"/>
  <c r="AI23" i="210"/>
  <c r="AH23" i="210"/>
  <c r="AG23" i="210"/>
  <c r="U23" i="210"/>
  <c r="T23" i="210"/>
  <c r="R23" i="210"/>
  <c r="Q23" i="210"/>
  <c r="M23" i="210" s="1"/>
  <c r="AK10" i="210" s="1"/>
  <c r="P23" i="210"/>
  <c r="N23" i="210"/>
  <c r="E23" i="210"/>
  <c r="AF10" i="210" s="1"/>
  <c r="AJ22" i="210"/>
  <c r="AI22" i="210"/>
  <c r="AH22" i="210"/>
  <c r="AG22" i="210"/>
  <c r="U22" i="210"/>
  <c r="T22" i="210"/>
  <c r="R22" i="210"/>
  <c r="Q22" i="210"/>
  <c r="P22" i="210"/>
  <c r="N22" i="210"/>
  <c r="E22" i="210"/>
  <c r="AF9" i="210" s="1"/>
  <c r="AJ21" i="210"/>
  <c r="AI21" i="210"/>
  <c r="AH21" i="210"/>
  <c r="AG21" i="210"/>
  <c r="U21" i="210"/>
  <c r="T21" i="210"/>
  <c r="R21" i="210"/>
  <c r="Q21" i="210"/>
  <c r="M21" i="210" s="1"/>
  <c r="AK29" i="210" s="1"/>
  <c r="P21" i="210"/>
  <c r="N21" i="210"/>
  <c r="E21" i="210"/>
  <c r="AF29" i="210" s="1"/>
  <c r="AJ20" i="210"/>
  <c r="AI20" i="210"/>
  <c r="AH20" i="210"/>
  <c r="AG20" i="210"/>
  <c r="AF20" i="210"/>
  <c r="U20" i="210"/>
  <c r="T20" i="210"/>
  <c r="R20" i="210"/>
  <c r="Q20" i="210"/>
  <c r="P20" i="210"/>
  <c r="N20" i="210"/>
  <c r="E20" i="210"/>
  <c r="AF19" i="210" s="1"/>
  <c r="AJ19" i="210"/>
  <c r="AI19" i="210"/>
  <c r="AH19" i="210"/>
  <c r="AG19" i="210"/>
  <c r="U19" i="210"/>
  <c r="T19" i="210"/>
  <c r="R19" i="210"/>
  <c r="Q19" i="210"/>
  <c r="P19" i="210"/>
  <c r="N19" i="210"/>
  <c r="E19" i="210"/>
  <c r="AF28" i="210" s="1"/>
  <c r="AJ18" i="210"/>
  <c r="AI18" i="210"/>
  <c r="AH18" i="210"/>
  <c r="AG18" i="210"/>
  <c r="U18" i="210"/>
  <c r="T18" i="210"/>
  <c r="R18" i="210"/>
  <c r="Q18" i="210"/>
  <c r="P18" i="210"/>
  <c r="N18" i="210"/>
  <c r="E18" i="210"/>
  <c r="AF8" i="210" s="1"/>
  <c r="AJ17" i="210"/>
  <c r="AI17" i="210"/>
  <c r="AH17" i="210"/>
  <c r="AG17" i="210"/>
  <c r="U17" i="210"/>
  <c r="T17" i="210"/>
  <c r="R17" i="210"/>
  <c r="Q17" i="210"/>
  <c r="P17" i="210"/>
  <c r="N17" i="210"/>
  <c r="E17" i="210"/>
  <c r="AF27" i="210" s="1"/>
  <c r="AJ16" i="210"/>
  <c r="AI16" i="210"/>
  <c r="AH16" i="210"/>
  <c r="AG16" i="210"/>
  <c r="U16" i="210"/>
  <c r="T16" i="210"/>
  <c r="R16" i="210"/>
  <c r="Q16" i="210"/>
  <c r="P16" i="210"/>
  <c r="N16" i="210"/>
  <c r="E16" i="210"/>
  <c r="AF26" i="210" s="1"/>
  <c r="AJ15" i="210"/>
  <c r="AI15" i="210"/>
  <c r="AH15" i="210"/>
  <c r="AG15" i="210"/>
  <c r="U15" i="210"/>
  <c r="T15" i="210"/>
  <c r="R15" i="210"/>
  <c r="Q15" i="210"/>
  <c r="P15" i="210"/>
  <c r="N15" i="210"/>
  <c r="E15" i="210"/>
  <c r="AF18" i="210" s="1"/>
  <c r="AJ14" i="210"/>
  <c r="AI14" i="210"/>
  <c r="AH14" i="210"/>
  <c r="AG14" i="210"/>
  <c r="U14" i="210"/>
  <c r="T14" i="210"/>
  <c r="R14" i="210"/>
  <c r="Q14" i="210"/>
  <c r="P14" i="210"/>
  <c r="N14" i="210"/>
  <c r="E14" i="210"/>
  <c r="AF17" i="210" s="1"/>
  <c r="AJ13" i="210"/>
  <c r="AI13" i="210"/>
  <c r="AH13" i="210"/>
  <c r="AG13" i="210"/>
  <c r="U13" i="210"/>
  <c r="T13" i="210"/>
  <c r="R13" i="210"/>
  <c r="Q13" i="210"/>
  <c r="P13" i="210"/>
  <c r="N13" i="210"/>
  <c r="E13" i="210"/>
  <c r="AF16" i="210" s="1"/>
  <c r="AJ12" i="210"/>
  <c r="AI12" i="210"/>
  <c r="AH12" i="210"/>
  <c r="AG12" i="210"/>
  <c r="U12" i="210"/>
  <c r="T12" i="210"/>
  <c r="R12" i="210"/>
  <c r="Q12" i="210"/>
  <c r="P12" i="210"/>
  <c r="N12" i="210"/>
  <c r="E12" i="210"/>
  <c r="AF7" i="210" s="1"/>
  <c r="AJ11" i="210"/>
  <c r="AI11" i="210"/>
  <c r="AH11" i="210"/>
  <c r="AG11" i="210"/>
  <c r="U11" i="210"/>
  <c r="T11" i="210"/>
  <c r="R11" i="210"/>
  <c r="Q11" i="210"/>
  <c r="P11" i="210"/>
  <c r="N11" i="210"/>
  <c r="E11" i="210"/>
  <c r="AF25" i="210" s="1"/>
  <c r="AJ10" i="210"/>
  <c r="AI10" i="210"/>
  <c r="AH10" i="210"/>
  <c r="AG10" i="210"/>
  <c r="U10" i="210"/>
  <c r="T10" i="210"/>
  <c r="R10" i="210"/>
  <c r="Q10" i="210"/>
  <c r="P10" i="210"/>
  <c r="N10" i="210"/>
  <c r="E10" i="210"/>
  <c r="AJ9" i="210"/>
  <c r="AI9" i="210"/>
  <c r="AH9" i="210"/>
  <c r="AG9" i="210"/>
  <c r="U9" i="210"/>
  <c r="T9" i="210"/>
  <c r="R9" i="210"/>
  <c r="Q9" i="210"/>
  <c r="P9" i="210"/>
  <c r="N9" i="210"/>
  <c r="E9" i="210"/>
  <c r="AF15" i="210" s="1"/>
  <c r="AJ8" i="210"/>
  <c r="AI8" i="210"/>
  <c r="AH8" i="210"/>
  <c r="AG8" i="210"/>
  <c r="U8" i="210"/>
  <c r="T8" i="210"/>
  <c r="R8" i="210"/>
  <c r="Q8" i="210"/>
  <c r="P8" i="210"/>
  <c r="N8" i="210"/>
  <c r="E8" i="210"/>
  <c r="AF24" i="210" s="1"/>
  <c r="AJ7" i="210"/>
  <c r="AI7" i="210"/>
  <c r="AH7" i="210"/>
  <c r="AG7" i="210"/>
  <c r="U7" i="210"/>
  <c r="T7" i="210"/>
  <c r="R7" i="210"/>
  <c r="Q7" i="210"/>
  <c r="P7" i="210"/>
  <c r="N7" i="210"/>
  <c r="E7" i="210"/>
  <c r="AF23" i="210" s="1"/>
  <c r="U6" i="210"/>
  <c r="T6" i="210"/>
  <c r="R6" i="210"/>
  <c r="Q6" i="210"/>
  <c r="P6" i="210"/>
  <c r="N6" i="210"/>
  <c r="E6" i="210"/>
  <c r="M7" i="210" l="1"/>
  <c r="AK23" i="210" s="1"/>
  <c r="M45" i="210"/>
  <c r="M26" i="210"/>
  <c r="AK30" i="210" s="1"/>
  <c r="M9" i="210"/>
  <c r="AK15" i="210" s="1"/>
  <c r="M14" i="210"/>
  <c r="AK17" i="210" s="1"/>
  <c r="M28" i="210"/>
  <c r="AK31" i="210" s="1"/>
  <c r="M31" i="210"/>
  <c r="AK22" i="210" s="1"/>
  <c r="M30" i="210"/>
  <c r="AK13" i="210" s="1"/>
  <c r="M19" i="210"/>
  <c r="AK28" i="210" s="1"/>
  <c r="M13" i="210"/>
  <c r="AK16" i="210" s="1"/>
  <c r="M18" i="210"/>
  <c r="AK8" i="210" s="1"/>
  <c r="M25" i="210"/>
  <c r="AK20" i="210" s="1"/>
  <c r="O9" i="210"/>
  <c r="M10" i="210"/>
  <c r="AK6" i="210" s="1"/>
  <c r="S16" i="210"/>
  <c r="AF6" i="210"/>
  <c r="AB11" i="210"/>
  <c r="M17" i="210"/>
  <c r="AK27" i="210" s="1"/>
  <c r="M29" i="210"/>
  <c r="AK21" i="210" s="1"/>
  <c r="M46" i="210"/>
  <c r="AD6" i="210"/>
  <c r="K44" i="210" s="1"/>
  <c r="AB6" i="210"/>
  <c r="AC7" i="210"/>
  <c r="M11" i="210"/>
  <c r="AK25" i="210" s="1"/>
  <c r="M15" i="210"/>
  <c r="AK18" i="210" s="1"/>
  <c r="M24" i="210"/>
  <c r="AK11" i="210" s="1"/>
  <c r="M27" i="210"/>
  <c r="AK12" i="210" s="1"/>
  <c r="M6" i="210"/>
  <c r="AK14" i="210" s="1"/>
  <c r="M8" i="210"/>
  <c r="AK24" i="210" s="1"/>
  <c r="M12" i="210"/>
  <c r="AK7" i="210" s="1"/>
  <c r="M20" i="210"/>
  <c r="AK19" i="210" s="1"/>
  <c r="M22" i="210"/>
  <c r="AK9" i="210" s="1"/>
  <c r="M16" i="210"/>
  <c r="AK26" i="210" s="1"/>
  <c r="O30" i="210"/>
  <c r="AF14" i="210"/>
  <c r="AB19" i="210"/>
  <c r="AB28" i="210"/>
  <c r="AB22" i="210"/>
  <c r="AD11" i="210"/>
  <c r="AB12" i="210"/>
  <c r="AD14" i="210"/>
  <c r="K45" i="210" s="1"/>
  <c r="AB27" i="210"/>
  <c r="AC22" i="210"/>
  <c r="AC28" i="210"/>
  <c r="AB14" i="210"/>
  <c r="AC17" i="210"/>
  <c r="AB7" i="210"/>
  <c r="AC9" i="210"/>
  <c r="AB21" i="210"/>
  <c r="AC30" i="210"/>
  <c r="AB29" i="210"/>
  <c r="AB20" i="210"/>
  <c r="AC11" i="210"/>
  <c r="AC25" i="210"/>
  <c r="AD30" i="210"/>
  <c r="AB15" i="210"/>
  <c r="AD17" i="210"/>
  <c r="O20" i="210"/>
  <c r="AB31" i="210"/>
  <c r="O7" i="210"/>
  <c r="AB10" i="210"/>
  <c r="AD12" i="210"/>
  <c r="O15" i="210"/>
  <c r="AB18" i="210"/>
  <c r="AB26" i="210"/>
  <c r="O31" i="210"/>
  <c r="S44" i="210"/>
  <c r="S6" i="210"/>
  <c r="O10" i="210"/>
  <c r="AC10" i="210"/>
  <c r="AB13" i="210"/>
  <c r="O18" i="210"/>
  <c r="AC18" i="210"/>
  <c r="AD31" i="210"/>
  <c r="AB8" i="210"/>
  <c r="S9" i="210"/>
  <c r="AD10" i="210"/>
  <c r="O13" i="210"/>
  <c r="AC13" i="210"/>
  <c r="AB16" i="210"/>
  <c r="S17" i="210"/>
  <c r="AD18" i="210"/>
  <c r="O21" i="210"/>
  <c r="AC21" i="210"/>
  <c r="AB24" i="210"/>
  <c r="S25" i="210"/>
  <c r="AD26" i="210"/>
  <c r="O29" i="210"/>
  <c r="AC29" i="210"/>
  <c r="S45" i="210"/>
  <c r="O17" i="210"/>
  <c r="AD22" i="210"/>
  <c r="S29" i="210"/>
  <c r="AC20" i="210"/>
  <c r="AB23" i="210"/>
  <c r="S24" i="210"/>
  <c r="AD25" i="210"/>
  <c r="O28" i="210"/>
  <c r="S11" i="210"/>
  <c r="S19" i="210"/>
  <c r="AD20" i="210"/>
  <c r="O23" i="210"/>
  <c r="AC23" i="210"/>
  <c r="J46" i="210" s="1"/>
  <c r="S27" i="210"/>
  <c r="AD28" i="210"/>
  <c r="AC31" i="210"/>
  <c r="O46" i="210"/>
  <c r="AD7" i="210"/>
  <c r="S14" i="210"/>
  <c r="AD15" i="210"/>
  <c r="S22" i="210"/>
  <c r="AD23" i="210"/>
  <c r="K46" i="210" s="1"/>
  <c r="O26" i="210"/>
  <c r="AC26" i="210"/>
  <c r="S30" i="210"/>
  <c r="O8" i="210"/>
  <c r="AC8" i="210"/>
  <c r="S12" i="210"/>
  <c r="AD13" i="210"/>
  <c r="O16" i="210"/>
  <c r="AC16" i="210"/>
  <c r="S20" i="210"/>
  <c r="AD21" i="210"/>
  <c r="O24" i="210"/>
  <c r="AC24" i="210"/>
  <c r="S28" i="210"/>
  <c r="AD29" i="210"/>
  <c r="S13" i="210"/>
  <c r="S21" i="210"/>
  <c r="O25" i="210"/>
  <c r="O45" i="210"/>
  <c r="S8" i="210"/>
  <c r="AD9" i="210"/>
  <c r="O12" i="210"/>
  <c r="AC12" i="210"/>
  <c r="AC15" i="210"/>
  <c r="S7" i="210"/>
  <c r="AD8" i="210"/>
  <c r="O11" i="210"/>
  <c r="S15" i="210"/>
  <c r="AD16" i="210"/>
  <c r="O19" i="210"/>
  <c r="AC19" i="210"/>
  <c r="S23" i="210"/>
  <c r="AD24" i="210"/>
  <c r="O27" i="210"/>
  <c r="AC27" i="210"/>
  <c r="AB30" i="210"/>
  <c r="S31" i="210"/>
  <c r="O44" i="210"/>
  <c r="S46" i="210"/>
  <c r="O6" i="210"/>
  <c r="AC6" i="210"/>
  <c r="J44" i="210" s="1"/>
  <c r="AB9" i="210"/>
  <c r="S10" i="210"/>
  <c r="O14" i="210"/>
  <c r="AC14" i="210"/>
  <c r="J45" i="210" s="1"/>
  <c r="AB17" i="210"/>
  <c r="S18" i="210"/>
  <c r="AD19" i="210"/>
  <c r="O22" i="210"/>
  <c r="AB25" i="210"/>
  <c r="S26" i="210"/>
  <c r="AD27" i="210"/>
  <c r="T45" i="166" l="1"/>
  <c r="T46" i="166"/>
  <c r="T44" i="166"/>
  <c r="P45" i="166"/>
  <c r="Q45" i="166"/>
  <c r="R45" i="166"/>
  <c r="P46" i="166"/>
  <c r="Q46" i="166"/>
  <c r="R46" i="166"/>
  <c r="R44" i="166"/>
  <c r="Q44" i="166"/>
  <c r="P44" i="166"/>
  <c r="N44" i="166"/>
  <c r="N45" i="166"/>
  <c r="N46" i="166"/>
  <c r="AG7" i="166"/>
  <c r="AH7" i="166"/>
  <c r="AI7" i="166"/>
  <c r="AJ7" i="166"/>
  <c r="AG8" i="166"/>
  <c r="AH8" i="166"/>
  <c r="AI8" i="166"/>
  <c r="AJ8" i="166"/>
  <c r="AG9" i="166"/>
  <c r="AH9" i="166"/>
  <c r="AI9" i="166"/>
  <c r="AJ9" i="166"/>
  <c r="AG10" i="166"/>
  <c r="AH10" i="166"/>
  <c r="AI10" i="166"/>
  <c r="AJ10" i="166"/>
  <c r="AG11" i="166"/>
  <c r="AH11" i="166"/>
  <c r="AI11" i="166"/>
  <c r="AJ11" i="166"/>
  <c r="AG12" i="166"/>
  <c r="AH12" i="166"/>
  <c r="AI12" i="166"/>
  <c r="AJ12" i="166"/>
  <c r="AG13" i="166"/>
  <c r="AH13" i="166"/>
  <c r="AI13" i="166"/>
  <c r="AJ13" i="166"/>
  <c r="AG14" i="166"/>
  <c r="AH14" i="166"/>
  <c r="AI14" i="166"/>
  <c r="AJ14" i="166"/>
  <c r="AG15" i="166"/>
  <c r="AH15" i="166"/>
  <c r="AI15" i="166"/>
  <c r="AJ15" i="166"/>
  <c r="AG16" i="166"/>
  <c r="AH16" i="166"/>
  <c r="AI16" i="166"/>
  <c r="AJ16" i="166"/>
  <c r="AG17" i="166"/>
  <c r="AH17" i="166"/>
  <c r="AI17" i="166"/>
  <c r="AJ17" i="166"/>
  <c r="AG18" i="166"/>
  <c r="AH18" i="166"/>
  <c r="AI18" i="166"/>
  <c r="AJ18" i="166"/>
  <c r="AG19" i="166"/>
  <c r="AH19" i="166"/>
  <c r="AI19" i="166"/>
  <c r="AJ19" i="166"/>
  <c r="AG20" i="166"/>
  <c r="AH20" i="166"/>
  <c r="AI20" i="166"/>
  <c r="AJ20" i="166"/>
  <c r="AG21" i="166"/>
  <c r="AH21" i="166"/>
  <c r="AI21" i="166"/>
  <c r="AJ21" i="166"/>
  <c r="AG22" i="166"/>
  <c r="AH22" i="166"/>
  <c r="AI22" i="166"/>
  <c r="AJ22" i="166"/>
  <c r="AG23" i="166"/>
  <c r="AH23" i="166"/>
  <c r="AI23" i="166"/>
  <c r="AJ23" i="166"/>
  <c r="AG24" i="166"/>
  <c r="AH24" i="166"/>
  <c r="AI24" i="166"/>
  <c r="AJ24" i="166"/>
  <c r="AG25" i="166"/>
  <c r="AH25" i="166"/>
  <c r="AI25" i="166"/>
  <c r="AJ25" i="166"/>
  <c r="AG26" i="166"/>
  <c r="AH26" i="166"/>
  <c r="AI26" i="166"/>
  <c r="AJ26" i="166"/>
  <c r="AG27" i="166"/>
  <c r="AH27" i="166"/>
  <c r="AI27" i="166"/>
  <c r="AJ27" i="166"/>
  <c r="AG28" i="166"/>
  <c r="AH28" i="166"/>
  <c r="AI28" i="166"/>
  <c r="AJ28" i="166"/>
  <c r="AG29" i="166"/>
  <c r="AH29" i="166"/>
  <c r="AI29" i="166"/>
  <c r="AJ29" i="166"/>
  <c r="AG30" i="166"/>
  <c r="AH30" i="166"/>
  <c r="AI30" i="166"/>
  <c r="AJ30" i="166"/>
  <c r="AG31" i="166"/>
  <c r="AH31" i="166"/>
  <c r="AI31" i="166"/>
  <c r="AJ31" i="166"/>
  <c r="AJ6" i="166"/>
  <c r="AI6" i="166"/>
  <c r="AH6" i="166"/>
  <c r="AG6" i="166"/>
  <c r="M46" i="166" l="1"/>
  <c r="M45" i="166"/>
  <c r="M44" i="166"/>
  <c r="AB6" i="166"/>
  <c r="AD6" i="166"/>
  <c r="AD27" i="166"/>
  <c r="AD31" i="166"/>
  <c r="AD16" i="166"/>
  <c r="AC17" i="166"/>
  <c r="AC21" i="166"/>
  <c r="AD21" i="166"/>
  <c r="AC10" i="166"/>
  <c r="AD9" i="166"/>
  <c r="N6" i="166"/>
  <c r="AB28" i="166"/>
  <c r="AB19" i="166"/>
  <c r="AB18" i="166"/>
  <c r="AB7" i="166"/>
  <c r="AB8" i="166"/>
  <c r="AB9" i="166"/>
  <c r="AB10" i="166"/>
  <c r="AB11" i="166"/>
  <c r="AB13" i="166"/>
  <c r="AC18" i="166"/>
  <c r="AB15" i="166"/>
  <c r="AB16" i="166"/>
  <c r="AB17" i="166"/>
  <c r="AB20" i="166"/>
  <c r="AB21" i="166"/>
  <c r="AB22" i="166"/>
  <c r="AC24" i="166"/>
  <c r="AB24" i="166"/>
  <c r="AB25" i="166"/>
  <c r="AB26" i="166"/>
  <c r="AB29" i="166"/>
  <c r="AB30" i="166"/>
  <c r="AB31" i="166"/>
  <c r="AC11" i="166"/>
  <c r="T14" i="166"/>
  <c r="T13" i="166"/>
  <c r="T12" i="166"/>
  <c r="T11" i="166"/>
  <c r="T10" i="166"/>
  <c r="T9" i="166"/>
  <c r="T8" i="166"/>
  <c r="T7" i="166"/>
  <c r="T6" i="166"/>
  <c r="E6" i="166"/>
  <c r="R6" i="166"/>
  <c r="Q6" i="166"/>
  <c r="P6" i="166"/>
  <c r="N7" i="166"/>
  <c r="N8" i="166"/>
  <c r="N9" i="166"/>
  <c r="N10" i="166"/>
  <c r="N11" i="166"/>
  <c r="N12" i="166"/>
  <c r="N13" i="166"/>
  <c r="N14" i="166"/>
  <c r="N15" i="166"/>
  <c r="N16" i="166"/>
  <c r="N17" i="166"/>
  <c r="N18" i="166"/>
  <c r="N19" i="166"/>
  <c r="N20" i="166"/>
  <c r="N21" i="166"/>
  <c r="N22" i="166"/>
  <c r="N23" i="166"/>
  <c r="N24" i="166"/>
  <c r="N25" i="166"/>
  <c r="N26" i="166"/>
  <c r="N27" i="166"/>
  <c r="N28" i="166"/>
  <c r="N29" i="166"/>
  <c r="N30" i="166"/>
  <c r="N31" i="166"/>
  <c r="M6" i="166" l="1"/>
  <c r="AK14" i="166" s="1"/>
  <c r="AF14" i="166"/>
  <c r="AB14" i="166"/>
  <c r="AD30" i="166"/>
  <c r="K44" i="166"/>
  <c r="AC20" i="166"/>
  <c r="AC26" i="166"/>
  <c r="AD13" i="166"/>
  <c r="AC6" i="166"/>
  <c r="J44" i="166" s="1"/>
  <c r="AC14" i="166"/>
  <c r="J45" i="166" s="1"/>
  <c r="AD19" i="166"/>
  <c r="AC16" i="166"/>
  <c r="AD29" i="166"/>
  <c r="AD25" i="166"/>
  <c r="AB12" i="166"/>
  <c r="AB27" i="166"/>
  <c r="AD8" i="166"/>
  <c r="AC9" i="166"/>
  <c r="AC31" i="166"/>
  <c r="AC27" i="166"/>
  <c r="AD7" i="166"/>
  <c r="AC8" i="166"/>
  <c r="AD20" i="166"/>
  <c r="AD15" i="166"/>
  <c r="AD26" i="166"/>
  <c r="AB23" i="166"/>
  <c r="AC7" i="166"/>
  <c r="AC15" i="166"/>
  <c r="AC30" i="166"/>
  <c r="AD12" i="166"/>
  <c r="AC13" i="166"/>
  <c r="AD14" i="166"/>
  <c r="K45" i="166" s="1"/>
  <c r="AC19" i="166"/>
  <c r="AD17" i="166"/>
  <c r="AC29" i="166"/>
  <c r="AC25" i="166"/>
  <c r="AD11" i="166"/>
  <c r="AC12" i="166"/>
  <c r="AD22" i="166"/>
  <c r="AD18" i="166"/>
  <c r="AD23" i="166"/>
  <c r="K46" i="166" s="1"/>
  <c r="AD28" i="166"/>
  <c r="AD24" i="166"/>
  <c r="AD10" i="166"/>
  <c r="AC22" i="166"/>
  <c r="AC23" i="166"/>
  <c r="J46" i="166" s="1"/>
  <c r="AC28" i="166"/>
  <c r="E7" i="166"/>
  <c r="AF23" i="166" s="1"/>
  <c r="E8" i="166"/>
  <c r="AF24" i="166" s="1"/>
  <c r="E9" i="166"/>
  <c r="AF15" i="166" s="1"/>
  <c r="E10" i="166"/>
  <c r="AF6" i="166" s="1"/>
  <c r="E11" i="166"/>
  <c r="AF25" i="166" s="1"/>
  <c r="E12" i="166"/>
  <c r="AF7" i="166" s="1"/>
  <c r="E13" i="166"/>
  <c r="AF16" i="166" s="1"/>
  <c r="E14" i="166"/>
  <c r="AF17" i="166" s="1"/>
  <c r="E15" i="166"/>
  <c r="AF18" i="166" s="1"/>
  <c r="E16" i="166"/>
  <c r="AF26" i="166" s="1"/>
  <c r="E17" i="166"/>
  <c r="AF27" i="166" s="1"/>
  <c r="E18" i="166"/>
  <c r="AF8" i="166" s="1"/>
  <c r="E19" i="166"/>
  <c r="AF28" i="166" s="1"/>
  <c r="E20" i="166"/>
  <c r="AF19" i="166" s="1"/>
  <c r="E21" i="166"/>
  <c r="AF29" i="166" s="1"/>
  <c r="E22" i="166"/>
  <c r="AF9" i="166" s="1"/>
  <c r="E23" i="166"/>
  <c r="AF10" i="166" s="1"/>
  <c r="E24" i="166"/>
  <c r="AF11" i="166" s="1"/>
  <c r="E25" i="166"/>
  <c r="AF20" i="166" s="1"/>
  <c r="E26" i="166"/>
  <c r="AF30" i="166" s="1"/>
  <c r="E27" i="166"/>
  <c r="AF12" i="166" s="1"/>
  <c r="E28" i="166"/>
  <c r="AF31" i="166" s="1"/>
  <c r="E29" i="166"/>
  <c r="AF21" i="166" s="1"/>
  <c r="E30" i="166"/>
  <c r="AF13" i="166" s="1"/>
  <c r="E31" i="166"/>
  <c r="AF22" i="166" s="1"/>
  <c r="U22" i="166"/>
  <c r="Q7" i="166"/>
  <c r="R7" i="166"/>
  <c r="Q8" i="166"/>
  <c r="R8" i="166"/>
  <c r="Q9" i="166"/>
  <c r="R9" i="166"/>
  <c r="Q10" i="166"/>
  <c r="R10" i="166"/>
  <c r="Q11" i="166"/>
  <c r="R11" i="166"/>
  <c r="Q12" i="166"/>
  <c r="R12" i="166"/>
  <c r="Q13" i="166"/>
  <c r="R13" i="166"/>
  <c r="Q14" i="166"/>
  <c r="R14" i="166"/>
  <c r="Q15" i="166"/>
  <c r="R15" i="166"/>
  <c r="Q16" i="166"/>
  <c r="R16" i="166"/>
  <c r="Q17" i="166"/>
  <c r="R17" i="166"/>
  <c r="Q18" i="166"/>
  <c r="R18" i="166"/>
  <c r="Q19" i="166"/>
  <c r="R19" i="166"/>
  <c r="Q20" i="166"/>
  <c r="R20" i="166"/>
  <c r="Q21" i="166"/>
  <c r="R21" i="166"/>
  <c r="Q22" i="166"/>
  <c r="R22" i="166"/>
  <c r="Q23" i="166"/>
  <c r="R23" i="166"/>
  <c r="Q24" i="166"/>
  <c r="R24" i="166"/>
  <c r="Q25" i="166"/>
  <c r="R25" i="166"/>
  <c r="Q26" i="166"/>
  <c r="R26" i="166"/>
  <c r="Q27" i="166"/>
  <c r="R27" i="166"/>
  <c r="Q28" i="166"/>
  <c r="R28" i="166"/>
  <c r="Q29" i="166"/>
  <c r="R29" i="166"/>
  <c r="Q30" i="166"/>
  <c r="R30" i="166"/>
  <c r="Q31" i="166"/>
  <c r="R31" i="166"/>
  <c r="P7" i="166"/>
  <c r="P8" i="166"/>
  <c r="P9" i="166"/>
  <c r="P10" i="166"/>
  <c r="P11" i="166"/>
  <c r="P12" i="166"/>
  <c r="P13" i="166"/>
  <c r="P14" i="166"/>
  <c r="P15" i="166"/>
  <c r="P16" i="166"/>
  <c r="P17" i="166"/>
  <c r="P18" i="166"/>
  <c r="P19" i="166"/>
  <c r="P20" i="166"/>
  <c r="P21" i="166"/>
  <c r="P22" i="166"/>
  <c r="P23" i="166"/>
  <c r="P24" i="166"/>
  <c r="P25" i="166"/>
  <c r="P26" i="166"/>
  <c r="P27" i="166"/>
  <c r="P28" i="166"/>
  <c r="P29" i="166"/>
  <c r="P30" i="166"/>
  <c r="P31" i="166"/>
  <c r="T15" i="166"/>
  <c r="T16" i="166"/>
  <c r="T17" i="166"/>
  <c r="T18" i="166"/>
  <c r="T19" i="166"/>
  <c r="T20" i="166"/>
  <c r="T21" i="166"/>
  <c r="T22" i="166"/>
  <c r="T23" i="166"/>
  <c r="T24" i="166"/>
  <c r="T25" i="166"/>
  <c r="T26" i="166"/>
  <c r="T27" i="166"/>
  <c r="T28" i="166"/>
  <c r="T29" i="166"/>
  <c r="T30" i="166"/>
  <c r="T31" i="166"/>
  <c r="C3" i="39"/>
  <c r="E84" i="39"/>
  <c r="G106" i="39"/>
  <c r="Q106" i="39"/>
  <c r="F119" i="39"/>
  <c r="P101" i="39"/>
  <c r="L119" i="39"/>
  <c r="M21" i="166" l="1"/>
  <c r="AK29" i="166" s="1"/>
  <c r="M12" i="166"/>
  <c r="AK7" i="166" s="1"/>
  <c r="F46" i="116"/>
  <c r="G33" i="116"/>
  <c r="M11" i="166"/>
  <c r="AK25" i="166" s="1"/>
  <c r="M14" i="166"/>
  <c r="AK17" i="166" s="1"/>
  <c r="M19" i="166"/>
  <c r="AK28" i="166" s="1"/>
  <c r="M7" i="166"/>
  <c r="AK23" i="166" s="1"/>
  <c r="O44" i="166"/>
  <c r="S44" i="166"/>
  <c r="S46" i="166"/>
  <c r="S45" i="166"/>
  <c r="O46" i="166"/>
  <c r="O45" i="166"/>
  <c r="S23" i="166"/>
  <c r="M16" i="166"/>
  <c r="AK26" i="166" s="1"/>
  <c r="M13" i="166"/>
  <c r="AK16" i="166" s="1"/>
  <c r="S11" i="166"/>
  <c r="S29" i="166"/>
  <c r="S19" i="166"/>
  <c r="O29" i="166"/>
  <c r="S7" i="166"/>
  <c r="S9" i="166"/>
  <c r="S27" i="166"/>
  <c r="O21" i="166"/>
  <c r="O11" i="166"/>
  <c r="O6" i="166"/>
  <c r="S15" i="166"/>
  <c r="M18" i="166"/>
  <c r="AK8" i="166" s="1"/>
  <c r="M10" i="166"/>
  <c r="AK6" i="166" s="1"/>
  <c r="S17" i="166"/>
  <c r="O19" i="166"/>
  <c r="S10" i="166"/>
  <c r="O27" i="166"/>
  <c r="S14" i="166"/>
  <c r="S25" i="166"/>
  <c r="S12" i="166"/>
  <c r="S18" i="166"/>
  <c r="S28" i="166"/>
  <c r="S31" i="166"/>
  <c r="M17" i="166"/>
  <c r="AK27" i="166" s="1"/>
  <c r="M9" i="166"/>
  <c r="AK15" i="166" s="1"/>
  <c r="S20" i="166"/>
  <c r="S30" i="166"/>
  <c r="S16" i="166"/>
  <c r="O8" i="166"/>
  <c r="O24" i="166"/>
  <c r="S8" i="166"/>
  <c r="S24" i="166"/>
  <c r="O16" i="166"/>
  <c r="O12" i="166"/>
  <c r="O7" i="166"/>
  <c r="O14" i="166"/>
  <c r="M8" i="166"/>
  <c r="AK24" i="166" s="1"/>
  <c r="O25" i="166"/>
  <c r="O28" i="166"/>
  <c r="O18" i="166"/>
  <c r="S21" i="166"/>
  <c r="O22" i="166"/>
  <c r="O31" i="166"/>
  <c r="S22" i="166"/>
  <c r="O9" i="166"/>
  <c r="S26" i="166"/>
  <c r="O20" i="166"/>
  <c r="O15" i="166"/>
  <c r="O17" i="166"/>
  <c r="O10" i="166"/>
  <c r="O23" i="166"/>
  <c r="M15" i="166"/>
  <c r="AK18" i="166" s="1"/>
  <c r="S13" i="166"/>
  <c r="O26" i="166"/>
  <c r="O13" i="166"/>
  <c r="O30" i="166"/>
  <c r="S6" i="166"/>
  <c r="S90" i="39"/>
  <c r="S97" i="39"/>
  <c r="S104" i="39"/>
  <c r="S109" i="39"/>
  <c r="S108" i="39"/>
  <c r="S95" i="39"/>
  <c r="S112" i="39"/>
  <c r="S94" i="39"/>
  <c r="S110" i="39"/>
  <c r="S93" i="39"/>
  <c r="S105" i="39"/>
  <c r="S96" i="39"/>
  <c r="S92" i="39"/>
  <c r="S91" i="39"/>
  <c r="S114" i="39"/>
  <c r="S107" i="39"/>
  <c r="S111" i="39"/>
  <c r="S113" i="39"/>
  <c r="S99" i="39"/>
  <c r="G119" i="39"/>
  <c r="K119" i="39"/>
  <c r="I119" i="39"/>
  <c r="L106" i="39"/>
  <c r="Q101" i="39"/>
  <c r="M106" i="39"/>
  <c r="M119" i="39"/>
  <c r="H106" i="39"/>
  <c r="J119" i="39"/>
  <c r="K106" i="39"/>
  <c r="Q119" i="39"/>
  <c r="O106" i="39"/>
  <c r="I106" i="39"/>
  <c r="O119" i="39"/>
  <c r="P119" i="39"/>
  <c r="P106" i="39"/>
  <c r="N106" i="39"/>
  <c r="J106" i="39"/>
  <c r="H119" i="39"/>
  <c r="N119" i="39"/>
  <c r="F106" i="39"/>
  <c r="F33" i="116" l="1"/>
  <c r="AH106" i="39"/>
  <c r="AM106" i="39"/>
  <c r="AL106" i="39"/>
  <c r="U119" i="39"/>
  <c r="I46" i="116" s="1"/>
  <c r="U106" i="39"/>
  <c r="I33" i="116" s="1"/>
  <c r="T106" i="39"/>
  <c r="W33" i="116" s="1"/>
  <c r="H46" i="116"/>
  <c r="W119" i="39"/>
  <c r="H33" i="116"/>
  <c r="W106" i="39"/>
  <c r="X106" i="39" s="1"/>
  <c r="Y106" i="39" s="1"/>
  <c r="T119" i="39"/>
  <c r="W46" i="116" s="1"/>
  <c r="G46" i="116"/>
  <c r="AH119" i="39"/>
  <c r="AK119" i="39"/>
  <c r="AL119" i="39"/>
  <c r="AM119" i="39"/>
  <c r="Z106" i="39"/>
  <c r="X119" i="39"/>
  <c r="Y119" i="39" s="1"/>
  <c r="Z119" i="39"/>
  <c r="AO88" i="39"/>
  <c r="AO89" i="39" s="1"/>
  <c r="AO90" i="39" s="1"/>
  <c r="AO91" i="39" s="1"/>
  <c r="AO92" i="39" s="1"/>
  <c r="AO93" i="39" s="1"/>
  <c r="AO94" i="39" s="1"/>
  <c r="AO95" i="39" s="1"/>
  <c r="AO96" i="39" s="1"/>
  <c r="AO97" i="39" s="1"/>
  <c r="AO98" i="39" s="1"/>
  <c r="AO99" i="39" s="1"/>
  <c r="AO100" i="39" s="1"/>
  <c r="AO101" i="39" s="1"/>
  <c r="AO102" i="39" s="1"/>
  <c r="AO103" i="39" s="1"/>
  <c r="AO104" i="39" s="1"/>
  <c r="AO105" i="39" s="1"/>
  <c r="AO106" i="39" s="1"/>
  <c r="AO107" i="39" s="1"/>
  <c r="AO108" i="39" s="1"/>
  <c r="AO109" i="39" s="1"/>
  <c r="AO110" i="39" s="1"/>
  <c r="AO111" i="39" s="1"/>
  <c r="AO112" i="39" s="1"/>
  <c r="AO113" i="39" s="1"/>
  <c r="AO114" i="39" s="1"/>
  <c r="AO115" i="39" s="1"/>
  <c r="AO116" i="39" s="1"/>
  <c r="AO117" i="39" s="1"/>
  <c r="AO118" i="39" s="1"/>
  <c r="AO119" i="39" s="1"/>
  <c r="AO120" i="39" s="1"/>
  <c r="AO121" i="39" s="1"/>
  <c r="AO122" i="39" s="1"/>
  <c r="AO123" i="39" s="1"/>
  <c r="AO124" i="39" s="1"/>
  <c r="AO125" i="39" s="1"/>
  <c r="AO126" i="39" s="1"/>
  <c r="AO127" i="39" s="1"/>
  <c r="AO128" i="39" s="1"/>
  <c r="AO129" i="39" s="1"/>
  <c r="AO130" i="39" s="1"/>
  <c r="AO131" i="39" s="1"/>
  <c r="AO132" i="39" s="1"/>
  <c r="AO133" i="39" s="1"/>
  <c r="AO134" i="39" s="1"/>
  <c r="AO135" i="39" s="1"/>
  <c r="AO136" i="39" s="1"/>
  <c r="AO137" i="39" s="1"/>
  <c r="AO138" i="39" s="1"/>
  <c r="AO139" i="39" s="1"/>
  <c r="AO140" i="39" s="1"/>
  <c r="AO141" i="39" s="1"/>
  <c r="AO142" i="39" s="1"/>
  <c r="AO143" i="39" s="1"/>
  <c r="AO144" i="39" s="1"/>
  <c r="AO145" i="39" s="1"/>
  <c r="AO146" i="39" s="1"/>
  <c r="AO147" i="39" s="1"/>
  <c r="AO148" i="39" s="1"/>
  <c r="AO149" i="39" s="1"/>
  <c r="AO150" i="39" s="1"/>
  <c r="AO151" i="39" s="1"/>
  <c r="AO152" i="39" s="1"/>
  <c r="B99" i="39"/>
  <c r="B98" i="39"/>
  <c r="B97" i="39"/>
  <c r="B96" i="39"/>
  <c r="B95" i="39"/>
  <c r="B94" i="39"/>
  <c r="B93" i="39"/>
  <c r="B92" i="39"/>
  <c r="B91" i="39"/>
  <c r="B90" i="39"/>
  <c r="B89" i="39"/>
  <c r="B88" i="39"/>
  <c r="S98" i="39"/>
  <c r="AI106" i="39" l="1"/>
  <c r="AK106" i="39"/>
  <c r="AA106" i="39"/>
  <c r="AD106" i="39"/>
  <c r="AN106" i="39"/>
  <c r="AJ106" i="39"/>
  <c r="AE106" i="39"/>
  <c r="AG106" i="39"/>
  <c r="AB106" i="39"/>
  <c r="AF106" i="39"/>
  <c r="AA119" i="39"/>
  <c r="AJ119" i="39"/>
  <c r="AN119" i="39"/>
  <c r="AG119" i="39"/>
  <c r="AE119" i="39"/>
  <c r="AI119" i="39"/>
  <c r="AB119" i="39"/>
  <c r="AF119" i="39"/>
  <c r="AD119" i="39"/>
  <c r="U31" i="166"/>
  <c r="M31" i="166"/>
  <c r="AK22" i="166" s="1"/>
  <c r="U30" i="166"/>
  <c r="M30" i="166"/>
  <c r="AK13" i="166" s="1"/>
  <c r="U29" i="166"/>
  <c r="M29" i="166"/>
  <c r="AK21" i="166" s="1"/>
  <c r="U28" i="166"/>
  <c r="M28" i="166"/>
  <c r="AK31" i="166" s="1"/>
  <c r="U27" i="166"/>
  <c r="M27" i="166"/>
  <c r="AK12" i="166" s="1"/>
  <c r="U26" i="166"/>
  <c r="M26" i="166"/>
  <c r="AK30" i="166" s="1"/>
  <c r="U25" i="166"/>
  <c r="M25" i="166"/>
  <c r="AK20" i="166" s="1"/>
  <c r="U24" i="166"/>
  <c r="M24" i="166"/>
  <c r="AK11" i="166" s="1"/>
  <c r="U23" i="166"/>
  <c r="M23" i="166"/>
  <c r="AK10" i="166" s="1"/>
  <c r="M22" i="166"/>
  <c r="AK9" i="166" s="1"/>
  <c r="U21" i="166"/>
  <c r="U20" i="166"/>
  <c r="M20" i="166"/>
  <c r="AK19" i="166" s="1"/>
  <c r="U19" i="166"/>
  <c r="U18" i="166"/>
  <c r="U17" i="166"/>
  <c r="U16" i="166"/>
  <c r="U15" i="166"/>
  <c r="U14" i="166"/>
  <c r="U13" i="166"/>
  <c r="U12" i="166"/>
  <c r="U11" i="166"/>
  <c r="U10" i="166"/>
  <c r="U9" i="166"/>
  <c r="U8" i="166"/>
  <c r="U7" i="166"/>
  <c r="D19" i="116" l="1"/>
  <c r="D17" i="116"/>
  <c r="D16" i="116"/>
  <c r="D26" i="81"/>
  <c r="D25" i="81"/>
  <c r="D24" i="81"/>
  <c r="D23" i="81"/>
  <c r="D22" i="81"/>
  <c r="D21" i="81"/>
  <c r="D19" i="81"/>
  <c r="D18" i="81"/>
  <c r="D17" i="81"/>
  <c r="D16" i="81"/>
  <c r="C99" i="39" l="1"/>
  <c r="C98" i="39"/>
  <c r="C97" i="39"/>
  <c r="C96" i="39"/>
  <c r="C95" i="39"/>
  <c r="C94" i="39"/>
  <c r="C92" i="39"/>
  <c r="C91" i="39"/>
  <c r="C90" i="39"/>
  <c r="C89" i="39"/>
  <c r="C88" i="39"/>
  <c r="Y3" i="39" l="1"/>
  <c r="C19" i="116" l="1"/>
  <c r="C18" i="116"/>
  <c r="C17" i="116"/>
  <c r="C16" i="116"/>
  <c r="H3" i="39"/>
  <c r="I14" i="116"/>
  <c r="W14" i="116"/>
  <c r="C15" i="116"/>
  <c r="D15" i="116"/>
  <c r="C15" i="81"/>
  <c r="D119" i="81"/>
  <c r="D118" i="81"/>
  <c r="D117" i="81"/>
  <c r="D116" i="81"/>
  <c r="D115" i="81"/>
  <c r="D114" i="81"/>
  <c r="D113" i="81"/>
  <c r="D112" i="81"/>
  <c r="D111" i="81"/>
  <c r="D110" i="81"/>
  <c r="D109" i="81"/>
  <c r="D108" i="81"/>
  <c r="D107" i="81"/>
  <c r="D106" i="81"/>
  <c r="D105" i="81"/>
  <c r="D104" i="81"/>
  <c r="D103" i="81"/>
  <c r="D102" i="81"/>
  <c r="D101" i="81"/>
  <c r="D100" i="81"/>
  <c r="D99" i="81"/>
  <c r="D98" i="81"/>
  <c r="D97" i="81"/>
  <c r="D96" i="81"/>
  <c r="D95" i="81"/>
  <c r="D94" i="81"/>
  <c r="D15" i="81"/>
  <c r="X14" i="81"/>
  <c r="E7" i="81" l="1"/>
  <c r="N3" i="39"/>
  <c r="G111" i="39"/>
  <c r="F152" i="39"/>
  <c r="J135" i="39"/>
  <c r="N142" i="39"/>
  <c r="H74" i="39"/>
  <c r="I122" i="39"/>
  <c r="P100" i="39"/>
  <c r="K149" i="39"/>
  <c r="M123" i="39"/>
  <c r="I111" i="39"/>
  <c r="O89" i="39"/>
  <c r="H95" i="39"/>
  <c r="K23" i="39"/>
  <c r="K31" i="39"/>
  <c r="N45" i="39"/>
  <c r="P103" i="39"/>
  <c r="P94" i="39"/>
  <c r="K58" i="39"/>
  <c r="H130" i="39"/>
  <c r="N19" i="39"/>
  <c r="K55" i="39"/>
  <c r="G32" i="39"/>
  <c r="L149" i="39"/>
  <c r="L31" i="39"/>
  <c r="K146" i="39"/>
  <c r="G152" i="39"/>
  <c r="M148" i="39"/>
  <c r="L142" i="39"/>
  <c r="J61" i="39"/>
  <c r="Q118" i="39"/>
  <c r="M90" i="39"/>
  <c r="H112" i="39"/>
  <c r="N35" i="39"/>
  <c r="L67" i="39"/>
  <c r="R67" i="39"/>
  <c r="J40" i="39"/>
  <c r="J94" i="39"/>
  <c r="L147" i="39"/>
  <c r="G62" i="39"/>
  <c r="G130" i="39"/>
  <c r="I102" i="39"/>
  <c r="G22" i="39"/>
  <c r="H23" i="39"/>
  <c r="J100" i="39"/>
  <c r="K18" i="39"/>
  <c r="O21" i="39"/>
  <c r="H134" i="39"/>
  <c r="Q110" i="39"/>
  <c r="M35" i="39"/>
  <c r="F62" i="39"/>
  <c r="N39" i="39"/>
  <c r="I140" i="39"/>
  <c r="O75" i="39"/>
  <c r="P123" i="39"/>
  <c r="N117" i="39"/>
  <c r="F51" i="39"/>
  <c r="L52" i="39"/>
  <c r="J31" i="39"/>
  <c r="O144" i="39"/>
  <c r="N102" i="39"/>
  <c r="Q104" i="39"/>
  <c r="J47" i="39"/>
  <c r="J109" i="39"/>
  <c r="H33" i="39"/>
  <c r="L50" i="39"/>
  <c r="Q139" i="39"/>
  <c r="L137" i="39"/>
  <c r="I61" i="39"/>
  <c r="Q93" i="39"/>
  <c r="K63" i="39"/>
  <c r="G126" i="39"/>
  <c r="K121" i="39"/>
  <c r="Q90" i="39"/>
  <c r="O18" i="39"/>
  <c r="F72" i="39"/>
  <c r="G75" i="39"/>
  <c r="L64" i="39"/>
  <c r="I26" i="39"/>
  <c r="K74" i="39"/>
  <c r="M104" i="39"/>
  <c r="H91" i="39"/>
  <c r="L54" i="39"/>
  <c r="N131" i="39"/>
  <c r="E91" i="39"/>
  <c r="K92" i="39"/>
  <c r="J141" i="39"/>
  <c r="N49" i="39"/>
  <c r="R42" i="39"/>
  <c r="I134" i="39"/>
  <c r="L25" i="39"/>
  <c r="J72" i="39"/>
  <c r="E114" i="39"/>
  <c r="F113" i="39"/>
  <c r="F39" i="39"/>
  <c r="K71" i="39"/>
  <c r="O90" i="39"/>
  <c r="O116" i="39"/>
  <c r="H107" i="39"/>
  <c r="K14" i="39"/>
  <c r="M53" i="39"/>
  <c r="I136" i="39"/>
  <c r="I35" i="39"/>
  <c r="O55" i="39"/>
  <c r="F56" i="39"/>
  <c r="F90" i="39"/>
  <c r="M29" i="39"/>
  <c r="L49" i="39"/>
  <c r="I135" i="39"/>
  <c r="O72" i="39"/>
  <c r="N38" i="39"/>
  <c r="K126" i="39"/>
  <c r="P145" i="39"/>
  <c r="G98" i="39"/>
  <c r="G136" i="39"/>
  <c r="F108" i="39"/>
  <c r="F69" i="39"/>
  <c r="L101" i="39"/>
  <c r="H51" i="39"/>
  <c r="H14" i="39"/>
  <c r="I99" i="39"/>
  <c r="O152" i="39"/>
  <c r="L113" i="39"/>
  <c r="N42" i="39"/>
  <c r="G47" i="39"/>
  <c r="R54" i="39"/>
  <c r="K110" i="39"/>
  <c r="M59" i="39"/>
  <c r="H127" i="39"/>
  <c r="M12" i="39"/>
  <c r="H72" i="39"/>
  <c r="R56" i="39"/>
  <c r="L26" i="39"/>
  <c r="M56" i="39"/>
  <c r="H136" i="39"/>
  <c r="P126" i="39"/>
  <c r="F128" i="39"/>
  <c r="H116" i="39"/>
  <c r="N31" i="39"/>
  <c r="N103" i="39"/>
  <c r="O57" i="39"/>
  <c r="J69" i="39"/>
  <c r="J91" i="39"/>
  <c r="F133" i="39"/>
  <c r="E94" i="39"/>
  <c r="E98" i="39"/>
  <c r="M152" i="39"/>
  <c r="E108" i="39"/>
  <c r="H17" i="39"/>
  <c r="H142" i="39"/>
  <c r="P148" i="39"/>
  <c r="N136" i="39"/>
  <c r="L73" i="39"/>
  <c r="K104" i="39"/>
  <c r="I46" i="39"/>
  <c r="I51" i="39"/>
  <c r="L42" i="39"/>
  <c r="G43" i="39"/>
  <c r="P129" i="39"/>
  <c r="H48" i="39"/>
  <c r="P130" i="39"/>
  <c r="J41" i="39"/>
  <c r="K46" i="39"/>
  <c r="J51" i="39"/>
  <c r="J113" i="39"/>
  <c r="I20" i="39"/>
  <c r="R57" i="39"/>
  <c r="J35" i="39"/>
  <c r="H42" i="39"/>
  <c r="H32" i="39"/>
  <c r="O149" i="39"/>
  <c r="N88" i="39"/>
  <c r="I40" i="39"/>
  <c r="G12" i="39"/>
  <c r="O101" i="39"/>
  <c r="F40" i="39"/>
  <c r="R27" i="39"/>
  <c r="E14" i="39"/>
  <c r="H151" i="39"/>
  <c r="L39" i="39"/>
  <c r="L108" i="39"/>
  <c r="G144" i="39"/>
  <c r="I16" i="39"/>
  <c r="L152" i="39"/>
  <c r="I123" i="39"/>
  <c r="L36" i="39"/>
  <c r="L114" i="39"/>
  <c r="M73" i="39"/>
  <c r="O24" i="39"/>
  <c r="K151" i="39"/>
  <c r="N108" i="39"/>
  <c r="N146" i="39"/>
  <c r="N147" i="39"/>
  <c r="N66" i="39"/>
  <c r="F60" i="39"/>
  <c r="R47" i="39"/>
  <c r="I92" i="39"/>
  <c r="J120" i="39"/>
  <c r="M139" i="39"/>
  <c r="P147" i="39"/>
  <c r="G14" i="39"/>
  <c r="I144" i="39"/>
  <c r="O122" i="39"/>
  <c r="L29" i="39"/>
  <c r="L58" i="39"/>
  <c r="Q99" i="39"/>
  <c r="R17" i="39"/>
  <c r="H94" i="39"/>
  <c r="P110" i="39"/>
  <c r="O104" i="39"/>
  <c r="J26" i="39"/>
  <c r="I90" i="39"/>
  <c r="K114" i="39"/>
  <c r="J54" i="39"/>
  <c r="I96" i="39"/>
  <c r="R38" i="39"/>
  <c r="J131" i="39"/>
  <c r="F25" i="39"/>
  <c r="J64" i="39"/>
  <c r="E11" i="39"/>
  <c r="F100" i="39"/>
  <c r="N128" i="39"/>
  <c r="L19" i="39"/>
  <c r="G115" i="39"/>
  <c r="I27" i="39"/>
  <c r="I98" i="39"/>
  <c r="O113" i="39"/>
  <c r="Q144" i="39"/>
  <c r="N113" i="39"/>
  <c r="I126" i="39"/>
  <c r="L104" i="39"/>
  <c r="K56" i="39"/>
  <c r="O127" i="39"/>
  <c r="M111" i="39"/>
  <c r="F41" i="39"/>
  <c r="F123" i="39"/>
  <c r="F26" i="39"/>
  <c r="K113" i="39"/>
  <c r="H63" i="39"/>
  <c r="I21" i="39"/>
  <c r="O111" i="39"/>
  <c r="L28" i="39"/>
  <c r="Q95" i="39"/>
  <c r="N152" i="39"/>
  <c r="M21" i="39"/>
  <c r="N36" i="39"/>
  <c r="G42" i="39"/>
  <c r="K103" i="39"/>
  <c r="G56" i="39"/>
  <c r="N44" i="39"/>
  <c r="G11" i="39"/>
  <c r="I64" i="39"/>
  <c r="I74" i="39"/>
  <c r="E104" i="39"/>
  <c r="I36" i="39"/>
  <c r="N30" i="39"/>
  <c r="I66" i="39"/>
  <c r="I54" i="39"/>
  <c r="I112" i="39"/>
  <c r="F75" i="39"/>
  <c r="N97" i="39"/>
  <c r="P150" i="39"/>
  <c r="N24" i="39"/>
  <c r="L120" i="39"/>
  <c r="G148" i="39"/>
  <c r="O115" i="39"/>
  <c r="F135" i="39"/>
  <c r="Q134" i="39"/>
  <c r="M93" i="39"/>
  <c r="J127" i="39"/>
  <c r="G59" i="39"/>
  <c r="M95" i="39"/>
  <c r="K131" i="39"/>
  <c r="O135" i="39"/>
  <c r="J44" i="39"/>
  <c r="P89" i="39"/>
  <c r="G93" i="39"/>
  <c r="I50" i="39"/>
  <c r="N111" i="39"/>
  <c r="F139" i="39"/>
  <c r="Q127" i="39"/>
  <c r="J71" i="39"/>
  <c r="G127" i="39"/>
  <c r="Q108" i="39"/>
  <c r="N69" i="39"/>
  <c r="J70" i="39"/>
  <c r="K150" i="39"/>
  <c r="L122" i="39"/>
  <c r="O96" i="39"/>
  <c r="N16" i="39"/>
  <c r="P132" i="39"/>
  <c r="N145" i="39"/>
  <c r="L13" i="39"/>
  <c r="O134" i="39"/>
  <c r="F112" i="39"/>
  <c r="R36" i="39"/>
  <c r="K13" i="39"/>
  <c r="F145" i="39"/>
  <c r="F54" i="39"/>
  <c r="G68" i="39"/>
  <c r="H64" i="39"/>
  <c r="P118" i="39"/>
  <c r="J17" i="39"/>
  <c r="K122" i="39"/>
  <c r="L11" i="39"/>
  <c r="N21" i="39"/>
  <c r="H21" i="39"/>
  <c r="J22" i="39"/>
  <c r="Q105" i="39"/>
  <c r="F127" i="39"/>
  <c r="P98" i="39"/>
  <c r="H46" i="39"/>
  <c r="F110" i="39"/>
  <c r="M75" i="39"/>
  <c r="F99" i="39"/>
  <c r="N92" i="39"/>
  <c r="G57" i="39"/>
  <c r="I117" i="39"/>
  <c r="J96" i="39"/>
  <c r="O132" i="39"/>
  <c r="O120" i="39"/>
  <c r="M138" i="39"/>
  <c r="H118" i="39"/>
  <c r="G51" i="39"/>
  <c r="L99" i="39"/>
  <c r="H90" i="39"/>
  <c r="Q122" i="39"/>
  <c r="M62" i="39"/>
  <c r="I148" i="39"/>
  <c r="K64" i="39"/>
  <c r="G40" i="39"/>
  <c r="F125" i="39"/>
  <c r="L118" i="39"/>
  <c r="J143" i="39"/>
  <c r="Q152" i="39"/>
  <c r="O126" i="39"/>
  <c r="I130" i="39"/>
  <c r="G17" i="39"/>
  <c r="R62" i="39"/>
  <c r="G30" i="39"/>
  <c r="O32" i="39"/>
  <c r="G147" i="39"/>
  <c r="K120" i="39"/>
  <c r="J93" i="39"/>
  <c r="L100" i="39"/>
  <c r="O65" i="39"/>
  <c r="F71" i="39"/>
  <c r="K135" i="39"/>
  <c r="E107" i="39"/>
  <c r="N89" i="39"/>
  <c r="E97" i="39"/>
  <c r="J15" i="39"/>
  <c r="G23" i="39"/>
  <c r="H45" i="39"/>
  <c r="Q129" i="39"/>
  <c r="H123" i="39"/>
  <c r="I23" i="39"/>
  <c r="M40" i="39"/>
  <c r="N65" i="39"/>
  <c r="Q91" i="39"/>
  <c r="J110" i="39"/>
  <c r="G118" i="39"/>
  <c r="O68" i="39"/>
  <c r="E109" i="39"/>
  <c r="H140" i="39"/>
  <c r="H70" i="39"/>
  <c r="R55" i="39"/>
  <c r="O30" i="39"/>
  <c r="N18" i="39"/>
  <c r="O63" i="39"/>
  <c r="N104" i="39"/>
  <c r="I17" i="39"/>
  <c r="R69" i="39"/>
  <c r="H35" i="39"/>
  <c r="K65" i="39"/>
  <c r="J147" i="39"/>
  <c r="G125" i="39"/>
  <c r="K138" i="39"/>
  <c r="G66" i="39"/>
  <c r="I93" i="39"/>
  <c r="J103" i="39"/>
  <c r="J121" i="39"/>
  <c r="F19" i="39"/>
  <c r="K139" i="39"/>
  <c r="J140" i="39"/>
  <c r="P144" i="39"/>
  <c r="L134" i="39"/>
  <c r="G145" i="39"/>
  <c r="O123" i="39"/>
  <c r="K115" i="39"/>
  <c r="O36" i="39"/>
  <c r="K50" i="39"/>
  <c r="P127" i="39"/>
  <c r="I125" i="39"/>
  <c r="G48" i="39"/>
  <c r="J150" i="39"/>
  <c r="F97" i="39"/>
  <c r="G150" i="39"/>
  <c r="P91" i="39"/>
  <c r="K129" i="39"/>
  <c r="O34" i="39"/>
  <c r="G102" i="39"/>
  <c r="R61" i="39"/>
  <c r="N40" i="39"/>
  <c r="I150" i="39"/>
  <c r="H131" i="39"/>
  <c r="O45" i="39"/>
  <c r="G135" i="39"/>
  <c r="K145" i="39"/>
  <c r="N72" i="39"/>
  <c r="O133" i="39"/>
  <c r="Q114" i="39"/>
  <c r="E112" i="39"/>
  <c r="F105" i="39"/>
  <c r="L55" i="39"/>
  <c r="M132" i="39"/>
  <c r="J27" i="39"/>
  <c r="J142" i="39"/>
  <c r="G15" i="39"/>
  <c r="O102" i="39"/>
  <c r="I43" i="39"/>
  <c r="L40" i="39"/>
  <c r="J133" i="39"/>
  <c r="M142" i="39"/>
  <c r="H16" i="39"/>
  <c r="J123" i="39"/>
  <c r="Q94" i="39"/>
  <c r="N62" i="39"/>
  <c r="O118" i="39"/>
  <c r="L136" i="39"/>
  <c r="L125" i="39"/>
  <c r="M151" i="39"/>
  <c r="H40" i="39"/>
  <c r="G90" i="39"/>
  <c r="I60" i="39"/>
  <c r="E96" i="39"/>
  <c r="M101" i="39"/>
  <c r="L116" i="39"/>
  <c r="P122" i="39"/>
  <c r="G46" i="39"/>
  <c r="I132" i="39"/>
  <c r="J21" i="39"/>
  <c r="N121" i="39"/>
  <c r="F38" i="39"/>
  <c r="H28" i="39"/>
  <c r="N134" i="39"/>
  <c r="N61" i="39"/>
  <c r="P138" i="39"/>
  <c r="L72" i="39"/>
  <c r="L56" i="39"/>
  <c r="N137" i="39"/>
  <c r="O49" i="39"/>
  <c r="L107" i="39"/>
  <c r="M66" i="39"/>
  <c r="H146" i="39"/>
  <c r="L93" i="39"/>
  <c r="L24" i="39"/>
  <c r="F102" i="39"/>
  <c r="K67" i="39"/>
  <c r="K90" i="39"/>
  <c r="M74" i="39"/>
  <c r="J42" i="39"/>
  <c r="H143" i="39"/>
  <c r="M71" i="39"/>
  <c r="N94" i="39"/>
  <c r="I33" i="39"/>
  <c r="O41" i="39"/>
  <c r="Q123" i="39"/>
  <c r="P115" i="39"/>
  <c r="N27" i="39"/>
  <c r="F15" i="39"/>
  <c r="K117" i="39"/>
  <c r="H139" i="39"/>
  <c r="J28" i="39"/>
  <c r="J12" i="39"/>
  <c r="F23" i="39"/>
  <c r="G52" i="39"/>
  <c r="R46" i="39"/>
  <c r="R24" i="39"/>
  <c r="H150" i="39"/>
  <c r="F151" i="39"/>
  <c r="L63" i="39"/>
  <c r="F47" i="39"/>
  <c r="M149" i="39"/>
  <c r="F18" i="39"/>
  <c r="J88" i="39"/>
  <c r="F20" i="39"/>
  <c r="H36" i="39"/>
  <c r="H13" i="39"/>
  <c r="J98" i="39"/>
  <c r="F13" i="39"/>
  <c r="K53" i="39"/>
  <c r="N13" i="39"/>
  <c r="K62" i="39"/>
  <c r="H109" i="39"/>
  <c r="I73" i="39"/>
  <c r="L34" i="39"/>
  <c r="L109" i="39"/>
  <c r="R26" i="39"/>
  <c r="M22" i="39"/>
  <c r="G74" i="39"/>
  <c r="G121" i="39"/>
  <c r="O39" i="39"/>
  <c r="H124" i="39"/>
  <c r="N91" i="39"/>
  <c r="G95" i="39"/>
  <c r="F14" i="39"/>
  <c r="M17" i="39"/>
  <c r="O52" i="39"/>
  <c r="J62" i="39"/>
  <c r="K137" i="39"/>
  <c r="G139" i="39"/>
  <c r="N37" i="39"/>
  <c r="Q92" i="39"/>
  <c r="J114" i="39"/>
  <c r="F70" i="39"/>
  <c r="P102" i="39"/>
  <c r="R65" i="39"/>
  <c r="M140" i="39"/>
  <c r="Q141" i="39"/>
  <c r="P139" i="39"/>
  <c r="L131" i="39"/>
  <c r="I15" i="39"/>
  <c r="G54" i="39"/>
  <c r="O148" i="39"/>
  <c r="F50" i="39"/>
  <c r="H49" i="39"/>
  <c r="L133" i="39"/>
  <c r="Q136" i="39"/>
  <c r="K24" i="39"/>
  <c r="O15" i="39"/>
  <c r="N12" i="39"/>
  <c r="K109" i="39"/>
  <c r="K42" i="39"/>
  <c r="J66" i="39"/>
  <c r="M52" i="39"/>
  <c r="J56" i="39"/>
  <c r="G63" i="39"/>
  <c r="F52" i="39"/>
  <c r="M128" i="39"/>
  <c r="G60" i="39"/>
  <c r="G99" i="39"/>
  <c r="J124" i="39"/>
  <c r="H145" i="39"/>
  <c r="O103" i="39"/>
  <c r="I146" i="39"/>
  <c r="H66" i="39"/>
  <c r="O121" i="39"/>
  <c r="H68" i="39"/>
  <c r="I151" i="39"/>
  <c r="H120" i="39"/>
  <c r="L103" i="39"/>
  <c r="R72" i="39"/>
  <c r="G138" i="39"/>
  <c r="N105" i="39"/>
  <c r="P131" i="39"/>
  <c r="F147" i="39"/>
  <c r="N114" i="39"/>
  <c r="G108" i="39"/>
  <c r="R32" i="39"/>
  <c r="O99" i="39"/>
  <c r="N68" i="39"/>
  <c r="E89" i="39"/>
  <c r="O98" i="39"/>
  <c r="L126" i="39"/>
  <c r="J134" i="39"/>
  <c r="G13" i="39"/>
  <c r="J48" i="39"/>
  <c r="M46" i="39"/>
  <c r="F24" i="39"/>
  <c r="H122" i="39"/>
  <c r="N140" i="39"/>
  <c r="G16" i="39"/>
  <c r="K54" i="39"/>
  <c r="L110" i="39"/>
  <c r="L91" i="39"/>
  <c r="P96" i="39"/>
  <c r="F96" i="39"/>
  <c r="N148" i="39"/>
  <c r="O22" i="39"/>
  <c r="J65" i="39"/>
  <c r="I75" i="39"/>
  <c r="G133" i="39"/>
  <c r="G107" i="39"/>
  <c r="J43" i="39"/>
  <c r="L37" i="39"/>
  <c r="M112" i="39"/>
  <c r="K11" i="39"/>
  <c r="P111" i="39"/>
  <c r="M108" i="39"/>
  <c r="N143" i="39"/>
  <c r="J149" i="39"/>
  <c r="K51" i="39"/>
  <c r="K134" i="39"/>
  <c r="K38" i="39"/>
  <c r="L139" i="39"/>
  <c r="H54" i="39"/>
  <c r="M109" i="39"/>
  <c r="J125" i="39"/>
  <c r="I89" i="39"/>
  <c r="H18" i="39"/>
  <c r="P152" i="39"/>
  <c r="M91" i="39"/>
  <c r="F30" i="39"/>
  <c r="R59" i="39"/>
  <c r="M102" i="39"/>
  <c r="Q126" i="39"/>
  <c r="Q102" i="39"/>
  <c r="N46" i="39"/>
  <c r="Q124" i="39"/>
  <c r="I68" i="39"/>
  <c r="I53" i="39"/>
  <c r="N54" i="39"/>
  <c r="L60" i="39"/>
  <c r="H111" i="39"/>
  <c r="E21" i="39"/>
  <c r="L130" i="39"/>
  <c r="Q112" i="39"/>
  <c r="F12" i="39"/>
  <c r="G142" i="39"/>
  <c r="L115" i="39"/>
  <c r="O130" i="39"/>
  <c r="I59" i="39"/>
  <c r="H144" i="39"/>
  <c r="H110" i="39"/>
  <c r="N116" i="39"/>
  <c r="M48" i="39"/>
  <c r="J52" i="39"/>
  <c r="K102" i="39"/>
  <c r="G151" i="39"/>
  <c r="I137" i="39"/>
  <c r="I45" i="39"/>
  <c r="L16" i="39"/>
  <c r="N23" i="39"/>
  <c r="K45" i="39"/>
  <c r="O48" i="39"/>
  <c r="N50" i="39"/>
  <c r="J152" i="39"/>
  <c r="M147" i="39"/>
  <c r="J139" i="39"/>
  <c r="L94" i="39"/>
  <c r="Q131" i="39"/>
  <c r="G109" i="39"/>
  <c r="N20" i="39"/>
  <c r="F126" i="39"/>
  <c r="F95" i="39"/>
  <c r="K70" i="39"/>
  <c r="I142" i="39"/>
  <c r="I128" i="39"/>
  <c r="N122" i="39"/>
  <c r="R73" i="39"/>
  <c r="Q111" i="39"/>
  <c r="J32" i="39"/>
  <c r="L20" i="39"/>
  <c r="I24" i="39"/>
  <c r="R45" i="39"/>
  <c r="I41" i="39"/>
  <c r="M63" i="39"/>
  <c r="L111" i="39"/>
  <c r="K75" i="39"/>
  <c r="H137" i="39"/>
  <c r="I107" i="39"/>
  <c r="O43" i="39"/>
  <c r="I42" i="39"/>
  <c r="O29" i="39"/>
  <c r="F92" i="39"/>
  <c r="J151" i="39"/>
  <c r="O11" i="39"/>
  <c r="J89" i="39"/>
  <c r="G45" i="39"/>
  <c r="K37" i="39"/>
  <c r="L98" i="39"/>
  <c r="F29" i="39"/>
  <c r="O14" i="39"/>
  <c r="L144" i="39"/>
  <c r="L30" i="39"/>
  <c r="N11" i="39"/>
  <c r="G140" i="39"/>
  <c r="J104" i="39"/>
  <c r="L22" i="39"/>
  <c r="F141" i="39"/>
  <c r="N96" i="39"/>
  <c r="R29" i="39"/>
  <c r="K148" i="39"/>
  <c r="F42" i="39"/>
  <c r="F57" i="39"/>
  <c r="I124" i="39"/>
  <c r="H92" i="39"/>
  <c r="L123" i="39"/>
  <c r="J130" i="39"/>
  <c r="Q121" i="39"/>
  <c r="Q89" i="39"/>
  <c r="K147" i="39"/>
  <c r="M127" i="39"/>
  <c r="N112" i="39"/>
  <c r="R74" i="39"/>
  <c r="K112" i="39"/>
  <c r="M137" i="39"/>
  <c r="L105" i="39"/>
  <c r="I71" i="39"/>
  <c r="R31" i="39"/>
  <c r="F33" i="39"/>
  <c r="F11" i="39"/>
  <c r="Q103" i="39"/>
  <c r="Q115" i="39"/>
  <c r="G38" i="39"/>
  <c r="J137" i="39"/>
  <c r="L75" i="39"/>
  <c r="I114" i="39"/>
  <c r="K99" i="39"/>
  <c r="J122" i="39"/>
  <c r="E22" i="39"/>
  <c r="M67" i="39"/>
  <c r="K66" i="39"/>
  <c r="L17" i="39"/>
  <c r="F98" i="39"/>
  <c r="J111" i="39"/>
  <c r="G34" i="39"/>
  <c r="M34" i="39"/>
  <c r="O64" i="39"/>
  <c r="R64" i="39"/>
  <c r="K19" i="39"/>
  <c r="F61" i="39"/>
  <c r="F111" i="39"/>
  <c r="K48" i="39"/>
  <c r="K32" i="39"/>
  <c r="G129" i="39"/>
  <c r="G37" i="39"/>
  <c r="R39" i="39"/>
  <c r="P141" i="39"/>
  <c r="F21" i="39"/>
  <c r="N126" i="39"/>
  <c r="M125" i="39"/>
  <c r="N22" i="39"/>
  <c r="R16" i="39"/>
  <c r="L45" i="39"/>
  <c r="F31" i="39"/>
  <c r="O131" i="39"/>
  <c r="J99" i="39"/>
  <c r="K123" i="39"/>
  <c r="P137" i="39"/>
  <c r="O140" i="39"/>
  <c r="P90" i="39"/>
  <c r="N139" i="39"/>
  <c r="M30" i="39"/>
  <c r="J92" i="39"/>
  <c r="O74" i="39"/>
  <c r="H100" i="39"/>
  <c r="R41" i="39"/>
  <c r="M103" i="39"/>
  <c r="N150" i="39"/>
  <c r="E18" i="39"/>
  <c r="O27" i="39"/>
  <c r="Q133" i="39"/>
  <c r="L57" i="39"/>
  <c r="R11" i="39"/>
  <c r="O88" i="39"/>
  <c r="M98" i="39"/>
  <c r="R30" i="39"/>
  <c r="K68" i="39"/>
  <c r="R28" i="39"/>
  <c r="P114" i="39"/>
  <c r="J53" i="39"/>
  <c r="K132" i="39"/>
  <c r="J138" i="39"/>
  <c r="M54" i="39"/>
  <c r="R35" i="39"/>
  <c r="R63" i="39"/>
  <c r="I44" i="39"/>
  <c r="O143" i="39"/>
  <c r="M122" i="39"/>
  <c r="F143" i="39"/>
  <c r="L44" i="39"/>
  <c r="M97" i="39"/>
  <c r="O33" i="39"/>
  <c r="E19" i="39"/>
  <c r="G31" i="39"/>
  <c r="G25" i="39"/>
  <c r="G33" i="39"/>
  <c r="Q150" i="39"/>
  <c r="M115" i="39"/>
  <c r="M58" i="39"/>
  <c r="F94" i="39"/>
  <c r="O17" i="39"/>
  <c r="K49" i="39"/>
  <c r="P140" i="39"/>
  <c r="O53" i="39"/>
  <c r="P143" i="39"/>
  <c r="K97" i="39"/>
  <c r="K127" i="39"/>
  <c r="Q149" i="39"/>
  <c r="F116" i="39"/>
  <c r="M13" i="39"/>
  <c r="M99" i="39"/>
  <c r="R13" i="39"/>
  <c r="N127" i="39"/>
  <c r="H62" i="39"/>
  <c r="F117" i="39"/>
  <c r="P113" i="39"/>
  <c r="K52" i="39"/>
  <c r="O128" i="39"/>
  <c r="G134" i="39"/>
  <c r="H71" i="39"/>
  <c r="M88" i="39"/>
  <c r="H24" i="39"/>
  <c r="J105" i="39"/>
  <c r="K152" i="39"/>
  <c r="F34" i="39"/>
  <c r="L14" i="39"/>
  <c r="J75" i="39"/>
  <c r="J132" i="39"/>
  <c r="M64" i="39"/>
  <c r="J101" i="39"/>
  <c r="J112" i="39"/>
  <c r="O147" i="39"/>
  <c r="J39" i="39"/>
  <c r="M68" i="39"/>
  <c r="I30" i="39"/>
  <c r="Q148" i="39"/>
  <c r="L48" i="39"/>
  <c r="E113" i="39"/>
  <c r="I133" i="39"/>
  <c r="M92" i="39"/>
  <c r="K28" i="39"/>
  <c r="J146" i="39"/>
  <c r="R33" i="39"/>
  <c r="N32" i="39"/>
  <c r="O69" i="39"/>
  <c r="N124" i="39"/>
  <c r="J144" i="39"/>
  <c r="I14" i="39"/>
  <c r="J126" i="39"/>
  <c r="L41" i="39"/>
  <c r="P124" i="39"/>
  <c r="G100" i="39"/>
  <c r="O23" i="39"/>
  <c r="H132" i="39"/>
  <c r="J55" i="39"/>
  <c r="K26" i="39"/>
  <c r="H31" i="39"/>
  <c r="L146" i="39"/>
  <c r="H113" i="39"/>
  <c r="I88" i="39"/>
  <c r="K34" i="39"/>
  <c r="O138" i="39"/>
  <c r="O51" i="39"/>
  <c r="O112" i="39"/>
  <c r="E12" i="39"/>
  <c r="G105" i="39"/>
  <c r="E99" i="39"/>
  <c r="P125" i="39"/>
  <c r="K12" i="39"/>
  <c r="K136" i="39"/>
  <c r="M14" i="39"/>
  <c r="F32" i="39"/>
  <c r="L69" i="39"/>
  <c r="M47" i="39"/>
  <c r="F124" i="39"/>
  <c r="O20" i="39"/>
  <c r="P149" i="39"/>
  <c r="F67" i="39"/>
  <c r="G104" i="39"/>
  <c r="I152" i="39"/>
  <c r="L46" i="39"/>
  <c r="J24" i="39"/>
  <c r="H43" i="39"/>
  <c r="N135" i="39"/>
  <c r="N101" i="39"/>
  <c r="F49" i="39"/>
  <c r="O110" i="39"/>
  <c r="N120" i="39"/>
  <c r="O91" i="39"/>
  <c r="H98" i="39"/>
  <c r="M15" i="39"/>
  <c r="I97" i="39"/>
  <c r="K20" i="39"/>
  <c r="Q120" i="39"/>
  <c r="O37" i="39"/>
  <c r="P134" i="39"/>
  <c r="R25" i="39"/>
  <c r="H59" i="39"/>
  <c r="F16" i="39"/>
  <c r="N98" i="39"/>
  <c r="I29" i="39"/>
  <c r="M144" i="39"/>
  <c r="E93" i="39"/>
  <c r="L95" i="39"/>
  <c r="M49" i="39"/>
  <c r="I69" i="39"/>
  <c r="K118" i="39"/>
  <c r="L124" i="39"/>
  <c r="I31" i="39"/>
  <c r="Q100" i="39"/>
  <c r="G132" i="39"/>
  <c r="H15" i="39"/>
  <c r="G103" i="39"/>
  <c r="M32" i="39"/>
  <c r="K25" i="39"/>
  <c r="H89" i="39"/>
  <c r="L65" i="39"/>
  <c r="M89" i="39"/>
  <c r="R21" i="39"/>
  <c r="O38" i="39"/>
  <c r="O139" i="39"/>
  <c r="O93" i="39"/>
  <c r="O100" i="39"/>
  <c r="J73" i="39"/>
  <c r="G114" i="39"/>
  <c r="G110" i="39"/>
  <c r="R43" i="39"/>
  <c r="M26" i="39"/>
  <c r="O66" i="39"/>
  <c r="Q128" i="39"/>
  <c r="L15" i="39"/>
  <c r="M69" i="39"/>
  <c r="L92" i="39"/>
  <c r="K100" i="39"/>
  <c r="O70" i="39"/>
  <c r="H39" i="39"/>
  <c r="L59" i="39"/>
  <c r="H138" i="39"/>
  <c r="R50" i="39"/>
  <c r="E16" i="39"/>
  <c r="L47" i="39"/>
  <c r="I147" i="39"/>
  <c r="I113" i="39"/>
  <c r="H25" i="39"/>
  <c r="K94" i="39"/>
  <c r="H22" i="39"/>
  <c r="P109" i="39"/>
  <c r="O61" i="39"/>
  <c r="Q96" i="39"/>
  <c r="M96" i="39"/>
  <c r="M136" i="39"/>
  <c r="N41" i="39"/>
  <c r="I109" i="39"/>
  <c r="K128" i="39"/>
  <c r="I34" i="39"/>
  <c r="E110" i="39"/>
  <c r="M105" i="39"/>
  <c r="H53" i="39"/>
  <c r="H104" i="39"/>
  <c r="G36" i="39"/>
  <c r="O60" i="39"/>
  <c r="N149" i="39"/>
  <c r="F27" i="39"/>
  <c r="M44" i="39"/>
  <c r="F103" i="39"/>
  <c r="L127" i="39"/>
  <c r="L151" i="39"/>
  <c r="J13" i="39"/>
  <c r="E105" i="39"/>
  <c r="K141" i="39"/>
  <c r="F142" i="39"/>
  <c r="M146" i="39"/>
  <c r="G91" i="39"/>
  <c r="J129" i="39"/>
  <c r="M60" i="39"/>
  <c r="P104" i="39"/>
  <c r="O129" i="39"/>
  <c r="O19" i="39"/>
  <c r="M23" i="39"/>
  <c r="J23" i="39"/>
  <c r="Q88" i="39"/>
  <c r="Q151" i="39"/>
  <c r="H102" i="39"/>
  <c r="K91" i="39"/>
  <c r="O105" i="39"/>
  <c r="K15" i="39"/>
  <c r="K47" i="39"/>
  <c r="I138" i="39"/>
  <c r="H126" i="39"/>
  <c r="I65" i="39"/>
  <c r="L62" i="39"/>
  <c r="N115" i="39"/>
  <c r="J14" i="39"/>
  <c r="J118" i="39"/>
  <c r="F129" i="39"/>
  <c r="H117" i="39"/>
  <c r="M113" i="39"/>
  <c r="F68" i="39"/>
  <c r="K36" i="39"/>
  <c r="I103" i="39"/>
  <c r="Q140" i="39"/>
  <c r="O44" i="39"/>
  <c r="K29" i="39"/>
  <c r="Q147" i="39"/>
  <c r="R19" i="39"/>
  <c r="Q130" i="39"/>
  <c r="R68" i="39"/>
  <c r="G26" i="39"/>
  <c r="K133" i="39"/>
  <c r="N73" i="39"/>
  <c r="J60" i="39"/>
  <c r="R49" i="39"/>
  <c r="P121" i="39"/>
  <c r="G73" i="39"/>
  <c r="K27" i="39"/>
  <c r="J95" i="39"/>
  <c r="K93" i="39"/>
  <c r="K57" i="39"/>
  <c r="N95" i="39"/>
  <c r="P146" i="39"/>
  <c r="O31" i="39"/>
  <c r="I108" i="39"/>
  <c r="L12" i="39"/>
  <c r="I129" i="39"/>
  <c r="L129" i="39"/>
  <c r="L38" i="39"/>
  <c r="L23" i="39"/>
  <c r="F35" i="39"/>
  <c r="G94" i="39"/>
  <c r="M24" i="39"/>
  <c r="R71" i="39"/>
  <c r="L71" i="39"/>
  <c r="L145" i="39"/>
  <c r="R52" i="39"/>
  <c r="G123" i="39"/>
  <c r="F107" i="39"/>
  <c r="L61" i="39"/>
  <c r="R23" i="39"/>
  <c r="K89" i="39"/>
  <c r="H133" i="39"/>
  <c r="K125" i="39"/>
  <c r="N60" i="39"/>
  <c r="K60" i="39"/>
  <c r="I139" i="39"/>
  <c r="P117" i="39"/>
  <c r="G141" i="39"/>
  <c r="M70" i="39"/>
  <c r="F137" i="39"/>
  <c r="P120" i="39"/>
  <c r="F146" i="39"/>
  <c r="M36" i="39"/>
  <c r="I49" i="39"/>
  <c r="N29" i="39"/>
  <c r="J25" i="39"/>
  <c r="R20" i="39"/>
  <c r="J38" i="39"/>
  <c r="Q137" i="39"/>
  <c r="I56" i="39"/>
  <c r="G124" i="39"/>
  <c r="R75" i="39"/>
  <c r="K69" i="39"/>
  <c r="N48" i="39"/>
  <c r="O95" i="39"/>
  <c r="J90" i="39"/>
  <c r="F118" i="39"/>
  <c r="K30" i="39"/>
  <c r="P99" i="39"/>
  <c r="M31" i="39"/>
  <c r="G146" i="39"/>
  <c r="P136" i="39"/>
  <c r="R18" i="39"/>
  <c r="N67" i="39"/>
  <c r="F46" i="39"/>
  <c r="O109" i="39"/>
  <c r="Q109" i="39"/>
  <c r="K130" i="39"/>
  <c r="I58" i="39"/>
  <c r="K96" i="39"/>
  <c r="Q107" i="39"/>
  <c r="F130" i="39"/>
  <c r="G88" i="39"/>
  <c r="Q145" i="39"/>
  <c r="N125" i="39"/>
  <c r="P108" i="39"/>
  <c r="M27" i="39"/>
  <c r="Q132" i="39"/>
  <c r="G44" i="39"/>
  <c r="E20" i="39"/>
  <c r="G55" i="39"/>
  <c r="K95" i="39"/>
  <c r="P151" i="39"/>
  <c r="I95" i="39"/>
  <c r="K17" i="39"/>
  <c r="H96" i="39"/>
  <c r="L117" i="39"/>
  <c r="L18" i="39"/>
  <c r="F144" i="39"/>
  <c r="M45" i="39"/>
  <c r="G122" i="39"/>
  <c r="P128" i="39"/>
  <c r="M18" i="39"/>
  <c r="E90" i="39"/>
  <c r="H30" i="39"/>
  <c r="M120" i="39"/>
  <c r="F109" i="39"/>
  <c r="R40" i="39"/>
  <c r="L32" i="39"/>
  <c r="M72" i="39"/>
  <c r="K72" i="39"/>
  <c r="K111" i="39"/>
  <c r="N130" i="39"/>
  <c r="I55" i="39"/>
  <c r="R44" i="39"/>
  <c r="G113" i="39"/>
  <c r="M100" i="39"/>
  <c r="R37" i="39"/>
  <c r="R66" i="39"/>
  <c r="M16" i="39"/>
  <c r="L138" i="39"/>
  <c r="Q138" i="39"/>
  <c r="M37" i="39"/>
  <c r="E88" i="39"/>
  <c r="O25" i="39"/>
  <c r="H152" i="39"/>
  <c r="L66" i="39"/>
  <c r="L97" i="39"/>
  <c r="E111" i="39"/>
  <c r="G41" i="39"/>
  <c r="M145" i="39"/>
  <c r="L112" i="39"/>
  <c r="P135" i="39"/>
  <c r="F138" i="39"/>
  <c r="H19" i="39"/>
  <c r="O94" i="39"/>
  <c r="E15" i="39"/>
  <c r="G24" i="39"/>
  <c r="F150" i="39"/>
  <c r="Q113" i="39"/>
  <c r="G39" i="39"/>
  <c r="F121" i="39"/>
  <c r="J20" i="39"/>
  <c r="L121" i="39"/>
  <c r="K143" i="39"/>
  <c r="H128" i="39"/>
  <c r="H99" i="39"/>
  <c r="G101" i="39"/>
  <c r="I121" i="39"/>
  <c r="K108" i="39"/>
  <c r="O142" i="39"/>
  <c r="K116" i="39"/>
  <c r="H47" i="39"/>
  <c r="G58" i="39"/>
  <c r="H93" i="39"/>
  <c r="I91" i="39"/>
  <c r="M51" i="39"/>
  <c r="J107" i="39"/>
  <c r="I11" i="39"/>
  <c r="F88" i="39"/>
  <c r="G117" i="39"/>
  <c r="N51" i="39"/>
  <c r="M57" i="39"/>
  <c r="O58" i="39"/>
  <c r="K61" i="39"/>
  <c r="I127" i="39"/>
  <c r="H11" i="39"/>
  <c r="M38" i="39"/>
  <c r="N33" i="39"/>
  <c r="H60" i="39"/>
  <c r="N75" i="39"/>
  <c r="N57" i="39"/>
  <c r="J74" i="39"/>
  <c r="J145" i="39"/>
  <c r="N25" i="39"/>
  <c r="I32" i="39"/>
  <c r="N100" i="39"/>
  <c r="M131" i="39"/>
  <c r="N141" i="39"/>
  <c r="Q116" i="39"/>
  <c r="I37" i="39"/>
  <c r="H88" i="39"/>
  <c r="I118" i="39"/>
  <c r="G128" i="39"/>
  <c r="N109" i="39"/>
  <c r="R12" i="39"/>
  <c r="J117" i="39"/>
  <c r="I143" i="39"/>
  <c r="O108" i="39"/>
  <c r="G120" i="39"/>
  <c r="N132" i="39"/>
  <c r="N129" i="39"/>
  <c r="N47" i="39"/>
  <c r="O50" i="39"/>
  <c r="O54" i="39"/>
  <c r="O40" i="39"/>
  <c r="L90" i="39"/>
  <c r="O97" i="39"/>
  <c r="G27" i="39"/>
  <c r="N64" i="39"/>
  <c r="Q117" i="39"/>
  <c r="M133" i="39"/>
  <c r="H29" i="39"/>
  <c r="I72" i="39"/>
  <c r="O12" i="39"/>
  <c r="O56" i="39"/>
  <c r="H108" i="39"/>
  <c r="R14" i="39"/>
  <c r="N123" i="39"/>
  <c r="F104" i="39"/>
  <c r="N15" i="39"/>
  <c r="G89" i="39"/>
  <c r="M110" i="39"/>
  <c r="M126" i="39"/>
  <c r="G69" i="39"/>
  <c r="F55" i="39"/>
  <c r="I38" i="39"/>
  <c r="J34" i="39"/>
  <c r="H75" i="39"/>
  <c r="O137" i="39"/>
  <c r="I39" i="39"/>
  <c r="G137" i="39"/>
  <c r="F115" i="39"/>
  <c r="L43" i="39"/>
  <c r="G70" i="39"/>
  <c r="L35" i="39"/>
  <c r="M117" i="39"/>
  <c r="I100" i="39"/>
  <c r="M39" i="39"/>
  <c r="Q142" i="39"/>
  <c r="I145" i="39"/>
  <c r="J128" i="39"/>
  <c r="L33" i="39"/>
  <c r="O145" i="39"/>
  <c r="Q143" i="39"/>
  <c r="H65" i="39"/>
  <c r="N93" i="39"/>
  <c r="N99" i="39"/>
  <c r="K73" i="39"/>
  <c r="F66" i="39"/>
  <c r="G72" i="39"/>
  <c r="M43" i="39"/>
  <c r="M11" i="39"/>
  <c r="O26" i="39"/>
  <c r="G131" i="39"/>
  <c r="L68" i="39"/>
  <c r="K21" i="39"/>
  <c r="P107" i="39"/>
  <c r="F120" i="39"/>
  <c r="M124" i="39"/>
  <c r="N55" i="39"/>
  <c r="N133" i="39"/>
  <c r="F89" i="39"/>
  <c r="F28" i="39"/>
  <c r="J19" i="39"/>
  <c r="F65" i="39"/>
  <c r="H97" i="39"/>
  <c r="M55" i="39"/>
  <c r="F17" i="39"/>
  <c r="I28" i="39"/>
  <c r="P142" i="39"/>
  <c r="N28" i="39"/>
  <c r="H149" i="39"/>
  <c r="H50" i="39"/>
  <c r="O47" i="39"/>
  <c r="F48" i="39"/>
  <c r="P105" i="39"/>
  <c r="M134" i="39"/>
  <c r="I19" i="39"/>
  <c r="I67" i="39"/>
  <c r="O71" i="39"/>
  <c r="M135" i="39"/>
  <c r="G64" i="39"/>
  <c r="I18" i="39"/>
  <c r="K144" i="39"/>
  <c r="I116" i="39"/>
  <c r="M129" i="39"/>
  <c r="I141" i="39"/>
  <c r="G116" i="39"/>
  <c r="O107" i="39"/>
  <c r="F91" i="39"/>
  <c r="N56" i="39"/>
  <c r="I62" i="39"/>
  <c r="F45" i="39"/>
  <c r="K40" i="39"/>
  <c r="R51" i="39"/>
  <c r="F63" i="39"/>
  <c r="O150" i="39"/>
  <c r="I120" i="39"/>
  <c r="I70" i="39"/>
  <c r="J29" i="39"/>
  <c r="F93" i="39"/>
  <c r="J37" i="39"/>
  <c r="R22" i="39"/>
  <c r="G28" i="39"/>
  <c r="G96" i="39"/>
  <c r="G97" i="39"/>
  <c r="P93" i="39"/>
  <c r="L135" i="39"/>
  <c r="J97" i="39"/>
  <c r="R58" i="39"/>
  <c r="M94" i="39"/>
  <c r="J116" i="39"/>
  <c r="H105" i="39"/>
  <c r="N138" i="39"/>
  <c r="R48" i="39"/>
  <c r="M20" i="39"/>
  <c r="I149" i="39"/>
  <c r="M50" i="39"/>
  <c r="K35" i="39"/>
  <c r="G92" i="39"/>
  <c r="J57" i="39"/>
  <c r="J46" i="39"/>
  <c r="J58" i="39"/>
  <c r="H69" i="39"/>
  <c r="J68" i="39"/>
  <c r="L128" i="39"/>
  <c r="N58" i="39"/>
  <c r="L150" i="39"/>
  <c r="G71" i="39"/>
  <c r="M121" i="39"/>
  <c r="H20" i="39"/>
  <c r="N52" i="39"/>
  <c r="I12" i="39"/>
  <c r="J136" i="39"/>
  <c r="L148" i="39"/>
  <c r="K88" i="39"/>
  <c r="K41" i="39"/>
  <c r="N14" i="39"/>
  <c r="L74" i="39"/>
  <c r="H73" i="39"/>
  <c r="J16" i="39"/>
  <c r="H103" i="39"/>
  <c r="F37" i="39"/>
  <c r="N17" i="39"/>
  <c r="Q125" i="39"/>
  <c r="I131" i="39"/>
  <c r="M118" i="39"/>
  <c r="O117" i="39"/>
  <c r="F44" i="39"/>
  <c r="I94" i="39"/>
  <c r="K101" i="39"/>
  <c r="M141" i="39"/>
  <c r="G19" i="39"/>
  <c r="I22" i="39"/>
  <c r="K44" i="39"/>
  <c r="N90" i="39"/>
  <c r="O42" i="39"/>
  <c r="G149" i="39"/>
  <c r="R34" i="39"/>
  <c r="H61" i="39"/>
  <c r="I25" i="39"/>
  <c r="I110" i="39"/>
  <c r="F73" i="39"/>
  <c r="H37" i="39"/>
  <c r="M33" i="39"/>
  <c r="F132" i="39"/>
  <c r="H56" i="39"/>
  <c r="H38" i="39"/>
  <c r="R70" i="39"/>
  <c r="J33" i="39"/>
  <c r="M25" i="39"/>
  <c r="N43" i="39"/>
  <c r="H41" i="39"/>
  <c r="O16" i="39"/>
  <c r="L21" i="39"/>
  <c r="O124" i="39"/>
  <c r="M114" i="39"/>
  <c r="O67" i="39"/>
  <c r="H58" i="39"/>
  <c r="H135" i="39"/>
  <c r="G50" i="39"/>
  <c r="F122" i="39"/>
  <c r="M42" i="39"/>
  <c r="M107" i="39"/>
  <c r="H57" i="39"/>
  <c r="H55" i="39"/>
  <c r="P97" i="39"/>
  <c r="O146" i="39"/>
  <c r="H44" i="39"/>
  <c r="K33" i="39"/>
  <c r="E95" i="39"/>
  <c r="I47" i="39"/>
  <c r="Q146" i="39"/>
  <c r="P112" i="39"/>
  <c r="K16" i="39"/>
  <c r="O28" i="39"/>
  <c r="F43" i="39"/>
  <c r="R15" i="39"/>
  <c r="N151" i="39"/>
  <c r="K59" i="39"/>
  <c r="G143" i="39"/>
  <c r="M65" i="39"/>
  <c r="O13" i="39"/>
  <c r="H34" i="39"/>
  <c r="N63" i="39"/>
  <c r="O151" i="39"/>
  <c r="F64" i="39"/>
  <c r="F140" i="39"/>
  <c r="I105" i="39"/>
  <c r="Q98" i="39"/>
  <c r="L70" i="39"/>
  <c r="G65" i="39"/>
  <c r="H148" i="39"/>
  <c r="O35" i="39"/>
  <c r="H125" i="39"/>
  <c r="L89" i="39"/>
  <c r="H12" i="39"/>
  <c r="M41" i="39"/>
  <c r="O46" i="39"/>
  <c r="I104" i="39"/>
  <c r="M143" i="39"/>
  <c r="M19" i="39"/>
  <c r="R60" i="39"/>
  <c r="N144" i="39"/>
  <c r="G29" i="39"/>
  <c r="G67" i="39"/>
  <c r="O125" i="39"/>
  <c r="F36" i="39"/>
  <c r="G61" i="39"/>
  <c r="I115" i="39"/>
  <c r="H129" i="39"/>
  <c r="H114" i="39"/>
  <c r="K39" i="39"/>
  <c r="G53" i="39"/>
  <c r="O92" i="39"/>
  <c r="H27" i="39"/>
  <c r="H121" i="39"/>
  <c r="J102" i="39"/>
  <c r="H141" i="39"/>
  <c r="K124" i="39"/>
  <c r="O59" i="39"/>
  <c r="J67" i="39"/>
  <c r="I13" i="39"/>
  <c r="F149" i="39"/>
  <c r="N71" i="39"/>
  <c r="M130" i="39"/>
  <c r="H67" i="39"/>
  <c r="J49" i="39"/>
  <c r="K142" i="39"/>
  <c r="N74" i="39"/>
  <c r="F131" i="39"/>
  <c r="O73" i="39"/>
  <c r="N107" i="39"/>
  <c r="J30" i="39"/>
  <c r="L102" i="39"/>
  <c r="J63" i="39"/>
  <c r="N118" i="39"/>
  <c r="N34" i="39"/>
  <c r="G20" i="39"/>
  <c r="G35" i="39"/>
  <c r="F74" i="39"/>
  <c r="L132" i="39"/>
  <c r="P92" i="39"/>
  <c r="L27" i="39"/>
  <c r="L141" i="39"/>
  <c r="L96" i="39"/>
  <c r="J50" i="39"/>
  <c r="O62" i="39"/>
  <c r="F58" i="39"/>
  <c r="F136" i="39"/>
  <c r="F134" i="39"/>
  <c r="J108" i="39"/>
  <c r="F101" i="39"/>
  <c r="H52" i="39"/>
  <c r="E92" i="39"/>
  <c r="I48" i="39"/>
  <c r="L53" i="39"/>
  <c r="Q97" i="39"/>
  <c r="K43" i="39"/>
  <c r="M61" i="39"/>
  <c r="J45" i="39"/>
  <c r="K98" i="39"/>
  <c r="M116" i="39"/>
  <c r="E17" i="39"/>
  <c r="M150" i="39"/>
  <c r="F148" i="39"/>
  <c r="O141" i="39"/>
  <c r="G112" i="39"/>
  <c r="N110" i="39"/>
  <c r="I52" i="39"/>
  <c r="I57" i="39"/>
  <c r="P116" i="39"/>
  <c r="N70" i="39"/>
  <c r="K22" i="39"/>
  <c r="H115" i="39"/>
  <c r="R53" i="39"/>
  <c r="F22" i="39"/>
  <c r="K107" i="39"/>
  <c r="G49" i="39"/>
  <c r="N53" i="39"/>
  <c r="P88" i="39"/>
  <c r="J11" i="39"/>
  <c r="I63" i="39"/>
  <c r="N59" i="39"/>
  <c r="H101" i="39"/>
  <c r="J18" i="39"/>
  <c r="F59" i="39"/>
  <c r="L143" i="39"/>
  <c r="O136" i="39"/>
  <c r="P133" i="39"/>
  <c r="J36" i="39"/>
  <c r="L51" i="39"/>
  <c r="H26" i="39"/>
  <c r="F114" i="39"/>
  <c r="M28" i="39"/>
  <c r="J148" i="39"/>
  <c r="G21" i="39"/>
  <c r="K140" i="39"/>
  <c r="F53" i="39"/>
  <c r="N26" i="39"/>
  <c r="O114" i="39"/>
  <c r="P95" i="39"/>
  <c r="K105" i="39"/>
  <c r="Q135" i="39"/>
  <c r="E13" i="39"/>
  <c r="I101" i="39"/>
  <c r="H147" i="39"/>
  <c r="J115" i="39"/>
  <c r="L140" i="39"/>
  <c r="L88" i="39"/>
  <c r="G18" i="39"/>
  <c r="J59" i="39"/>
  <c r="AL18" i="39" l="1"/>
  <c r="AH18" i="39"/>
  <c r="G22" i="81"/>
  <c r="AJ18" i="39"/>
  <c r="AI18" i="39"/>
  <c r="AM18" i="39"/>
  <c r="U13" i="39"/>
  <c r="J17" i="81" s="1"/>
  <c r="T13" i="39"/>
  <c r="X17" i="81" s="1"/>
  <c r="F57" i="81"/>
  <c r="T140" i="39"/>
  <c r="W67" i="116" s="1"/>
  <c r="AH21" i="39"/>
  <c r="AM21" i="39"/>
  <c r="G25" i="81"/>
  <c r="AI21" i="39"/>
  <c r="AJ21" i="39"/>
  <c r="AL21" i="39"/>
  <c r="I32" i="81"/>
  <c r="W28" i="39"/>
  <c r="F41" i="116"/>
  <c r="U136" i="39"/>
  <c r="F63" i="81"/>
  <c r="AM49" i="39"/>
  <c r="AL49" i="39"/>
  <c r="AJ49" i="39"/>
  <c r="AH49" i="39"/>
  <c r="AK49" i="39"/>
  <c r="G53" i="81"/>
  <c r="F26" i="81"/>
  <c r="S53" i="39"/>
  <c r="H57" i="81" s="1"/>
  <c r="AL112" i="39"/>
  <c r="AK112" i="39"/>
  <c r="G39" i="116"/>
  <c r="AH112" i="39"/>
  <c r="AJ112" i="39"/>
  <c r="AM112" i="39"/>
  <c r="U141" i="39"/>
  <c r="F75" i="116"/>
  <c r="H77" i="116"/>
  <c r="W150" i="39"/>
  <c r="T17" i="39"/>
  <c r="X21" i="81" s="1"/>
  <c r="U17" i="39"/>
  <c r="J21" i="81" s="1"/>
  <c r="H43" i="116"/>
  <c r="W116" i="39"/>
  <c r="W61" i="39"/>
  <c r="I65" i="81"/>
  <c r="T43" i="39"/>
  <c r="X47" i="81" s="1"/>
  <c r="T92" i="39"/>
  <c r="W19" i="116" s="1"/>
  <c r="U92" i="39"/>
  <c r="I19" i="116" s="1"/>
  <c r="F28" i="116"/>
  <c r="F61" i="116"/>
  <c r="F63" i="116"/>
  <c r="F62" i="81"/>
  <c r="U62" i="39"/>
  <c r="F78" i="81"/>
  <c r="AM35" i="39"/>
  <c r="G39" i="81"/>
  <c r="AL35" i="39"/>
  <c r="AK35" i="39"/>
  <c r="AJ35" i="39"/>
  <c r="AH35" i="39"/>
  <c r="AH20" i="39"/>
  <c r="AL20" i="39"/>
  <c r="AJ20" i="39"/>
  <c r="AM20" i="39"/>
  <c r="AK20" i="39"/>
  <c r="G24" i="81"/>
  <c r="U73" i="39"/>
  <c r="J77" i="81" s="1"/>
  <c r="F58" i="116"/>
  <c r="T142" i="39"/>
  <c r="W69" i="116" s="1"/>
  <c r="H57" i="116"/>
  <c r="W130" i="39"/>
  <c r="F76" i="116"/>
  <c r="U59" i="39"/>
  <c r="J63" i="81" s="1"/>
  <c r="T124" i="39"/>
  <c r="W51" i="116" s="1"/>
  <c r="AH53" i="39"/>
  <c r="AM53" i="39"/>
  <c r="AJ53" i="39"/>
  <c r="G57" i="81"/>
  <c r="AL53" i="39"/>
  <c r="AK53" i="39"/>
  <c r="T39" i="39"/>
  <c r="X43" i="81" s="1"/>
  <c r="G65" i="81"/>
  <c r="AK61" i="39"/>
  <c r="AH61" i="39"/>
  <c r="AL61" i="39"/>
  <c r="AJ61" i="39"/>
  <c r="AM61" i="39"/>
  <c r="F40" i="81"/>
  <c r="U125" i="39"/>
  <c r="AH67" i="39"/>
  <c r="AK67" i="39"/>
  <c r="AJ67" i="39"/>
  <c r="AL67" i="39"/>
  <c r="AM67" i="39"/>
  <c r="G71" i="81"/>
  <c r="AK29" i="39"/>
  <c r="AL29" i="39"/>
  <c r="AJ29" i="39"/>
  <c r="G33" i="81"/>
  <c r="AH29" i="39"/>
  <c r="AM29" i="39"/>
  <c r="S60" i="39"/>
  <c r="I23" i="81"/>
  <c r="W19" i="39"/>
  <c r="X19" i="39" s="1"/>
  <c r="Z19" i="39" s="1"/>
  <c r="H70" i="116"/>
  <c r="W143" i="39"/>
  <c r="U46" i="39"/>
  <c r="I45" i="81"/>
  <c r="W41" i="39"/>
  <c r="U35" i="39"/>
  <c r="AJ65" i="39"/>
  <c r="AH65" i="39"/>
  <c r="AL65" i="39"/>
  <c r="AI65" i="39"/>
  <c r="AM65" i="39"/>
  <c r="G69" i="81"/>
  <c r="F67" i="116"/>
  <c r="F68" i="81"/>
  <c r="T151" i="39"/>
  <c r="W78" i="116" s="1"/>
  <c r="I69" i="81"/>
  <c r="W65" i="39"/>
  <c r="AL143" i="39"/>
  <c r="AH143" i="39"/>
  <c r="G70" i="116"/>
  <c r="AJ143" i="39"/>
  <c r="AI143" i="39"/>
  <c r="AM143" i="39"/>
  <c r="T59" i="39"/>
  <c r="X63" i="81" s="1"/>
  <c r="S15" i="39"/>
  <c r="F47" i="81"/>
  <c r="U28" i="39"/>
  <c r="U95" i="39"/>
  <c r="I22" i="116" s="1"/>
  <c r="T95" i="39"/>
  <c r="W22" i="116" s="1"/>
  <c r="T33" i="39"/>
  <c r="X37" i="81" s="1"/>
  <c r="T146" i="39"/>
  <c r="W73" i="116" s="1"/>
  <c r="H34" i="116"/>
  <c r="W107" i="39"/>
  <c r="X107" i="39" s="1"/>
  <c r="Y107" i="39" s="1"/>
  <c r="W42" i="39"/>
  <c r="I46" i="81"/>
  <c r="F49" i="116"/>
  <c r="AJ50" i="39"/>
  <c r="AM50" i="39"/>
  <c r="AH50" i="39"/>
  <c r="AI50" i="39"/>
  <c r="AL50" i="39"/>
  <c r="G54" i="81"/>
  <c r="U67" i="39"/>
  <c r="W114" i="39"/>
  <c r="X114" i="39" s="1"/>
  <c r="Y114" i="39" s="1"/>
  <c r="H41" i="116"/>
  <c r="U124" i="39"/>
  <c r="I29" i="81"/>
  <c r="W25" i="39"/>
  <c r="S70" i="39"/>
  <c r="F59" i="116"/>
  <c r="W33" i="39"/>
  <c r="I37" i="81"/>
  <c r="F77" i="81"/>
  <c r="S34" i="39"/>
  <c r="AL149" i="39"/>
  <c r="AI149" i="39"/>
  <c r="AH149" i="39"/>
  <c r="G76" i="116"/>
  <c r="AK149" i="39"/>
  <c r="AM149" i="39"/>
  <c r="U42" i="39"/>
  <c r="T44" i="39"/>
  <c r="X48" i="81" s="1"/>
  <c r="AJ19" i="39"/>
  <c r="AL19" i="39"/>
  <c r="G23" i="81"/>
  <c r="AK19" i="39"/>
  <c r="AM19" i="39"/>
  <c r="AH19" i="39"/>
  <c r="H68" i="116"/>
  <c r="W141" i="39"/>
  <c r="T101" i="39"/>
  <c r="W28" i="116" s="1"/>
  <c r="F48" i="81"/>
  <c r="U117" i="39"/>
  <c r="W118" i="39"/>
  <c r="H45" i="116"/>
  <c r="F41" i="81"/>
  <c r="T41" i="39"/>
  <c r="X45" i="81" s="1"/>
  <c r="W121" i="39"/>
  <c r="H48" i="116"/>
  <c r="AK71" i="39"/>
  <c r="G75" i="81"/>
  <c r="AL71" i="39"/>
  <c r="AJ71" i="39"/>
  <c r="AM71" i="39"/>
  <c r="AH71" i="39"/>
  <c r="AJ92" i="39"/>
  <c r="AM92" i="39"/>
  <c r="AH92" i="39"/>
  <c r="AL92" i="39"/>
  <c r="G19" i="116"/>
  <c r="AI92" i="39"/>
  <c r="T35" i="39"/>
  <c r="X39" i="81" s="1"/>
  <c r="W50" i="39"/>
  <c r="I54" i="81"/>
  <c r="I24" i="81"/>
  <c r="W20" i="39"/>
  <c r="X20" i="39" s="1"/>
  <c r="Y20" i="39" s="1"/>
  <c r="S48" i="39"/>
  <c r="H21" i="116"/>
  <c r="W94" i="39"/>
  <c r="X94" i="39" s="1"/>
  <c r="Z94" i="39" s="1"/>
  <c r="S58" i="39"/>
  <c r="H62" i="81" s="1"/>
  <c r="AM97" i="39"/>
  <c r="AJ97" i="39"/>
  <c r="AL97" i="39"/>
  <c r="AK97" i="39"/>
  <c r="AH97" i="39"/>
  <c r="G24" i="116"/>
  <c r="AL96" i="39"/>
  <c r="AH96" i="39"/>
  <c r="AJ96" i="39"/>
  <c r="G23" i="116"/>
  <c r="AK96" i="39"/>
  <c r="AM96" i="39"/>
  <c r="AJ28" i="39"/>
  <c r="AL28" i="39"/>
  <c r="AM28" i="39"/>
  <c r="AI28" i="39"/>
  <c r="G32" i="81"/>
  <c r="AH28" i="39"/>
  <c r="S22" i="39"/>
  <c r="F20" i="116"/>
  <c r="U150" i="39"/>
  <c r="F67" i="81"/>
  <c r="S51" i="39"/>
  <c r="T40" i="39"/>
  <c r="X44" i="81" s="1"/>
  <c r="F49" i="81"/>
  <c r="F18" i="116"/>
  <c r="AL116" i="39"/>
  <c r="AJ116" i="39"/>
  <c r="G43" i="116"/>
  <c r="AH116" i="39"/>
  <c r="AM116" i="39"/>
  <c r="AK116" i="39"/>
  <c r="H56" i="116"/>
  <c r="W129" i="39"/>
  <c r="T144" i="39"/>
  <c r="W71" i="116" s="1"/>
  <c r="AM64" i="39"/>
  <c r="AL64" i="39"/>
  <c r="AJ64" i="39"/>
  <c r="AI64" i="39"/>
  <c r="G68" i="81"/>
  <c r="AH64" i="39"/>
  <c r="H62" i="116"/>
  <c r="W135" i="39"/>
  <c r="T71" i="39"/>
  <c r="X75" i="81" s="1"/>
  <c r="H61" i="116"/>
  <c r="W134" i="39"/>
  <c r="F52" i="81"/>
  <c r="U47" i="39"/>
  <c r="F21" i="81"/>
  <c r="W55" i="39"/>
  <c r="I59" i="81"/>
  <c r="F69" i="81"/>
  <c r="F32" i="81"/>
  <c r="F16" i="116"/>
  <c r="W124" i="39"/>
  <c r="H51" i="116"/>
  <c r="F47" i="116"/>
  <c r="AH131" i="39"/>
  <c r="AI131" i="39"/>
  <c r="AK131" i="39"/>
  <c r="G58" i="116"/>
  <c r="AM131" i="39"/>
  <c r="AL131" i="39"/>
  <c r="U26" i="39"/>
  <c r="I15" i="81"/>
  <c r="W11" i="39"/>
  <c r="X11" i="39" s="1"/>
  <c r="Z11" i="39" s="1"/>
  <c r="I47" i="81"/>
  <c r="W43" i="39"/>
  <c r="G76" i="81"/>
  <c r="AJ72" i="39"/>
  <c r="AL72" i="39"/>
  <c r="AH72" i="39"/>
  <c r="AI72" i="39"/>
  <c r="AM72" i="39"/>
  <c r="F70" i="81"/>
  <c r="T73" i="39"/>
  <c r="X77" i="81" s="1"/>
  <c r="U145" i="39"/>
  <c r="I43" i="81"/>
  <c r="W39" i="39"/>
  <c r="H44" i="116"/>
  <c r="W117" i="39"/>
  <c r="AK70" i="39"/>
  <c r="AJ70" i="39"/>
  <c r="AM70" i="39"/>
  <c r="AL70" i="39"/>
  <c r="AH70" i="39"/>
  <c r="G74" i="81"/>
  <c r="F42" i="116"/>
  <c r="AK137" i="39"/>
  <c r="AM137" i="39"/>
  <c r="AI137" i="39"/>
  <c r="AL137" i="39"/>
  <c r="G64" i="116"/>
  <c r="AH137" i="39"/>
  <c r="U137" i="39"/>
  <c r="I64" i="116" s="1"/>
  <c r="F59" i="81"/>
  <c r="AH69" i="39"/>
  <c r="AK69" i="39"/>
  <c r="AJ69" i="39"/>
  <c r="AI69" i="39"/>
  <c r="AL69" i="39"/>
  <c r="G73" i="81"/>
  <c r="H53" i="116"/>
  <c r="W126" i="39"/>
  <c r="H37" i="116"/>
  <c r="W110" i="39"/>
  <c r="X110" i="39" s="1"/>
  <c r="Y110" i="39" s="1"/>
  <c r="AK89" i="39"/>
  <c r="AI89" i="39"/>
  <c r="AH89" i="39"/>
  <c r="AL89" i="39"/>
  <c r="G16" i="116"/>
  <c r="AJ89" i="39"/>
  <c r="F31" i="116"/>
  <c r="S14" i="39"/>
  <c r="U56" i="39"/>
  <c r="J60" i="81" s="1"/>
  <c r="H60" i="116"/>
  <c r="W133" i="39"/>
  <c r="AJ27" i="39"/>
  <c r="AI27" i="39"/>
  <c r="AH27" i="39"/>
  <c r="AL27" i="39"/>
  <c r="G31" i="81"/>
  <c r="AM27" i="39"/>
  <c r="U40" i="39"/>
  <c r="T54" i="39"/>
  <c r="X58" i="81" s="1"/>
  <c r="U50" i="39"/>
  <c r="AI120" i="39"/>
  <c r="AH120" i="39"/>
  <c r="AM120" i="39"/>
  <c r="G47" i="116"/>
  <c r="AK120" i="39"/>
  <c r="AL120" i="39"/>
  <c r="S12" i="39"/>
  <c r="AL128" i="39"/>
  <c r="AK128" i="39"/>
  <c r="G55" i="116"/>
  <c r="AH128" i="39"/>
  <c r="AI128" i="39"/>
  <c r="AM128" i="39"/>
  <c r="H58" i="116"/>
  <c r="W131" i="39"/>
  <c r="I42" i="81"/>
  <c r="W38" i="39"/>
  <c r="T61" i="39"/>
  <c r="X65" i="81" s="1"/>
  <c r="U58" i="39"/>
  <c r="I61" i="81"/>
  <c r="W57" i="39"/>
  <c r="AM117" i="39"/>
  <c r="AJ117" i="39"/>
  <c r="AL117" i="39"/>
  <c r="AK117" i="39"/>
  <c r="G44" i="116"/>
  <c r="AH117" i="39"/>
  <c r="F15" i="116"/>
  <c r="W51" i="39"/>
  <c r="I55" i="81"/>
  <c r="AJ58" i="39"/>
  <c r="AH58" i="39"/>
  <c r="AK58" i="39"/>
  <c r="AM58" i="39"/>
  <c r="AL58" i="39"/>
  <c r="G62" i="81"/>
  <c r="T116" i="39"/>
  <c r="W43" i="116" s="1"/>
  <c r="U142" i="39"/>
  <c r="I69" i="116" s="1"/>
  <c r="AL101" i="39"/>
  <c r="AI101" i="39"/>
  <c r="G28" i="116"/>
  <c r="AK101" i="39"/>
  <c r="AH101" i="39"/>
  <c r="AM101" i="39"/>
  <c r="U143" i="39"/>
  <c r="I70" i="116" s="1"/>
  <c r="F48" i="116"/>
  <c r="AJ39" i="39"/>
  <c r="AH39" i="39"/>
  <c r="AI39" i="39"/>
  <c r="G43" i="81"/>
  <c r="AL39" i="39"/>
  <c r="AM39" i="39"/>
  <c r="F77" i="116"/>
  <c r="AJ24" i="39"/>
  <c r="G28" i="81"/>
  <c r="AL24" i="39"/>
  <c r="AI24" i="39"/>
  <c r="AM24" i="39"/>
  <c r="AH24" i="39"/>
  <c r="U15" i="39"/>
  <c r="J19" i="81" s="1"/>
  <c r="T15" i="39"/>
  <c r="X19" i="81" s="1"/>
  <c r="F65" i="116"/>
  <c r="H72" i="116"/>
  <c r="W145" i="39"/>
  <c r="AK41" i="39"/>
  <c r="AL41" i="39"/>
  <c r="AM41" i="39"/>
  <c r="AJ41" i="39"/>
  <c r="AH41" i="39"/>
  <c r="G45" i="81"/>
  <c r="T111" i="39"/>
  <c r="W38" i="116" s="1"/>
  <c r="U111" i="39"/>
  <c r="I38" i="116" s="1"/>
  <c r="U25" i="39"/>
  <c r="J29" i="81" s="1"/>
  <c r="U88" i="39"/>
  <c r="I15" i="116" s="1"/>
  <c r="T88" i="39"/>
  <c r="W15" i="116" s="1"/>
  <c r="I41" i="81"/>
  <c r="W37" i="39"/>
  <c r="W16" i="39"/>
  <c r="X16" i="39" s="1"/>
  <c r="Z16" i="39" s="1"/>
  <c r="I20" i="81"/>
  <c r="S66" i="39"/>
  <c r="H70" i="81" s="1"/>
  <c r="S37" i="39"/>
  <c r="W100" i="39"/>
  <c r="H27" i="116"/>
  <c r="G40" i="116"/>
  <c r="AJ113" i="39"/>
  <c r="AH113" i="39"/>
  <c r="AK113" i="39"/>
  <c r="AM113" i="39"/>
  <c r="AL113" i="39"/>
  <c r="S44" i="39"/>
  <c r="T72" i="39"/>
  <c r="X76" i="81" s="1"/>
  <c r="I76" i="81"/>
  <c r="W72" i="39"/>
  <c r="S40" i="39"/>
  <c r="F36" i="116"/>
  <c r="H47" i="116"/>
  <c r="W120" i="39"/>
  <c r="U90" i="39"/>
  <c r="I17" i="116" s="1"/>
  <c r="T90" i="39"/>
  <c r="W17" i="116" s="1"/>
  <c r="W18" i="39"/>
  <c r="X18" i="39" s="1"/>
  <c r="Z18" i="39" s="1"/>
  <c r="I22" i="81"/>
  <c r="AJ122" i="39"/>
  <c r="AK122" i="39"/>
  <c r="AH122" i="39"/>
  <c r="G49" i="116"/>
  <c r="AM122" i="39"/>
  <c r="AL122" i="39"/>
  <c r="I49" i="81"/>
  <c r="W45" i="39"/>
  <c r="F71" i="116"/>
  <c r="AL55" i="39"/>
  <c r="AI55" i="39"/>
  <c r="AH55" i="39"/>
  <c r="G59" i="81"/>
  <c r="AJ55" i="39"/>
  <c r="AM55" i="39"/>
  <c r="T20" i="39"/>
  <c r="X24" i="81" s="1"/>
  <c r="U20" i="39"/>
  <c r="J24" i="81" s="1"/>
  <c r="AH44" i="39"/>
  <c r="AK44" i="39"/>
  <c r="G48" i="81"/>
  <c r="AM44" i="39"/>
  <c r="AL44" i="39"/>
  <c r="AJ44" i="39"/>
  <c r="W27" i="39"/>
  <c r="I31" i="81"/>
  <c r="AL88" i="39"/>
  <c r="G15" i="116"/>
  <c r="AI88" i="39"/>
  <c r="AK88" i="39"/>
  <c r="AJ88" i="39"/>
  <c r="AH88" i="39"/>
  <c r="F57" i="116"/>
  <c r="T130" i="39"/>
  <c r="W57" i="116" s="1"/>
  <c r="F50" i="81"/>
  <c r="S18" i="39"/>
  <c r="AL146" i="39"/>
  <c r="AK146" i="39"/>
  <c r="AJ146" i="39"/>
  <c r="G73" i="116"/>
  <c r="AH146" i="39"/>
  <c r="AM146" i="39"/>
  <c r="I35" i="81"/>
  <c r="W31" i="39"/>
  <c r="T30" i="39"/>
  <c r="X34" i="81" s="1"/>
  <c r="F45" i="116"/>
  <c r="U69" i="39"/>
  <c r="J73" i="81" s="1"/>
  <c r="S75" i="39"/>
  <c r="AL124" i="39"/>
  <c r="AM124" i="39"/>
  <c r="AK124" i="39"/>
  <c r="AJ124" i="39"/>
  <c r="AH124" i="39"/>
  <c r="G51" i="116"/>
  <c r="S20" i="39"/>
  <c r="W36" i="39"/>
  <c r="I40" i="81"/>
  <c r="F73" i="116"/>
  <c r="F64" i="116"/>
  <c r="I74" i="81"/>
  <c r="W70" i="39"/>
  <c r="AH141" i="39"/>
  <c r="AK141" i="39"/>
  <c r="AJ141" i="39"/>
  <c r="AM141" i="39"/>
  <c r="G68" i="116"/>
  <c r="AL141" i="39"/>
  <c r="T60" i="39"/>
  <c r="X64" i="81" s="1"/>
  <c r="T125" i="39"/>
  <c r="W52" i="116" s="1"/>
  <c r="S23" i="39"/>
  <c r="F34" i="116"/>
  <c r="AM123" i="39"/>
  <c r="AL123" i="39"/>
  <c r="AI123" i="39"/>
  <c r="G50" i="116"/>
  <c r="AK123" i="39"/>
  <c r="AH123" i="39"/>
  <c r="S52" i="39"/>
  <c r="S71" i="39"/>
  <c r="H75" i="81" s="1"/>
  <c r="W24" i="39"/>
  <c r="I28" i="81"/>
  <c r="AJ94" i="39"/>
  <c r="G21" i="116"/>
  <c r="AH94" i="39"/>
  <c r="AL94" i="39"/>
  <c r="AK94" i="39"/>
  <c r="AI94" i="39"/>
  <c r="F39" i="81"/>
  <c r="U31" i="39"/>
  <c r="T57" i="39"/>
  <c r="X61" i="81" s="1"/>
  <c r="T27" i="39"/>
  <c r="X31" i="81" s="1"/>
  <c r="AL73" i="39"/>
  <c r="AK73" i="39"/>
  <c r="G77" i="81"/>
  <c r="AM73" i="39"/>
  <c r="AI73" i="39"/>
  <c r="AH73" i="39"/>
  <c r="S49" i="39"/>
  <c r="T133" i="39"/>
  <c r="W60" i="116" s="1"/>
  <c r="AJ26" i="39"/>
  <c r="AL26" i="39"/>
  <c r="AH26" i="39"/>
  <c r="AK26" i="39"/>
  <c r="G30" i="81"/>
  <c r="AM26" i="39"/>
  <c r="S68" i="39"/>
  <c r="S19" i="39"/>
  <c r="T29" i="39"/>
  <c r="X33" i="81" s="1"/>
  <c r="U44" i="39"/>
  <c r="J48" i="81" s="1"/>
  <c r="T36" i="39"/>
  <c r="X40" i="81" s="1"/>
  <c r="F72" i="81"/>
  <c r="W113" i="39"/>
  <c r="X113" i="39" s="1"/>
  <c r="Y113" i="39" s="1"/>
  <c r="H40" i="116"/>
  <c r="F56" i="116"/>
  <c r="T47" i="39"/>
  <c r="X51" i="81" s="1"/>
  <c r="I27" i="81"/>
  <c r="W23" i="39"/>
  <c r="U129" i="39"/>
  <c r="I56" i="116" s="1"/>
  <c r="I64" i="81"/>
  <c r="W60" i="39"/>
  <c r="AL91" i="39"/>
  <c r="AK91" i="39"/>
  <c r="AH91" i="39"/>
  <c r="G18" i="116"/>
  <c r="AJ91" i="39"/>
  <c r="AI91" i="39"/>
  <c r="H73" i="116"/>
  <c r="W146" i="39"/>
  <c r="F69" i="116"/>
  <c r="T141" i="39"/>
  <c r="W68" i="116" s="1"/>
  <c r="T105" i="39"/>
  <c r="W32" i="116" s="1"/>
  <c r="U105" i="39"/>
  <c r="I32" i="116" s="1"/>
  <c r="F30" i="116"/>
  <c r="I48" i="81"/>
  <c r="W44" i="39"/>
  <c r="F31" i="81"/>
  <c r="U60" i="39"/>
  <c r="AH36" i="39"/>
  <c r="AJ36" i="39"/>
  <c r="AK36" i="39"/>
  <c r="AL36" i="39"/>
  <c r="AM36" i="39"/>
  <c r="G40" i="81"/>
  <c r="W105" i="39"/>
  <c r="X105" i="39" s="1"/>
  <c r="Y105" i="39" s="1"/>
  <c r="H32" i="116"/>
  <c r="U110" i="39"/>
  <c r="I37" i="116" s="1"/>
  <c r="T110" i="39"/>
  <c r="W37" i="116" s="1"/>
  <c r="Z110" i="39"/>
  <c r="AD110" i="39" s="1"/>
  <c r="AE110" i="39"/>
  <c r="T128" i="39"/>
  <c r="W55" i="116" s="1"/>
  <c r="W136" i="39"/>
  <c r="H63" i="116"/>
  <c r="W96" i="39"/>
  <c r="X96" i="39" s="1"/>
  <c r="Z96" i="39" s="1"/>
  <c r="H23" i="116"/>
  <c r="U61" i="39"/>
  <c r="U16" i="39"/>
  <c r="J20" i="81" s="1"/>
  <c r="T16" i="39"/>
  <c r="X20" i="81" s="1"/>
  <c r="S50" i="39"/>
  <c r="H54" i="81" s="1"/>
  <c r="U70" i="39"/>
  <c r="T100" i="39"/>
  <c r="W27" i="116" s="1"/>
  <c r="I73" i="81"/>
  <c r="W69" i="39"/>
  <c r="T66" i="39"/>
  <c r="X70" i="81" s="1"/>
  <c r="W26" i="39"/>
  <c r="I30" i="81"/>
  <c r="S43" i="39"/>
  <c r="AH110" i="39"/>
  <c r="AK110" i="39"/>
  <c r="AL110" i="39"/>
  <c r="G37" i="116"/>
  <c r="AM110" i="39"/>
  <c r="AJ110" i="39"/>
  <c r="AI110" i="39"/>
  <c r="AK114" i="39"/>
  <c r="G41" i="116"/>
  <c r="AH114" i="39"/>
  <c r="AM114" i="39"/>
  <c r="AL114" i="39"/>
  <c r="AJ114" i="39"/>
  <c r="U100" i="39"/>
  <c r="U139" i="39"/>
  <c r="I66" i="116" s="1"/>
  <c r="U38" i="39"/>
  <c r="J42" i="81" s="1"/>
  <c r="S21" i="39"/>
  <c r="W89" i="39"/>
  <c r="X89" i="39" s="1"/>
  <c r="Z89" i="39" s="1"/>
  <c r="H16" i="116"/>
  <c r="T25" i="39"/>
  <c r="X29" i="81" s="1"/>
  <c r="W32" i="39"/>
  <c r="I36" i="81"/>
  <c r="AM103" i="39"/>
  <c r="AL103" i="39"/>
  <c r="AJ103" i="39"/>
  <c r="AK103" i="39"/>
  <c r="G30" i="116"/>
  <c r="AH103" i="39"/>
  <c r="AH132" i="39"/>
  <c r="AK132" i="39"/>
  <c r="AM132" i="39"/>
  <c r="G59" i="116"/>
  <c r="AJ132" i="39"/>
  <c r="AL132" i="39"/>
  <c r="T118" i="39"/>
  <c r="W45" i="116" s="1"/>
  <c r="W49" i="39"/>
  <c r="I53" i="81"/>
  <c r="U93" i="39"/>
  <c r="I20" i="116" s="1"/>
  <c r="T93" i="39"/>
  <c r="W20" i="116" s="1"/>
  <c r="H71" i="116"/>
  <c r="W144" i="39"/>
  <c r="F20" i="81"/>
  <c r="S25" i="39"/>
  <c r="U37" i="39"/>
  <c r="I19" i="81"/>
  <c r="W15" i="39"/>
  <c r="X15" i="39" s="1"/>
  <c r="Y15" i="39" s="1"/>
  <c r="F53" i="81"/>
  <c r="AM104" i="39"/>
  <c r="AI104" i="39"/>
  <c r="AL104" i="39"/>
  <c r="AH104" i="39"/>
  <c r="G31" i="116"/>
  <c r="AK104" i="39"/>
  <c r="F71" i="81"/>
  <c r="F51" i="116"/>
  <c r="W47" i="39"/>
  <c r="I51" i="81"/>
  <c r="F36" i="81"/>
  <c r="I18" i="81"/>
  <c r="W14" i="39"/>
  <c r="X14" i="39" s="1"/>
  <c r="Z14" i="39" s="1"/>
  <c r="T136" i="39"/>
  <c r="W63" i="116" s="1"/>
  <c r="U99" i="39"/>
  <c r="I26" i="116" s="1"/>
  <c r="T99" i="39"/>
  <c r="W26" i="116" s="1"/>
  <c r="AH105" i="39"/>
  <c r="AM105" i="39"/>
  <c r="AK105" i="39"/>
  <c r="AJ105" i="39"/>
  <c r="G32" i="116"/>
  <c r="AL105" i="39"/>
  <c r="U12" i="39"/>
  <c r="J16" i="81" s="1"/>
  <c r="T12" i="39"/>
  <c r="X16" i="81" s="1"/>
  <c r="U51" i="39"/>
  <c r="J55" i="81" s="1"/>
  <c r="U138" i="39"/>
  <c r="T34" i="39"/>
  <c r="X38" i="81" s="1"/>
  <c r="T26" i="39"/>
  <c r="X30" i="81" s="1"/>
  <c r="U23" i="39"/>
  <c r="AH100" i="39"/>
  <c r="AM100" i="39"/>
  <c r="AI100" i="39"/>
  <c r="AK100" i="39"/>
  <c r="AL100" i="39"/>
  <c r="G27" i="116"/>
  <c r="T69" i="39"/>
  <c r="X73" i="81" s="1"/>
  <c r="S33" i="39"/>
  <c r="T28" i="39"/>
  <c r="X32" i="81" s="1"/>
  <c r="H19" i="116"/>
  <c r="W92" i="39"/>
  <c r="X92" i="39" s="1"/>
  <c r="Y92" i="39" s="1"/>
  <c r="T113" i="39"/>
  <c r="W40" i="116" s="1"/>
  <c r="U113" i="39"/>
  <c r="I40" i="116" s="1"/>
  <c r="W68" i="39"/>
  <c r="I72" i="81"/>
  <c r="U147" i="39"/>
  <c r="I68" i="81"/>
  <c r="W64" i="39"/>
  <c r="F38" i="81"/>
  <c r="T152" i="39"/>
  <c r="W79" i="116" s="1"/>
  <c r="H15" i="116"/>
  <c r="W88" i="39"/>
  <c r="X88" i="39" s="1"/>
  <c r="Z88" i="39" s="1"/>
  <c r="AL134" i="39"/>
  <c r="G61" i="116"/>
  <c r="AH134" i="39"/>
  <c r="AK134" i="39"/>
  <c r="AJ134" i="39"/>
  <c r="AM134" i="39"/>
  <c r="U128" i="39"/>
  <c r="T52" i="39"/>
  <c r="X56" i="81" s="1"/>
  <c r="F44" i="116"/>
  <c r="S13" i="39"/>
  <c r="H26" i="116"/>
  <c r="W99" i="39"/>
  <c r="X99" i="39" s="1"/>
  <c r="Y99" i="39" s="1"/>
  <c r="I17" i="81"/>
  <c r="W13" i="39"/>
  <c r="X13" i="39" s="1"/>
  <c r="Z13" i="39" s="1"/>
  <c r="F43" i="116"/>
  <c r="T127" i="39"/>
  <c r="W54" i="116" s="1"/>
  <c r="U53" i="39"/>
  <c r="T49" i="39"/>
  <c r="X53" i="81" s="1"/>
  <c r="F21" i="116"/>
  <c r="W58" i="39"/>
  <c r="I62" i="81"/>
  <c r="H42" i="116"/>
  <c r="W115" i="39"/>
  <c r="AM33" i="39"/>
  <c r="AI33" i="39"/>
  <c r="G37" i="81"/>
  <c r="AJ33" i="39"/>
  <c r="AL33" i="39"/>
  <c r="AH33" i="39"/>
  <c r="AL25" i="39"/>
  <c r="AH25" i="39"/>
  <c r="AM25" i="39"/>
  <c r="AJ25" i="39"/>
  <c r="G29" i="81"/>
  <c r="AI25" i="39"/>
  <c r="AJ31" i="39"/>
  <c r="AL31" i="39"/>
  <c r="AH31" i="39"/>
  <c r="AM31" i="39"/>
  <c r="G35" i="81"/>
  <c r="AK31" i="39"/>
  <c r="T19" i="39"/>
  <c r="X23" i="81" s="1"/>
  <c r="U19" i="39"/>
  <c r="J23" i="81" s="1"/>
  <c r="U33" i="39"/>
  <c r="J37" i="81" s="1"/>
  <c r="W97" i="39"/>
  <c r="X97" i="39" s="1"/>
  <c r="Y97" i="39" s="1"/>
  <c r="H24" i="116"/>
  <c r="F70" i="116"/>
  <c r="W122" i="39"/>
  <c r="H49" i="116"/>
  <c r="T143" i="39"/>
  <c r="W70" i="116" s="1"/>
  <c r="S63" i="39"/>
  <c r="S35" i="39"/>
  <c r="H39" i="81" s="1"/>
  <c r="I58" i="81"/>
  <c r="W54" i="39"/>
  <c r="T132" i="39"/>
  <c r="W59" i="116" s="1"/>
  <c r="S28" i="39"/>
  <c r="T68" i="39"/>
  <c r="X72" i="81" s="1"/>
  <c r="S30" i="39"/>
  <c r="W98" i="39"/>
  <c r="X98" i="39" s="1"/>
  <c r="Y98" i="39" s="1"/>
  <c r="H25" i="116"/>
  <c r="S11" i="39"/>
  <c r="U27" i="39"/>
  <c r="T18" i="39"/>
  <c r="X22" i="81" s="1"/>
  <c r="U18" i="39"/>
  <c r="J22" i="81" s="1"/>
  <c r="H30" i="116"/>
  <c r="W103" i="39"/>
  <c r="S41" i="39"/>
  <c r="H45" i="81" s="1"/>
  <c r="T74" i="39"/>
  <c r="X78" i="81" s="1"/>
  <c r="I34" i="81"/>
  <c r="W30" i="39"/>
  <c r="U140" i="39"/>
  <c r="T123" i="39"/>
  <c r="W50" i="116" s="1"/>
  <c r="T131" i="39"/>
  <c r="W58" i="116" s="1"/>
  <c r="F35" i="81"/>
  <c r="S16" i="39"/>
  <c r="W125" i="39"/>
  <c r="H52" i="116"/>
  <c r="F25" i="81"/>
  <c r="S39" i="39"/>
  <c r="AJ37" i="39"/>
  <c r="AH37" i="39"/>
  <c r="AI37" i="39"/>
  <c r="AM37" i="39"/>
  <c r="G41" i="81"/>
  <c r="AL37" i="39"/>
  <c r="AL129" i="39"/>
  <c r="AM129" i="39"/>
  <c r="G56" i="116"/>
  <c r="AI129" i="39"/>
  <c r="AH129" i="39"/>
  <c r="AJ129" i="39"/>
  <c r="T32" i="39"/>
  <c r="X36" i="81" s="1"/>
  <c r="T48" i="39"/>
  <c r="X52" i="81" s="1"/>
  <c r="F38" i="116"/>
  <c r="F65" i="81"/>
  <c r="S64" i="39"/>
  <c r="U64" i="39"/>
  <c r="I38" i="81"/>
  <c r="W34" i="39"/>
  <c r="AJ34" i="39"/>
  <c r="AM34" i="39"/>
  <c r="AL34" i="39"/>
  <c r="AH34" i="39"/>
  <c r="G38" i="81"/>
  <c r="AK34" i="39"/>
  <c r="F25" i="116"/>
  <c r="U66" i="39"/>
  <c r="J70" i="81" s="1"/>
  <c r="I71" i="81"/>
  <c r="W67" i="39"/>
  <c r="T22" i="39"/>
  <c r="X26" i="81" s="1"/>
  <c r="U22" i="39"/>
  <c r="J26" i="81" s="1"/>
  <c r="AM38" i="39"/>
  <c r="G42" i="81"/>
  <c r="AH38" i="39"/>
  <c r="AL38" i="39"/>
  <c r="AK38" i="39"/>
  <c r="AJ38" i="39"/>
  <c r="F15" i="81"/>
  <c r="F37" i="81"/>
  <c r="S31" i="39"/>
  <c r="H64" i="116"/>
  <c r="W137" i="39"/>
  <c r="S74" i="39"/>
  <c r="W127" i="39"/>
  <c r="H54" i="116"/>
  <c r="T147" i="39"/>
  <c r="W74" i="116" s="1"/>
  <c r="F61" i="81"/>
  <c r="F46" i="81"/>
  <c r="U148" i="39"/>
  <c r="I75" i="116" s="1"/>
  <c r="S29" i="39"/>
  <c r="F68" i="116"/>
  <c r="AH140" i="39"/>
  <c r="AM140" i="39"/>
  <c r="G67" i="116"/>
  <c r="AL140" i="39"/>
  <c r="AJ140" i="39"/>
  <c r="AK140" i="39"/>
  <c r="F33" i="81"/>
  <c r="T37" i="39"/>
  <c r="X41" i="81" s="1"/>
  <c r="AM45" i="39"/>
  <c r="AI45" i="39"/>
  <c r="AL45" i="39"/>
  <c r="G49" i="81"/>
  <c r="AH45" i="39"/>
  <c r="AJ45" i="39"/>
  <c r="F19" i="116"/>
  <c r="U29" i="39"/>
  <c r="U43" i="39"/>
  <c r="T75" i="39"/>
  <c r="X79" i="81" s="1"/>
  <c r="I67" i="81"/>
  <c r="W63" i="39"/>
  <c r="S45" i="39"/>
  <c r="S73" i="39"/>
  <c r="T70" i="39"/>
  <c r="X74" i="81" s="1"/>
  <c r="F22" i="116"/>
  <c r="F53" i="116"/>
  <c r="G36" i="116"/>
  <c r="AK109" i="39"/>
  <c r="AJ109" i="39"/>
  <c r="AH109" i="39"/>
  <c r="AM109" i="39"/>
  <c r="AL109" i="39"/>
  <c r="H74" i="116"/>
  <c r="W147" i="39"/>
  <c r="U48" i="39"/>
  <c r="T45" i="39"/>
  <c r="X49" i="81" s="1"/>
  <c r="G78" i="116"/>
  <c r="AI151" i="39"/>
  <c r="AL151" i="39"/>
  <c r="AJ151" i="39"/>
  <c r="AK151" i="39"/>
  <c r="AH151" i="39"/>
  <c r="T102" i="39"/>
  <c r="W29" i="116" s="1"/>
  <c r="I52" i="81"/>
  <c r="W48" i="39"/>
  <c r="U130" i="39"/>
  <c r="AM142" i="39"/>
  <c r="AH142" i="39"/>
  <c r="G69" i="116"/>
  <c r="AL142" i="39"/>
  <c r="AJ142" i="39"/>
  <c r="AK142" i="39"/>
  <c r="F16" i="81"/>
  <c r="U21" i="39"/>
  <c r="J25" i="81" s="1"/>
  <c r="T21" i="39"/>
  <c r="X25" i="81" s="1"/>
  <c r="W102" i="39"/>
  <c r="H29" i="116"/>
  <c r="S59" i="39"/>
  <c r="F34" i="81"/>
  <c r="W91" i="39"/>
  <c r="X91" i="39" s="1"/>
  <c r="Z91" i="39" s="1"/>
  <c r="H18" i="116"/>
  <c r="W109" i="39"/>
  <c r="X109" i="39" s="1"/>
  <c r="Y109" i="39" s="1"/>
  <c r="H36" i="116"/>
  <c r="T38" i="39"/>
  <c r="X42" i="81" s="1"/>
  <c r="T134" i="39"/>
  <c r="W61" i="116" s="1"/>
  <c r="T51" i="39"/>
  <c r="X55" i="81" s="1"/>
  <c r="W108" i="39"/>
  <c r="X108" i="39" s="1"/>
  <c r="Y108" i="39" s="1"/>
  <c r="H35" i="116"/>
  <c r="W112" i="39"/>
  <c r="X112" i="39" s="1"/>
  <c r="Y112" i="39" s="1"/>
  <c r="H39" i="116"/>
  <c r="AL107" i="39"/>
  <c r="AM107" i="39"/>
  <c r="AI107" i="39"/>
  <c r="AH107" i="39"/>
  <c r="AK107" i="39"/>
  <c r="G34" i="116"/>
  <c r="G60" i="116"/>
  <c r="AL133" i="39"/>
  <c r="AJ133" i="39"/>
  <c r="AK133" i="39"/>
  <c r="AH133" i="39"/>
  <c r="AM133" i="39"/>
  <c r="F23" i="116"/>
  <c r="U54" i="39"/>
  <c r="J58" i="81" s="1"/>
  <c r="AI16" i="39"/>
  <c r="AJ16" i="39"/>
  <c r="AK16" i="39"/>
  <c r="AH16" i="39"/>
  <c r="AM16" i="39"/>
  <c r="G20" i="81"/>
  <c r="F28" i="81"/>
  <c r="W46" i="39"/>
  <c r="I50" i="81"/>
  <c r="AL13" i="39"/>
  <c r="G17" i="81"/>
  <c r="AJ13" i="39"/>
  <c r="AK13" i="39"/>
  <c r="AI13" i="39"/>
  <c r="AH13" i="39"/>
  <c r="U89" i="39"/>
  <c r="I16" i="116" s="1"/>
  <c r="T89" i="39"/>
  <c r="W16" i="116" s="1"/>
  <c r="S32" i="39"/>
  <c r="AM108" i="39"/>
  <c r="AK108" i="39"/>
  <c r="AH108" i="39"/>
  <c r="AI108" i="39"/>
  <c r="G35" i="116"/>
  <c r="AL108" i="39"/>
  <c r="F74" i="116"/>
  <c r="AK138" i="39"/>
  <c r="AL138" i="39"/>
  <c r="AH138" i="39"/>
  <c r="G65" i="116"/>
  <c r="AM138" i="39"/>
  <c r="AI138" i="39"/>
  <c r="S72" i="39"/>
  <c r="H76" i="81" s="1"/>
  <c r="U121" i="39"/>
  <c r="U103" i="39"/>
  <c r="AH99" i="39"/>
  <c r="AL99" i="39"/>
  <c r="AM99" i="39"/>
  <c r="AK99" i="39"/>
  <c r="AJ99" i="39"/>
  <c r="G26" i="116"/>
  <c r="AM60" i="39"/>
  <c r="AH60" i="39"/>
  <c r="AK60" i="39"/>
  <c r="G64" i="81"/>
  <c r="AL60" i="39"/>
  <c r="AJ60" i="39"/>
  <c r="H55" i="116"/>
  <c r="W128" i="39"/>
  <c r="F56" i="81"/>
  <c r="AH63" i="39"/>
  <c r="AM63" i="39"/>
  <c r="AK63" i="39"/>
  <c r="AJ63" i="39"/>
  <c r="AL63" i="39"/>
  <c r="G67" i="81"/>
  <c r="I56" i="81"/>
  <c r="W52" i="39"/>
  <c r="T42" i="39"/>
  <c r="X46" i="81" s="1"/>
  <c r="T24" i="39"/>
  <c r="X28" i="81" s="1"/>
  <c r="F54" i="81"/>
  <c r="T148" i="39"/>
  <c r="W75" i="116" s="1"/>
  <c r="AH54" i="39"/>
  <c r="AM54" i="39"/>
  <c r="AL54" i="39"/>
  <c r="AJ54" i="39"/>
  <c r="AI54" i="39"/>
  <c r="G58" i="81"/>
  <c r="H67" i="116"/>
  <c r="W140" i="39"/>
  <c r="S65" i="39"/>
  <c r="F74" i="81"/>
  <c r="AL139" i="39"/>
  <c r="AH139" i="39"/>
  <c r="AK139" i="39"/>
  <c r="G66" i="116"/>
  <c r="AM139" i="39"/>
  <c r="AJ139" i="39"/>
  <c r="T137" i="39"/>
  <c r="W64" i="116" s="1"/>
  <c r="U52" i="39"/>
  <c r="J56" i="81" s="1"/>
  <c r="W17" i="39"/>
  <c r="X17" i="39" s="1"/>
  <c r="Z17" i="39" s="1"/>
  <c r="I21" i="81"/>
  <c r="F18" i="81"/>
  <c r="AL95" i="39"/>
  <c r="G22" i="116"/>
  <c r="AH95" i="39"/>
  <c r="AJ95" i="39"/>
  <c r="AK95" i="39"/>
  <c r="AM95" i="39"/>
  <c r="U39" i="39"/>
  <c r="G48" i="116"/>
  <c r="AH121" i="39"/>
  <c r="AL121" i="39"/>
  <c r="AM121" i="39"/>
  <c r="AJ121" i="39"/>
  <c r="AK121" i="39"/>
  <c r="AJ74" i="39"/>
  <c r="AI74" i="39"/>
  <c r="G78" i="81"/>
  <c r="AM74" i="39"/>
  <c r="AK74" i="39"/>
  <c r="AH74" i="39"/>
  <c r="W22" i="39"/>
  <c r="X22" i="39" s="1"/>
  <c r="Y22" i="39" s="1"/>
  <c r="I26" i="81"/>
  <c r="S26" i="39"/>
  <c r="T62" i="39"/>
  <c r="X66" i="81" s="1"/>
  <c r="T53" i="39"/>
  <c r="X57" i="81" s="1"/>
  <c r="F17" i="81"/>
  <c r="F24" i="81"/>
  <c r="F22" i="81"/>
  <c r="W149" i="39"/>
  <c r="H76" i="116"/>
  <c r="F51" i="81"/>
  <c r="F78" i="116"/>
  <c r="S24" i="39"/>
  <c r="S46" i="39"/>
  <c r="AM52" i="39"/>
  <c r="AL52" i="39"/>
  <c r="G56" i="81"/>
  <c r="AH52" i="39"/>
  <c r="AI52" i="39"/>
  <c r="AJ52" i="39"/>
  <c r="F27" i="81"/>
  <c r="T117" i="39"/>
  <c r="W44" i="116" s="1"/>
  <c r="F19" i="81"/>
  <c r="U41" i="39"/>
  <c r="I75" i="81"/>
  <c r="W71" i="39"/>
  <c r="I78" i="81"/>
  <c r="W74" i="39"/>
  <c r="T67" i="39"/>
  <c r="X71" i="81" s="1"/>
  <c r="F29" i="116"/>
  <c r="I70" i="81"/>
  <c r="W66" i="39"/>
  <c r="U49" i="39"/>
  <c r="F42" i="81"/>
  <c r="AL46" i="39"/>
  <c r="G50" i="81"/>
  <c r="AH46" i="39"/>
  <c r="AJ46" i="39"/>
  <c r="AK46" i="39"/>
  <c r="W101" i="39"/>
  <c r="H28" i="116"/>
  <c r="T96" i="39"/>
  <c r="W23" i="116" s="1"/>
  <c r="U96" i="39"/>
  <c r="I23" i="116" s="1"/>
  <c r="Y96" i="39"/>
  <c r="AN96" i="39" s="1"/>
  <c r="AJ90" i="39"/>
  <c r="AH90" i="39"/>
  <c r="AI90" i="39"/>
  <c r="G17" i="116"/>
  <c r="AK90" i="39"/>
  <c r="AM90" i="39"/>
  <c r="W151" i="39"/>
  <c r="H78" i="116"/>
  <c r="U118" i="39"/>
  <c r="H69" i="116"/>
  <c r="W142" i="39"/>
  <c r="U102" i="39"/>
  <c r="AI15" i="39"/>
  <c r="AM15" i="39"/>
  <c r="AJ15" i="39"/>
  <c r="G19" i="81"/>
  <c r="AL15" i="39"/>
  <c r="AH15" i="39"/>
  <c r="H59" i="116"/>
  <c r="W132" i="39"/>
  <c r="F32" i="116"/>
  <c r="T112" i="39"/>
  <c r="W39" i="116" s="1"/>
  <c r="U112" i="39"/>
  <c r="I39" i="116" s="1"/>
  <c r="U133" i="39"/>
  <c r="I60" i="116" s="1"/>
  <c r="T145" i="39"/>
  <c r="W72" i="116" s="1"/>
  <c r="AL135" i="39"/>
  <c r="AH135" i="39"/>
  <c r="G62" i="116"/>
  <c r="AK135" i="39"/>
  <c r="AJ135" i="39"/>
  <c r="AM135" i="39"/>
  <c r="U45" i="39"/>
  <c r="S61" i="39"/>
  <c r="AL102" i="39"/>
  <c r="AI102" i="39"/>
  <c r="AK102" i="39"/>
  <c r="AH102" i="39"/>
  <c r="AM102" i="39"/>
  <c r="G29" i="116"/>
  <c r="U34" i="39"/>
  <c r="T129" i="39"/>
  <c r="W56" i="116" s="1"/>
  <c r="G77" i="116"/>
  <c r="AH150" i="39"/>
  <c r="AI150" i="39"/>
  <c r="AL150" i="39"/>
  <c r="AJ150" i="39"/>
  <c r="AM150" i="39"/>
  <c r="F24" i="116"/>
  <c r="G52" i="81"/>
  <c r="AM48" i="39"/>
  <c r="AK48" i="39"/>
  <c r="AJ48" i="39"/>
  <c r="AL48" i="39"/>
  <c r="AH48" i="39"/>
  <c r="T50" i="39"/>
  <c r="X54" i="81" s="1"/>
  <c r="U36" i="39"/>
  <c r="T115" i="39"/>
  <c r="W42" i="116" s="1"/>
  <c r="U123" i="39"/>
  <c r="G72" i="116"/>
  <c r="AH145" i="39"/>
  <c r="AM145" i="39"/>
  <c r="AK145" i="39"/>
  <c r="AJ145" i="39"/>
  <c r="AL145" i="39"/>
  <c r="T139" i="39"/>
  <c r="W66" i="116" s="1"/>
  <c r="F23" i="81"/>
  <c r="AL66" i="39"/>
  <c r="AJ66" i="39"/>
  <c r="AI66" i="39"/>
  <c r="G70" i="81"/>
  <c r="AM66" i="39"/>
  <c r="AH66" i="39"/>
  <c r="T138" i="39"/>
  <c r="W65" i="116" s="1"/>
  <c r="AH125" i="39"/>
  <c r="AI125" i="39"/>
  <c r="AJ125" i="39"/>
  <c r="AM125" i="39"/>
  <c r="AL125" i="39"/>
  <c r="G52" i="116"/>
  <c r="T65" i="39"/>
  <c r="X69" i="81" s="1"/>
  <c r="S69" i="39"/>
  <c r="U63" i="39"/>
  <c r="U30" i="39"/>
  <c r="S55" i="39"/>
  <c r="T109" i="39"/>
  <c r="W36" i="116" s="1"/>
  <c r="U109" i="39"/>
  <c r="I36" i="116" s="1"/>
  <c r="U68" i="39"/>
  <c r="AL118" i="39"/>
  <c r="AI118" i="39"/>
  <c r="AH118" i="39"/>
  <c r="G45" i="116"/>
  <c r="AK118" i="39"/>
  <c r="AM118" i="39"/>
  <c r="I44" i="81"/>
  <c r="W40" i="39"/>
  <c r="AL23" i="39"/>
  <c r="AH23" i="39"/>
  <c r="AK23" i="39"/>
  <c r="G27" i="81"/>
  <c r="AJ23" i="39"/>
  <c r="AM23" i="39"/>
  <c r="U97" i="39"/>
  <c r="I24" i="116" s="1"/>
  <c r="T97" i="39"/>
  <c r="W24" i="116" s="1"/>
  <c r="Z97" i="39"/>
  <c r="AB97" i="39" s="1"/>
  <c r="U107" i="39"/>
  <c r="I34" i="116" s="1"/>
  <c r="T107" i="39"/>
  <c r="W34" i="116" s="1"/>
  <c r="T135" i="39"/>
  <c r="W62" i="116" s="1"/>
  <c r="F75" i="81"/>
  <c r="U65" i="39"/>
  <c r="T120" i="39"/>
  <c r="W47" i="116" s="1"/>
  <c r="AJ147" i="39"/>
  <c r="AK147" i="39"/>
  <c r="AH147" i="39"/>
  <c r="G74" i="116"/>
  <c r="AL147" i="39"/>
  <c r="U32" i="39"/>
  <c r="J36" i="81" s="1"/>
  <c r="G34" i="81"/>
  <c r="AM30" i="39"/>
  <c r="AH30" i="39"/>
  <c r="AL30" i="39"/>
  <c r="AJ30" i="39"/>
  <c r="AI30" i="39"/>
  <c r="S62" i="39"/>
  <c r="AH17" i="39"/>
  <c r="AI17" i="39"/>
  <c r="AL17" i="39"/>
  <c r="AK17" i="39"/>
  <c r="G21" i="81"/>
  <c r="AJ17" i="39"/>
  <c r="U126" i="39"/>
  <c r="F52" i="116"/>
  <c r="AM40" i="39"/>
  <c r="AJ40" i="39"/>
  <c r="AL40" i="39"/>
  <c r="AK40" i="39"/>
  <c r="AH40" i="39"/>
  <c r="G44" i="81"/>
  <c r="T64" i="39"/>
  <c r="X68" i="81" s="1"/>
  <c r="W62" i="39"/>
  <c r="I66" i="81"/>
  <c r="AI51" i="39"/>
  <c r="AL51" i="39"/>
  <c r="G55" i="81"/>
  <c r="AH51" i="39"/>
  <c r="AM51" i="39"/>
  <c r="AJ51" i="39"/>
  <c r="H65" i="116"/>
  <c r="W138" i="39"/>
  <c r="U120" i="39"/>
  <c r="U132" i="39"/>
  <c r="AJ57" i="39"/>
  <c r="G61" i="81"/>
  <c r="AH57" i="39"/>
  <c r="AM57" i="39"/>
  <c r="AK57" i="39"/>
  <c r="AL57" i="39"/>
  <c r="F26" i="116"/>
  <c r="W75" i="39"/>
  <c r="I79" i="81"/>
  <c r="F37" i="116"/>
  <c r="F54" i="116"/>
  <c r="T122" i="39"/>
  <c r="W49" i="116" s="1"/>
  <c r="AJ68" i="39"/>
  <c r="AM68" i="39"/>
  <c r="AH68" i="39"/>
  <c r="AL68" i="39"/>
  <c r="AK68" i="39"/>
  <c r="G72" i="81"/>
  <c r="F58" i="81"/>
  <c r="F72" i="116"/>
  <c r="S36" i="39"/>
  <c r="F39" i="116"/>
  <c r="U134" i="39"/>
  <c r="T150" i="39"/>
  <c r="W77" i="116" s="1"/>
  <c r="AH127" i="39"/>
  <c r="AL127" i="39"/>
  <c r="AK127" i="39"/>
  <c r="G54" i="116"/>
  <c r="AM127" i="39"/>
  <c r="AI127" i="39"/>
  <c r="F66" i="116"/>
  <c r="AH93" i="39"/>
  <c r="G20" i="116"/>
  <c r="AL93" i="39"/>
  <c r="AJ93" i="39"/>
  <c r="AI93" i="39"/>
  <c r="AK93" i="39"/>
  <c r="U135" i="39"/>
  <c r="U131" i="39"/>
  <c r="I58" i="116" s="1"/>
  <c r="H22" i="116"/>
  <c r="W95" i="39"/>
  <c r="X95" i="39" s="1"/>
  <c r="Z95" i="39" s="1"/>
  <c r="AL59" i="39"/>
  <c r="AM59" i="39"/>
  <c r="G63" i="81"/>
  <c r="AJ59" i="39"/>
  <c r="AH59" i="39"/>
  <c r="AK59" i="39"/>
  <c r="H20" i="116"/>
  <c r="W93" i="39"/>
  <c r="X93" i="39" s="1"/>
  <c r="Z93" i="39" s="1"/>
  <c r="F62" i="116"/>
  <c r="U115" i="39"/>
  <c r="AK148" i="39"/>
  <c r="AM148" i="39"/>
  <c r="AH148" i="39"/>
  <c r="AJ148" i="39"/>
  <c r="AL148" i="39"/>
  <c r="G75" i="116"/>
  <c r="F79" i="81"/>
  <c r="U104" i="39"/>
  <c r="I31" i="116" s="1"/>
  <c r="T104" i="39"/>
  <c r="W31" i="116" s="1"/>
  <c r="AK11" i="39"/>
  <c r="AH11" i="39"/>
  <c r="AJ11" i="39"/>
  <c r="AM11" i="39"/>
  <c r="AI11" i="39"/>
  <c r="G15" i="81"/>
  <c r="AH56" i="39"/>
  <c r="AJ56" i="39"/>
  <c r="AK56" i="39"/>
  <c r="AM56" i="39"/>
  <c r="G60" i="81"/>
  <c r="AL56" i="39"/>
  <c r="T103" i="39"/>
  <c r="W30" i="116" s="1"/>
  <c r="AI42" i="39"/>
  <c r="AM42" i="39"/>
  <c r="AJ42" i="39"/>
  <c r="AL42" i="39"/>
  <c r="G46" i="81"/>
  <c r="AH42" i="39"/>
  <c r="W21" i="39"/>
  <c r="X21" i="39" s="1"/>
  <c r="Y21" i="39" s="1"/>
  <c r="I25" i="81"/>
  <c r="F30" i="81"/>
  <c r="F50" i="116"/>
  <c r="F45" i="81"/>
  <c r="H38" i="116"/>
  <c r="W111" i="39"/>
  <c r="X111" i="39" s="1"/>
  <c r="Y111" i="39" s="1"/>
  <c r="U127" i="39"/>
  <c r="T56" i="39"/>
  <c r="X60" i="81" s="1"/>
  <c r="AL115" i="39"/>
  <c r="AM115" i="39"/>
  <c r="AK115" i="39"/>
  <c r="AJ115" i="39"/>
  <c r="G42" i="116"/>
  <c r="AH115" i="39"/>
  <c r="F27" i="116"/>
  <c r="U11" i="39"/>
  <c r="J15" i="81" s="1"/>
  <c r="T11" i="39"/>
  <c r="X15" i="81" s="1"/>
  <c r="Y11" i="39"/>
  <c r="AE11" i="39" s="1"/>
  <c r="F29" i="81"/>
  <c r="S38" i="39"/>
  <c r="AF110" i="39"/>
  <c r="S17" i="39"/>
  <c r="H21" i="81" s="1"/>
  <c r="U122" i="39"/>
  <c r="AK14" i="39"/>
  <c r="AM14" i="39"/>
  <c r="G18" i="81"/>
  <c r="AJ14" i="39"/>
  <c r="AH14" i="39"/>
  <c r="AL14" i="39"/>
  <c r="H66" i="116"/>
  <c r="W139" i="39"/>
  <c r="S47" i="39"/>
  <c r="H51" i="81" s="1"/>
  <c r="F64" i="81"/>
  <c r="U151" i="39"/>
  <c r="I78" i="116" s="1"/>
  <c r="U24" i="39"/>
  <c r="W73" i="39"/>
  <c r="I77" i="81"/>
  <c r="AL144" i="39"/>
  <c r="AK144" i="39"/>
  <c r="AM144" i="39"/>
  <c r="AH144" i="39"/>
  <c r="AJ144" i="39"/>
  <c r="G71" i="116"/>
  <c r="T14" i="39"/>
  <c r="X18" i="81" s="1"/>
  <c r="U14" i="39"/>
  <c r="J18" i="81" s="1"/>
  <c r="Y14" i="39"/>
  <c r="AB14" i="39" s="1"/>
  <c r="S27" i="39"/>
  <c r="H31" i="81" s="1"/>
  <c r="F44" i="81"/>
  <c r="U101" i="39"/>
  <c r="AI12" i="39"/>
  <c r="AH12" i="39"/>
  <c r="AM12" i="39"/>
  <c r="AK12" i="39"/>
  <c r="G16" i="81"/>
  <c r="AJ12" i="39"/>
  <c r="U149" i="39"/>
  <c r="S57" i="39"/>
  <c r="T46" i="39"/>
  <c r="X50" i="81" s="1"/>
  <c r="AH43" i="39"/>
  <c r="AM43" i="39"/>
  <c r="G47" i="81"/>
  <c r="AK43" i="39"/>
  <c r="AJ43" i="39"/>
  <c r="T108" i="39"/>
  <c r="W35" i="116" s="1"/>
  <c r="U108" i="39"/>
  <c r="I35" i="116" s="1"/>
  <c r="Z108" i="39"/>
  <c r="AF108" i="39" s="1"/>
  <c r="H79" i="116"/>
  <c r="W152" i="39"/>
  <c r="U98" i="39"/>
  <c r="I25" i="116" s="1"/>
  <c r="T98" i="39"/>
  <c r="W25" i="116" s="1"/>
  <c r="U94" i="39"/>
  <c r="I21" i="116" s="1"/>
  <c r="T94" i="39"/>
  <c r="W21" i="116" s="1"/>
  <c r="Y94" i="39"/>
  <c r="AA94" i="39" s="1"/>
  <c r="F60" i="116"/>
  <c r="U57" i="39"/>
  <c r="F55" i="116"/>
  <c r="I60" i="81"/>
  <c r="W56" i="39"/>
  <c r="S56" i="39"/>
  <c r="W12" i="39"/>
  <c r="X12" i="39" s="1"/>
  <c r="Z12" i="39" s="1"/>
  <c r="I16" i="81"/>
  <c r="W59" i="39"/>
  <c r="I63" i="81"/>
  <c r="S54" i="39"/>
  <c r="AK47" i="39"/>
  <c r="G51" i="81"/>
  <c r="AJ47" i="39"/>
  <c r="AH47" i="39"/>
  <c r="AL47" i="39"/>
  <c r="AM47" i="39"/>
  <c r="U152" i="39"/>
  <c r="F73" i="81"/>
  <c r="F35" i="116"/>
  <c r="AK136" i="39"/>
  <c r="AJ136" i="39"/>
  <c r="AH136" i="39"/>
  <c r="AM136" i="39"/>
  <c r="G63" i="116"/>
  <c r="AL136" i="39"/>
  <c r="AJ98" i="39"/>
  <c r="AL98" i="39"/>
  <c r="AH98" i="39"/>
  <c r="G25" i="116"/>
  <c r="AK98" i="39"/>
  <c r="AM98" i="39"/>
  <c r="T126" i="39"/>
  <c r="W53" i="116" s="1"/>
  <c r="U72" i="39"/>
  <c r="W29" i="39"/>
  <c r="I33" i="81"/>
  <c r="F17" i="116"/>
  <c r="F60" i="81"/>
  <c r="U55" i="39"/>
  <c r="W53" i="39"/>
  <c r="I57" i="81"/>
  <c r="U116" i="39"/>
  <c r="I43" i="116" s="1"/>
  <c r="U71" i="39"/>
  <c r="J75" i="81" s="1"/>
  <c r="F43" i="81"/>
  <c r="F40" i="116"/>
  <c r="U114" i="39"/>
  <c r="I41" i="116" s="1"/>
  <c r="T114" i="39"/>
  <c r="W41" i="116" s="1"/>
  <c r="Z114" i="39"/>
  <c r="AF114" i="39" s="1"/>
  <c r="S42" i="39"/>
  <c r="T91" i="39"/>
  <c r="W18" i="116" s="1"/>
  <c r="U91" i="39"/>
  <c r="I18" i="116" s="1"/>
  <c r="Y91" i="39"/>
  <c r="AN91" i="39" s="1"/>
  <c r="W104" i="39"/>
  <c r="X104" i="39" s="1"/>
  <c r="Y104" i="39" s="1"/>
  <c r="H31" i="116"/>
  <c r="U74" i="39"/>
  <c r="J78" i="81" s="1"/>
  <c r="AM75" i="39"/>
  <c r="AK75" i="39"/>
  <c r="G79" i="81"/>
  <c r="AL75" i="39"/>
  <c r="AH75" i="39"/>
  <c r="AI75" i="39"/>
  <c r="F76" i="81"/>
  <c r="T121" i="39"/>
  <c r="W48" i="116" s="1"/>
  <c r="G53" i="116"/>
  <c r="AK126" i="39"/>
  <c r="AL126" i="39"/>
  <c r="AJ126" i="39"/>
  <c r="AH126" i="39"/>
  <c r="AM126" i="39"/>
  <c r="T63" i="39"/>
  <c r="X67" i="81" s="1"/>
  <c r="U144" i="39"/>
  <c r="F55" i="81"/>
  <c r="U75" i="39"/>
  <c r="F66" i="81"/>
  <c r="W35" i="39"/>
  <c r="I39" i="81"/>
  <c r="AG110" i="39"/>
  <c r="G26" i="81"/>
  <c r="AM22" i="39"/>
  <c r="AH22" i="39"/>
  <c r="AL22" i="39"/>
  <c r="AJ22" i="39"/>
  <c r="AI22" i="39"/>
  <c r="AK130" i="39"/>
  <c r="AM130" i="39"/>
  <c r="AL130" i="39"/>
  <c r="AH130" i="39"/>
  <c r="G57" i="116"/>
  <c r="AJ130" i="39"/>
  <c r="AK62" i="39"/>
  <c r="AJ62" i="39"/>
  <c r="AH62" i="39"/>
  <c r="G66" i="81"/>
  <c r="AL62" i="39"/>
  <c r="AM62" i="39"/>
  <c r="S67" i="39"/>
  <c r="W90" i="39"/>
  <c r="X90" i="39" s="1"/>
  <c r="Z90" i="39" s="1"/>
  <c r="H17" i="116"/>
  <c r="W148" i="39"/>
  <c r="H75" i="116"/>
  <c r="AM152" i="39"/>
  <c r="AH152" i="39"/>
  <c r="AJ152" i="39"/>
  <c r="AL152" i="39"/>
  <c r="G79" i="116"/>
  <c r="AI152" i="39"/>
  <c r="U146" i="39"/>
  <c r="I73" i="116" s="1"/>
  <c r="AH32" i="39"/>
  <c r="AJ32" i="39"/>
  <c r="AL32" i="39"/>
  <c r="AK32" i="39"/>
  <c r="AM32" i="39"/>
  <c r="G36" i="81"/>
  <c r="T55" i="39"/>
  <c r="X59" i="81" s="1"/>
  <c r="T58" i="39"/>
  <c r="X62" i="81" s="1"/>
  <c r="T31" i="39"/>
  <c r="X35" i="81" s="1"/>
  <c r="T23" i="39"/>
  <c r="X27" i="81" s="1"/>
  <c r="W123" i="39"/>
  <c r="H50" i="116"/>
  <c r="T149" i="39"/>
  <c r="W76" i="116" s="1"/>
  <c r="F79" i="116"/>
  <c r="AH111" i="39"/>
  <c r="AJ111" i="39"/>
  <c r="AM111" i="39"/>
  <c r="AK111" i="39"/>
  <c r="AL111" i="39"/>
  <c r="G38" i="116"/>
  <c r="AD11" i="39" l="1"/>
  <c r="AA110" i="39"/>
  <c r="AF94" i="39"/>
  <c r="AB110" i="39"/>
  <c r="AA11" i="39"/>
  <c r="Z99" i="39"/>
  <c r="AA99" i="39" s="1"/>
  <c r="Y19" i="39"/>
  <c r="AM94" i="39"/>
  <c r="Z98" i="39"/>
  <c r="AF98" i="39" s="1"/>
  <c r="AG114" i="39"/>
  <c r="AG91" i="39"/>
  <c r="AD114" i="39"/>
  <c r="AB108" i="39"/>
  <c r="AL11" i="39"/>
  <c r="AE91" i="39"/>
  <c r="AE94" i="39"/>
  <c r="AE14" i="39"/>
  <c r="Y18" i="39"/>
  <c r="AN18" i="39" s="1"/>
  <c r="AG96" i="39"/>
  <c r="AB91" i="39"/>
  <c r="AE97" i="39"/>
  <c r="Z112" i="39"/>
  <c r="AD112" i="39" s="1"/>
  <c r="AD96" i="39"/>
  <c r="Y93" i="39"/>
  <c r="AD93" i="39" s="1"/>
  <c r="Y90" i="39"/>
  <c r="AF90" i="39" s="1"/>
  <c r="Z92" i="39"/>
  <c r="AG92" i="39" s="1"/>
  <c r="AD91" i="39"/>
  <c r="AA97" i="39"/>
  <c r="Y89" i="39"/>
  <c r="Y17" i="39"/>
  <c r="AA108" i="39"/>
  <c r="AI19" i="39"/>
  <c r="AI97" i="39"/>
  <c r="Y16" i="39"/>
  <c r="X73" i="39"/>
  <c r="Y73" i="39" s="1"/>
  <c r="Z73" i="39"/>
  <c r="Z75" i="39"/>
  <c r="X75" i="39"/>
  <c r="Y75" i="39" s="1"/>
  <c r="H69" i="81"/>
  <c r="Y148" i="39"/>
  <c r="X148" i="39"/>
  <c r="Z148" i="39" s="1"/>
  <c r="I59" i="116"/>
  <c r="Z140" i="39"/>
  <c r="X140" i="39"/>
  <c r="Y140" i="39" s="1"/>
  <c r="I72" i="116"/>
  <c r="X53" i="39"/>
  <c r="Y53" i="39" s="1"/>
  <c r="AA53" i="39" s="1"/>
  <c r="Z53" i="39"/>
  <c r="Z59" i="39"/>
  <c r="X59" i="39"/>
  <c r="Y59" i="39" s="1"/>
  <c r="AD94" i="39"/>
  <c r="AN94" i="39"/>
  <c r="AA14" i="39"/>
  <c r="I47" i="116"/>
  <c r="H73" i="81"/>
  <c r="J38" i="81"/>
  <c r="H65" i="81"/>
  <c r="X132" i="39"/>
  <c r="Y132" i="39" s="1"/>
  <c r="Z132" i="39"/>
  <c r="Z21" i="39"/>
  <c r="AA21" i="39" s="1"/>
  <c r="Z48" i="39"/>
  <c r="X48" i="39"/>
  <c r="Y48" i="39" s="1"/>
  <c r="AA48" i="39" s="1"/>
  <c r="X147" i="39"/>
  <c r="Y147" i="39" s="1"/>
  <c r="Z147" i="39"/>
  <c r="AM147" i="39" s="1"/>
  <c r="Z127" i="39"/>
  <c r="X127" i="39"/>
  <c r="Y127" i="39" s="1"/>
  <c r="X125" i="39"/>
  <c r="Y125" i="39" s="1"/>
  <c r="Z125" i="39"/>
  <c r="AN98" i="39"/>
  <c r="Y54" i="39"/>
  <c r="X54" i="39"/>
  <c r="Z54" i="39" s="1"/>
  <c r="I74" i="116"/>
  <c r="Z113" i="39"/>
  <c r="AA113" i="39" s="1"/>
  <c r="H37" i="81"/>
  <c r="I27" i="116"/>
  <c r="X60" i="39"/>
  <c r="Y60" i="39" s="1"/>
  <c r="Z60" i="39"/>
  <c r="X27" i="39"/>
  <c r="Y27" i="39" s="1"/>
  <c r="Z27" i="39"/>
  <c r="AA27" i="39" s="1"/>
  <c r="AA90" i="39"/>
  <c r="X72" i="39"/>
  <c r="Y72" i="39" s="1"/>
  <c r="Z72" i="39"/>
  <c r="Z129" i="39"/>
  <c r="X129" i="39"/>
  <c r="Y129" i="39" s="1"/>
  <c r="I77" i="116"/>
  <c r="I44" i="116"/>
  <c r="I51" i="116"/>
  <c r="AF97" i="39"/>
  <c r="H19" i="81"/>
  <c r="Z61" i="39"/>
  <c r="X61" i="39"/>
  <c r="Y61" i="39" s="1"/>
  <c r="H71" i="81"/>
  <c r="AI113" i="39"/>
  <c r="J32" i="81"/>
  <c r="I50" i="116"/>
  <c r="J45" i="81"/>
  <c r="H77" i="81"/>
  <c r="AN73" i="39"/>
  <c r="H29" i="81"/>
  <c r="H41" i="81"/>
  <c r="AG90" i="39"/>
  <c r="H46" i="81"/>
  <c r="J59" i="81"/>
  <c r="H61" i="81"/>
  <c r="I49" i="116"/>
  <c r="Z138" i="39"/>
  <c r="X138" i="39"/>
  <c r="Y138" i="39" s="1"/>
  <c r="I53" i="116"/>
  <c r="H66" i="81"/>
  <c r="I29" i="116"/>
  <c r="H49" i="81"/>
  <c r="H78" i="81"/>
  <c r="H20" i="81"/>
  <c r="AN16" i="39"/>
  <c r="I67" i="116"/>
  <c r="Z103" i="39"/>
  <c r="X103" i="39"/>
  <c r="Y103" i="39" s="1"/>
  <c r="AA103" i="39" s="1"/>
  <c r="H34" i="81"/>
  <c r="X115" i="39"/>
  <c r="Y115" i="39" s="1"/>
  <c r="AA115" i="39" s="1"/>
  <c r="Z115" i="39"/>
  <c r="J57" i="81"/>
  <c r="I55" i="116"/>
  <c r="AD113" i="39"/>
  <c r="Z144" i="39"/>
  <c r="X144" i="39"/>
  <c r="Y144" i="39" s="1"/>
  <c r="AI114" i="39"/>
  <c r="Z26" i="39"/>
  <c r="X26" i="39"/>
  <c r="Y26" i="39" s="1"/>
  <c r="J74" i="81"/>
  <c r="Z44" i="39"/>
  <c r="X44" i="39"/>
  <c r="Y44" i="39" s="1"/>
  <c r="Z105" i="39"/>
  <c r="AE105" i="39" s="1"/>
  <c r="AM91" i="39"/>
  <c r="H72" i="81"/>
  <c r="X36" i="39"/>
  <c r="Y36" i="39" s="1"/>
  <c r="Z36" i="39"/>
  <c r="X45" i="39"/>
  <c r="Y45" i="39" s="1"/>
  <c r="Z45" i="39"/>
  <c r="J62" i="81"/>
  <c r="J54" i="81"/>
  <c r="H18" i="81"/>
  <c r="AN14" i="39"/>
  <c r="X117" i="39"/>
  <c r="Y117" i="39" s="1"/>
  <c r="Z117" i="39"/>
  <c r="Z134" i="39"/>
  <c r="X134" i="39"/>
  <c r="Y134" i="39" s="1"/>
  <c r="X50" i="39"/>
  <c r="Y50" i="39" s="1"/>
  <c r="Z50" i="39"/>
  <c r="AN50" i="39" s="1"/>
  <c r="Y95" i="39"/>
  <c r="X116" i="39"/>
  <c r="Y116" i="39" s="1"/>
  <c r="Z116" i="39"/>
  <c r="Z28" i="39"/>
  <c r="X28" i="39"/>
  <c r="Y28" i="39" s="1"/>
  <c r="J72" i="81"/>
  <c r="H50" i="81"/>
  <c r="J43" i="81"/>
  <c r="H68" i="81"/>
  <c r="X64" i="39"/>
  <c r="Y64" i="39" s="1"/>
  <c r="Z64" i="39"/>
  <c r="J27" i="81"/>
  <c r="J64" i="81"/>
  <c r="H22" i="81"/>
  <c r="H44" i="81"/>
  <c r="J50" i="81"/>
  <c r="H47" i="81"/>
  <c r="Y146" i="39"/>
  <c r="X146" i="39"/>
  <c r="Z146" i="39" s="1"/>
  <c r="J66" i="81"/>
  <c r="X123" i="39"/>
  <c r="Y123" i="39" s="1"/>
  <c r="Z123" i="39"/>
  <c r="J79" i="81"/>
  <c r="Z152" i="39"/>
  <c r="X152" i="39"/>
  <c r="Y152" i="39" s="1"/>
  <c r="I76" i="116"/>
  <c r="I28" i="116"/>
  <c r="AI14" i="39"/>
  <c r="AB11" i="39"/>
  <c r="Z104" i="39"/>
  <c r="AD104" i="39" s="1"/>
  <c r="I42" i="116"/>
  <c r="I62" i="116"/>
  <c r="AM17" i="39"/>
  <c r="Z107" i="39"/>
  <c r="AD107" i="39" s="1"/>
  <c r="Z109" i="39"/>
  <c r="AN109" i="39" s="1"/>
  <c r="J40" i="81"/>
  <c r="J49" i="81"/>
  <c r="AB112" i="39"/>
  <c r="H36" i="81"/>
  <c r="Z63" i="39"/>
  <c r="X63" i="39"/>
  <c r="Y63" i="39" s="1"/>
  <c r="AN63" i="39" s="1"/>
  <c r="Z137" i="39"/>
  <c r="X137" i="39"/>
  <c r="Y137" i="39" s="1"/>
  <c r="Z68" i="39"/>
  <c r="X68" i="39"/>
  <c r="Y68" i="39" s="1"/>
  <c r="AA68" i="39" s="1"/>
  <c r="Y12" i="39"/>
  <c r="AN12" i="39" s="1"/>
  <c r="Z47" i="39"/>
  <c r="X47" i="39"/>
  <c r="Y47" i="39" s="1"/>
  <c r="X136" i="39"/>
  <c r="Y136" i="39" s="1"/>
  <c r="Z136" i="39"/>
  <c r="J35" i="81"/>
  <c r="Z55" i="39"/>
  <c r="X55" i="39"/>
  <c r="Y55" i="39" s="1"/>
  <c r="H26" i="81"/>
  <c r="AI96" i="39"/>
  <c r="Z33" i="39"/>
  <c r="X33" i="39"/>
  <c r="Y33" i="39" s="1"/>
  <c r="AN33" i="39" s="1"/>
  <c r="AN114" i="39"/>
  <c r="Z130" i="39"/>
  <c r="X130" i="39"/>
  <c r="Y130" i="39" s="1"/>
  <c r="X150" i="39"/>
  <c r="Y150" i="39" s="1"/>
  <c r="Z150" i="39"/>
  <c r="J47" i="81"/>
  <c r="H15" i="81"/>
  <c r="AN11" i="39"/>
  <c r="AN107" i="39"/>
  <c r="I71" i="116"/>
  <c r="AA98" i="39"/>
  <c r="Z139" i="39"/>
  <c r="X139" i="39"/>
  <c r="Y139" i="39" s="1"/>
  <c r="I45" i="116"/>
  <c r="AI99" i="39"/>
  <c r="AF96" i="39"/>
  <c r="J33" i="81"/>
  <c r="X67" i="39"/>
  <c r="Y67" i="39" s="1"/>
  <c r="Z67" i="39"/>
  <c r="Z32" i="39"/>
  <c r="X32" i="39"/>
  <c r="Y32" i="39" s="1"/>
  <c r="X24" i="39"/>
  <c r="Y24" i="39" s="1"/>
  <c r="Z24" i="39"/>
  <c r="H38" i="81"/>
  <c r="X143" i="39"/>
  <c r="Z143" i="39" s="1"/>
  <c r="Y143" i="39"/>
  <c r="H60" i="81"/>
  <c r="J61" i="81"/>
  <c r="AB98" i="39"/>
  <c r="I61" i="116"/>
  <c r="J69" i="81"/>
  <c r="X40" i="39"/>
  <c r="Y40" i="39" s="1"/>
  <c r="Z40" i="39"/>
  <c r="X142" i="39"/>
  <c r="Y142" i="39" s="1"/>
  <c r="Z142" i="39"/>
  <c r="X151" i="39"/>
  <c r="Z151" i="39" s="1"/>
  <c r="Y151" i="39"/>
  <c r="AB96" i="39"/>
  <c r="X101" i="39"/>
  <c r="Y101" i="39" s="1"/>
  <c r="Z101" i="39"/>
  <c r="Y74" i="39"/>
  <c r="X74" i="39"/>
  <c r="Z74" i="39" s="1"/>
  <c r="AJ108" i="39"/>
  <c r="X46" i="39"/>
  <c r="Y46" i="39" s="1"/>
  <c r="Z46" i="39"/>
  <c r="AM46" i="39" s="1"/>
  <c r="AI109" i="39"/>
  <c r="X34" i="39"/>
  <c r="Y34" i="39" s="1"/>
  <c r="Z34" i="39"/>
  <c r="H43" i="81"/>
  <c r="J31" i="81"/>
  <c r="H67" i="81"/>
  <c r="AN97" i="39"/>
  <c r="H17" i="81"/>
  <c r="AE93" i="39"/>
  <c r="X49" i="39"/>
  <c r="Y49" i="39" s="1"/>
  <c r="Z49" i="39"/>
  <c r="H56" i="81"/>
  <c r="X70" i="39"/>
  <c r="Y70" i="39" s="1"/>
  <c r="Z70" i="39"/>
  <c r="H24" i="81"/>
  <c r="AF99" i="39"/>
  <c r="Z120" i="39"/>
  <c r="X120" i="39"/>
  <c r="Y120" i="39" s="1"/>
  <c r="Y88" i="39"/>
  <c r="Z111" i="39"/>
  <c r="AB111" i="39" s="1"/>
  <c r="X131" i="39"/>
  <c r="Z131" i="39" s="1"/>
  <c r="Y131" i="39"/>
  <c r="AN110" i="39"/>
  <c r="Z39" i="39"/>
  <c r="X39" i="39"/>
  <c r="Y39" i="39" s="1"/>
  <c r="X43" i="39"/>
  <c r="Y43" i="39" s="1"/>
  <c r="Z43" i="39"/>
  <c r="AL43" i="39" s="1"/>
  <c r="Z124" i="39"/>
  <c r="X124" i="39"/>
  <c r="Y124" i="39" s="1"/>
  <c r="J71" i="81"/>
  <c r="Z65" i="39"/>
  <c r="X65" i="39"/>
  <c r="Y65" i="39" s="1"/>
  <c r="J39" i="81"/>
  <c r="H64" i="81"/>
  <c r="AN60" i="39"/>
  <c r="I52" i="116"/>
  <c r="AD17" i="39"/>
  <c r="AN104" i="39"/>
  <c r="H58" i="81"/>
  <c r="AN54" i="39"/>
  <c r="J34" i="81"/>
  <c r="X128" i="39"/>
  <c r="Y128" i="39" s="1"/>
  <c r="Z128" i="39"/>
  <c r="X102" i="39"/>
  <c r="Y102" i="39" s="1"/>
  <c r="Z102" i="39"/>
  <c r="J52" i="81"/>
  <c r="Z133" i="39"/>
  <c r="X133" i="39"/>
  <c r="Y133" i="39" s="1"/>
  <c r="H55" i="81"/>
  <c r="Z121" i="39"/>
  <c r="X121" i="39"/>
  <c r="Y121" i="39" s="1"/>
  <c r="J76" i="81"/>
  <c r="J67" i="81"/>
  <c r="H28" i="81"/>
  <c r="AN24" i="39"/>
  <c r="I48" i="116"/>
  <c r="H23" i="81"/>
  <c r="AN19" i="39"/>
  <c r="Z57" i="39"/>
  <c r="X57" i="39"/>
  <c r="Y57" i="39" s="1"/>
  <c r="Z118" i="39"/>
  <c r="X118" i="39"/>
  <c r="Y118" i="39" s="1"/>
  <c r="AA114" i="39"/>
  <c r="AA91" i="39"/>
  <c r="AE114" i="39"/>
  <c r="AI98" i="39"/>
  <c r="AD98" i="39"/>
  <c r="AD108" i="39"/>
  <c r="AG99" i="39"/>
  <c r="I54" i="116"/>
  <c r="AA127" i="39"/>
  <c r="AG108" i="39"/>
  <c r="X62" i="39"/>
  <c r="Y62" i="39" s="1"/>
  <c r="Z62" i="39"/>
  <c r="AE96" i="39"/>
  <c r="J53" i="81"/>
  <c r="X149" i="39"/>
  <c r="Y149" i="39" s="1"/>
  <c r="Z149" i="39"/>
  <c r="Z52" i="39"/>
  <c r="X52" i="39"/>
  <c r="Y52" i="39" s="1"/>
  <c r="AB89" i="39"/>
  <c r="AN89" i="39"/>
  <c r="H63" i="81"/>
  <c r="AG112" i="39"/>
  <c r="AG89" i="39"/>
  <c r="H35" i="81"/>
  <c r="Z22" i="39"/>
  <c r="AN22" i="39" s="1"/>
  <c r="Z30" i="39"/>
  <c r="X30" i="39"/>
  <c r="Y30" i="39" s="1"/>
  <c r="AN30" i="39" s="1"/>
  <c r="H32" i="81"/>
  <c r="AN28" i="39"/>
  <c r="Z58" i="39"/>
  <c r="X58" i="39"/>
  <c r="Y58" i="39" s="1"/>
  <c r="I65" i="116"/>
  <c r="AD99" i="39"/>
  <c r="AA93" i="39"/>
  <c r="AD16" i="39"/>
  <c r="AF109" i="39"/>
  <c r="X23" i="39"/>
  <c r="Y23" i="39" s="1"/>
  <c r="AA23" i="39" s="1"/>
  <c r="Z23" i="39"/>
  <c r="H53" i="81"/>
  <c r="H79" i="81"/>
  <c r="AN75" i="39"/>
  <c r="X31" i="39"/>
  <c r="Y31" i="39" s="1"/>
  <c r="Z31" i="39"/>
  <c r="AG107" i="39"/>
  <c r="Z20" i="39"/>
  <c r="AB20" i="39" s="1"/>
  <c r="Z15" i="39"/>
  <c r="AD15" i="39" s="1"/>
  <c r="X38" i="39"/>
  <c r="Y38" i="39" s="1"/>
  <c r="Z38" i="39"/>
  <c r="J44" i="81"/>
  <c r="AM89" i="39"/>
  <c r="Z141" i="39"/>
  <c r="X141" i="39"/>
  <c r="Y141" i="39" s="1"/>
  <c r="H74" i="81"/>
  <c r="X41" i="39"/>
  <c r="Y41" i="39" s="1"/>
  <c r="Z41" i="39"/>
  <c r="AB92" i="39"/>
  <c r="AG97" i="39"/>
  <c r="AA17" i="39"/>
  <c r="Y13" i="39"/>
  <c r="I30" i="116"/>
  <c r="I57" i="116"/>
  <c r="AN105" i="39"/>
  <c r="X100" i="39"/>
  <c r="Y100" i="39" s="1"/>
  <c r="Z100" i="39"/>
  <c r="H16" i="81"/>
  <c r="J51" i="81"/>
  <c r="Z35" i="39"/>
  <c r="X35" i="39"/>
  <c r="Y35" i="39" s="1"/>
  <c r="J28" i="81"/>
  <c r="AA24" i="39"/>
  <c r="H42" i="81"/>
  <c r="X122" i="39"/>
  <c r="Y122" i="39" s="1"/>
  <c r="Z122" i="39"/>
  <c r="AE99" i="39"/>
  <c r="AB90" i="39"/>
  <c r="J30" i="81"/>
  <c r="AA26" i="39"/>
  <c r="J46" i="81"/>
  <c r="AG93" i="39"/>
  <c r="AB114" i="39"/>
  <c r="X29" i="39"/>
  <c r="Y29" i="39" s="1"/>
  <c r="Z29" i="39"/>
  <c r="I79" i="116"/>
  <c r="Z56" i="39"/>
  <c r="X56" i="39"/>
  <c r="Y56" i="39" s="1"/>
  <c r="AB94" i="39"/>
  <c r="AE98" i="39"/>
  <c r="AE108" i="39"/>
  <c r="AD14" i="39"/>
  <c r="H40" i="81"/>
  <c r="AN36" i="39"/>
  <c r="AD97" i="39"/>
  <c r="H59" i="81"/>
  <c r="AF91" i="39"/>
  <c r="AG94" i="39"/>
  <c r="AA96" i="39"/>
  <c r="Y66" i="39"/>
  <c r="X66" i="39"/>
  <c r="Z66" i="39" s="1"/>
  <c r="Y71" i="39"/>
  <c r="X71" i="39"/>
  <c r="Z71" i="39" s="1"/>
  <c r="H30" i="81"/>
  <c r="AN26" i="39"/>
  <c r="AN108" i="39"/>
  <c r="H33" i="81"/>
  <c r="J68" i="81"/>
  <c r="AB19" i="39"/>
  <c r="AB99" i="39"/>
  <c r="J41" i="81"/>
  <c r="H25" i="81"/>
  <c r="X69" i="39"/>
  <c r="Z69" i="39" s="1"/>
  <c r="Y69" i="39"/>
  <c r="J65" i="81"/>
  <c r="H27" i="81"/>
  <c r="H48" i="81"/>
  <c r="Z37" i="39"/>
  <c r="X37" i="39"/>
  <c r="Y37" i="39" s="1"/>
  <c r="AN37" i="39" s="1"/>
  <c r="X145" i="39"/>
  <c r="Y145" i="39" s="1"/>
  <c r="Z145" i="39"/>
  <c r="X51" i="39"/>
  <c r="Y51" i="39" s="1"/>
  <c r="Z51" i="39"/>
  <c r="X126" i="39"/>
  <c r="Y126" i="39" s="1"/>
  <c r="Z126" i="39"/>
  <c r="X135" i="39"/>
  <c r="Y135" i="39" s="1"/>
  <c r="Z135" i="39"/>
  <c r="H52" i="81"/>
  <c r="X25" i="39"/>
  <c r="Y25" i="39" s="1"/>
  <c r="Z25" i="39"/>
  <c r="Z42" i="39"/>
  <c r="X42" i="39"/>
  <c r="Y42" i="39" s="1"/>
  <c r="AN42" i="39" s="1"/>
  <c r="AB17" i="39"/>
  <c r="I68" i="116"/>
  <c r="AA141" i="39"/>
  <c r="I63" i="116"/>
  <c r="AN53" i="39" l="1"/>
  <c r="AA152" i="39"/>
  <c r="AN31" i="39"/>
  <c r="AN65" i="39"/>
  <c r="AF93" i="39"/>
  <c r="AA60" i="39"/>
  <c r="AA123" i="39"/>
  <c r="AA125" i="39"/>
  <c r="AA42" i="39"/>
  <c r="AN38" i="39"/>
  <c r="AA104" i="39"/>
  <c r="AA61" i="39"/>
  <c r="AA36" i="39"/>
  <c r="AA22" i="39"/>
  <c r="AN29" i="39"/>
  <c r="AA128" i="39"/>
  <c r="AA49" i="39"/>
  <c r="AA40" i="39"/>
  <c r="AG98" i="39"/>
  <c r="AE15" i="39"/>
  <c r="AA144" i="39"/>
  <c r="AA72" i="39"/>
  <c r="AA65" i="39"/>
  <c r="AA134" i="39"/>
  <c r="AA147" i="39"/>
  <c r="AN23" i="39"/>
  <c r="AN69" i="39"/>
  <c r="AA118" i="39"/>
  <c r="AA20" i="39"/>
  <c r="AN99" i="39"/>
  <c r="AN41" i="39"/>
  <c r="AA58" i="39"/>
  <c r="AA64" i="39"/>
  <c r="AA75" i="39"/>
  <c r="AE19" i="39"/>
  <c r="AD19" i="39"/>
  <c r="AA19" i="39"/>
  <c r="AA138" i="39"/>
  <c r="AA121" i="39"/>
  <c r="AA130" i="39"/>
  <c r="AA55" i="39"/>
  <c r="AN61" i="39"/>
  <c r="AA140" i="39"/>
  <c r="AA145" i="39"/>
  <c r="AF92" i="39"/>
  <c r="AN34" i="39"/>
  <c r="AN55" i="39"/>
  <c r="AN45" i="39"/>
  <c r="AN113" i="39"/>
  <c r="AN56" i="39"/>
  <c r="AA122" i="39"/>
  <c r="AA41" i="39"/>
  <c r="AN49" i="39"/>
  <c r="AN57" i="39"/>
  <c r="AN64" i="39"/>
  <c r="AG109" i="39"/>
  <c r="AN17" i="39"/>
  <c r="AE17" i="39"/>
  <c r="AD92" i="39"/>
  <c r="AA18" i="39"/>
  <c r="AD109" i="39"/>
  <c r="AF89" i="39"/>
  <c r="AE89" i="39"/>
  <c r="AD89" i="39"/>
  <c r="AA89" i="39"/>
  <c r="AN112" i="39"/>
  <c r="AE112" i="39"/>
  <c r="AA112" i="39"/>
  <c r="AL90" i="39"/>
  <c r="AD90" i="39"/>
  <c r="AA126" i="39"/>
  <c r="AE90" i="39"/>
  <c r="AB93" i="39"/>
  <c r="AN92" i="39"/>
  <c r="AN52" i="39"/>
  <c r="AA124" i="39"/>
  <c r="AA70" i="39"/>
  <c r="AN32" i="39"/>
  <c r="AB107" i="39"/>
  <c r="AE104" i="39"/>
  <c r="AF112" i="39"/>
  <c r="AK18" i="39"/>
  <c r="AE18" i="39"/>
  <c r="AB18" i="39"/>
  <c r="AG113" i="39"/>
  <c r="AA92" i="39"/>
  <c r="AN48" i="39"/>
  <c r="AA105" i="39"/>
  <c r="AG105" i="39"/>
  <c r="AI105" i="39"/>
  <c r="AB113" i="39"/>
  <c r="AD18" i="39"/>
  <c r="AA45" i="39"/>
  <c r="AA37" i="39"/>
  <c r="AA29" i="39"/>
  <c r="AN90" i="39"/>
  <c r="AA100" i="39"/>
  <c r="AK92" i="39"/>
  <c r="AM93" i="39"/>
  <c r="AN74" i="39"/>
  <c r="AA67" i="39"/>
  <c r="AN15" i="39"/>
  <c r="AN93" i="39"/>
  <c r="AB16" i="39"/>
  <c r="AE16" i="39"/>
  <c r="AA16" i="39"/>
  <c r="AL16" i="39"/>
  <c r="AI112" i="39"/>
  <c r="AE92" i="39"/>
  <c r="AA25" i="39"/>
  <c r="AK25" i="39"/>
  <c r="AD25" i="39"/>
  <c r="AB25" i="39"/>
  <c r="AE25" i="39"/>
  <c r="AA71" i="39"/>
  <c r="AE71" i="39"/>
  <c r="AI71" i="39"/>
  <c r="AD71" i="39"/>
  <c r="AB71" i="39"/>
  <c r="AN35" i="39"/>
  <c r="AB35" i="39"/>
  <c r="AI35" i="39"/>
  <c r="AE35" i="39"/>
  <c r="AD35" i="39"/>
  <c r="AB62" i="39"/>
  <c r="AD62" i="39"/>
  <c r="AE62" i="39"/>
  <c r="AI62" i="39"/>
  <c r="AN136" i="39"/>
  <c r="AF136" i="39"/>
  <c r="AB136" i="39"/>
  <c r="AI136" i="39"/>
  <c r="AG136" i="39"/>
  <c r="AE136" i="39"/>
  <c r="AD136" i="39"/>
  <c r="AA44" i="39"/>
  <c r="AE44" i="39"/>
  <c r="AI44" i="39"/>
  <c r="AD44" i="39"/>
  <c r="AB44" i="39"/>
  <c r="AE31" i="39"/>
  <c r="AD31" i="39"/>
  <c r="AI31" i="39"/>
  <c r="AB31" i="39"/>
  <c r="AN121" i="39"/>
  <c r="AF121" i="39"/>
  <c r="AB121" i="39"/>
  <c r="AE121" i="39"/>
  <c r="AG121" i="39"/>
  <c r="AI121" i="39"/>
  <c r="AD121" i="39"/>
  <c r="AE43" i="39"/>
  <c r="AI43" i="39"/>
  <c r="AB43" i="39"/>
  <c r="AD43" i="39"/>
  <c r="AN120" i="39"/>
  <c r="AF120" i="39"/>
  <c r="AG120" i="39"/>
  <c r="AJ120" i="39"/>
  <c r="AD120" i="39"/>
  <c r="AB120" i="39"/>
  <c r="AE120" i="39"/>
  <c r="AN143" i="39"/>
  <c r="AD143" i="39"/>
  <c r="AB143" i="39"/>
  <c r="AK143" i="39"/>
  <c r="AE143" i="39"/>
  <c r="AF143" i="39"/>
  <c r="AA143" i="39"/>
  <c r="AG143" i="39"/>
  <c r="AA139" i="39"/>
  <c r="AN139" i="39"/>
  <c r="AD139" i="39"/>
  <c r="AI139" i="39"/>
  <c r="AE139" i="39"/>
  <c r="AB139" i="39"/>
  <c r="AG139" i="39"/>
  <c r="AF139" i="39"/>
  <c r="AA43" i="39"/>
  <c r="AA33" i="39"/>
  <c r="AD33" i="39"/>
  <c r="AE33" i="39"/>
  <c r="AB33" i="39"/>
  <c r="AK33" i="39"/>
  <c r="AB63" i="39"/>
  <c r="AI63" i="39"/>
  <c r="AD63" i="39"/>
  <c r="AE63" i="39"/>
  <c r="AN146" i="39"/>
  <c r="AA146" i="39"/>
  <c r="AG146" i="39"/>
  <c r="AD146" i="39"/>
  <c r="AE146" i="39"/>
  <c r="AF146" i="39"/>
  <c r="AB146" i="39"/>
  <c r="AI146" i="39"/>
  <c r="AN134" i="39"/>
  <c r="AD134" i="39"/>
  <c r="AG134" i="39"/>
  <c r="AF134" i="39"/>
  <c r="AI134" i="39"/>
  <c r="AE134" i="39"/>
  <c r="AB134" i="39"/>
  <c r="AN62" i="39"/>
  <c r="AG104" i="39"/>
  <c r="AN27" i="39"/>
  <c r="AD27" i="39"/>
  <c r="AK27" i="39"/>
  <c r="AE27" i="39"/>
  <c r="AB27" i="39"/>
  <c r="AE113" i="39"/>
  <c r="AF113" i="39"/>
  <c r="AN127" i="39"/>
  <c r="AF127" i="39"/>
  <c r="AJ127" i="39"/>
  <c r="AD127" i="39"/>
  <c r="AB127" i="39"/>
  <c r="AG127" i="39"/>
  <c r="AE127" i="39"/>
  <c r="AE107" i="39"/>
  <c r="AN140" i="39"/>
  <c r="AI140" i="39"/>
  <c r="AB140" i="39"/>
  <c r="AD140" i="39"/>
  <c r="AE140" i="39"/>
  <c r="AG140" i="39"/>
  <c r="AF140" i="39"/>
  <c r="AB22" i="39"/>
  <c r="AA51" i="39"/>
  <c r="AE51" i="39"/>
  <c r="AB51" i="39"/>
  <c r="AK51" i="39"/>
  <c r="AD51" i="39"/>
  <c r="AN58" i="39"/>
  <c r="AI58" i="39"/>
  <c r="AE58" i="39"/>
  <c r="AB58" i="39"/>
  <c r="AD58" i="39"/>
  <c r="AE111" i="39"/>
  <c r="AI111" i="39"/>
  <c r="AA35" i="39"/>
  <c r="AG101" i="39"/>
  <c r="AN101" i="39"/>
  <c r="AF101" i="39"/>
  <c r="AD101" i="39"/>
  <c r="AJ101" i="39"/>
  <c r="AB101" i="39"/>
  <c r="AE101" i="39"/>
  <c r="AN47" i="39"/>
  <c r="AD47" i="39"/>
  <c r="AB47" i="39"/>
  <c r="AE47" i="39"/>
  <c r="AI47" i="39"/>
  <c r="AB50" i="39"/>
  <c r="AK50" i="39"/>
  <c r="AE50" i="39"/>
  <c r="AD50" i="39"/>
  <c r="AA129" i="39"/>
  <c r="AN129" i="39"/>
  <c r="AK129" i="39"/>
  <c r="AF129" i="39"/>
  <c r="AE129" i="39"/>
  <c r="AD129" i="39"/>
  <c r="AG129" i="39"/>
  <c r="AB129" i="39"/>
  <c r="AA59" i="39"/>
  <c r="AI59" i="39"/>
  <c r="AB59" i="39"/>
  <c r="AE59" i="39"/>
  <c r="AD59" i="39"/>
  <c r="AN111" i="39"/>
  <c r="AD41" i="39"/>
  <c r="AB41" i="39"/>
  <c r="AI41" i="39"/>
  <c r="AE41" i="39"/>
  <c r="AN149" i="39"/>
  <c r="AG149" i="39"/>
  <c r="AE149" i="39"/>
  <c r="AD149" i="39"/>
  <c r="AF149" i="39"/>
  <c r="AB149" i="39"/>
  <c r="AJ149" i="39"/>
  <c r="AN102" i="39"/>
  <c r="AF102" i="39"/>
  <c r="AE102" i="39"/>
  <c r="AD102" i="39"/>
  <c r="AJ102" i="39"/>
  <c r="AG102" i="39"/>
  <c r="AB102" i="39"/>
  <c r="AK21" i="39"/>
  <c r="AB65" i="39"/>
  <c r="AK65" i="39"/>
  <c r="AD65" i="39"/>
  <c r="AE65" i="39"/>
  <c r="AE39" i="39"/>
  <c r="AD39" i="39"/>
  <c r="AB39" i="39"/>
  <c r="AK39" i="39"/>
  <c r="AN151" i="39"/>
  <c r="AB151" i="39"/>
  <c r="AG151" i="39"/>
  <c r="AE151" i="39"/>
  <c r="AM151" i="39"/>
  <c r="AF151" i="39"/>
  <c r="AD151" i="39"/>
  <c r="AA151" i="39"/>
  <c r="AD67" i="39"/>
  <c r="AI67" i="39"/>
  <c r="AB67" i="39"/>
  <c r="AE67" i="39"/>
  <c r="AD20" i="39"/>
  <c r="AL12" i="39"/>
  <c r="AE12" i="39"/>
  <c r="AB12" i="39"/>
  <c r="AA12" i="39"/>
  <c r="AD12" i="39"/>
  <c r="AA109" i="39"/>
  <c r="AB109" i="39"/>
  <c r="AN43" i="39"/>
  <c r="AB28" i="39"/>
  <c r="AE28" i="39"/>
  <c r="AK28" i="39"/>
  <c r="AD28" i="39"/>
  <c r="AI36" i="39"/>
  <c r="AD36" i="39"/>
  <c r="AB36" i="39"/>
  <c r="AE36" i="39"/>
  <c r="AN103" i="39"/>
  <c r="AG103" i="39"/>
  <c r="AE103" i="39"/>
  <c r="AF103" i="39"/>
  <c r="AB103" i="39"/>
  <c r="AI103" i="39"/>
  <c r="AD103" i="39"/>
  <c r="AN67" i="39"/>
  <c r="AF105" i="39"/>
  <c r="AN132" i="39"/>
  <c r="AE132" i="39"/>
  <c r="AD132" i="39"/>
  <c r="AG132" i="39"/>
  <c r="AF132" i="39"/>
  <c r="AB132" i="39"/>
  <c r="AI132" i="39"/>
  <c r="AA120" i="39"/>
  <c r="AE75" i="39"/>
  <c r="AJ75" i="39"/>
  <c r="AB75" i="39"/>
  <c r="AD75" i="39"/>
  <c r="AE109" i="39"/>
  <c r="AA50" i="39"/>
  <c r="AE70" i="39"/>
  <c r="AD70" i="39"/>
  <c r="AI70" i="39"/>
  <c r="AB70" i="39"/>
  <c r="AN135" i="39"/>
  <c r="AE135" i="39"/>
  <c r="AG135" i="39"/>
  <c r="AB135" i="39"/>
  <c r="AI135" i="39"/>
  <c r="AF135" i="39"/>
  <c r="AD135" i="39"/>
  <c r="AA69" i="39"/>
  <c r="AD69" i="39"/>
  <c r="AM69" i="39"/>
  <c r="AE69" i="39"/>
  <c r="AB69" i="39"/>
  <c r="AN70" i="39"/>
  <c r="AN59" i="39"/>
  <c r="AN118" i="39"/>
  <c r="AJ118" i="39"/>
  <c r="AE118" i="39"/>
  <c r="AF118" i="39"/>
  <c r="AB118" i="39"/>
  <c r="AD118" i="39"/>
  <c r="AG118" i="39"/>
  <c r="AN51" i="39"/>
  <c r="AE20" i="39"/>
  <c r="AD46" i="39"/>
  <c r="AE46" i="39"/>
  <c r="AI46" i="39"/>
  <c r="AB46" i="39"/>
  <c r="AA31" i="39"/>
  <c r="AB68" i="39"/>
  <c r="AD68" i="39"/>
  <c r="AE68" i="39"/>
  <c r="AI68" i="39"/>
  <c r="AE21" i="39"/>
  <c r="AA15" i="39"/>
  <c r="AN68" i="39"/>
  <c r="AB26" i="39"/>
  <c r="AD26" i="39"/>
  <c r="AE26" i="39"/>
  <c r="AI26" i="39"/>
  <c r="AF107" i="39"/>
  <c r="AD60" i="39"/>
  <c r="AE60" i="39"/>
  <c r="AB60" i="39"/>
  <c r="AI60" i="39"/>
  <c r="AG111" i="39"/>
  <c r="AD53" i="39"/>
  <c r="AI53" i="39"/>
  <c r="AB53" i="39"/>
  <c r="AE53" i="39"/>
  <c r="AA132" i="39"/>
  <c r="AA52" i="39"/>
  <c r="AE52" i="39"/>
  <c r="AK52" i="39"/>
  <c r="AB52" i="39"/>
  <c r="AD52" i="39"/>
  <c r="AE40" i="39"/>
  <c r="AD40" i="39"/>
  <c r="AB40" i="39"/>
  <c r="AI40" i="39"/>
  <c r="AA137" i="39"/>
  <c r="AN137" i="39"/>
  <c r="AG137" i="39"/>
  <c r="AD137" i="39"/>
  <c r="AB137" i="39"/>
  <c r="AE137" i="39"/>
  <c r="AJ137" i="39"/>
  <c r="AF137" i="39"/>
  <c r="AN115" i="39"/>
  <c r="AD115" i="39"/>
  <c r="AB115" i="39"/>
  <c r="AI115" i="39"/>
  <c r="AF115" i="39"/>
  <c r="AG115" i="39"/>
  <c r="AE115" i="39"/>
  <c r="AI34" i="39"/>
  <c r="AD34" i="39"/>
  <c r="AB34" i="39"/>
  <c r="AE34" i="39"/>
  <c r="AN152" i="39"/>
  <c r="AB152" i="39"/>
  <c r="AE152" i="39"/>
  <c r="AD152" i="39"/>
  <c r="AK152" i="39"/>
  <c r="AF152" i="39"/>
  <c r="AG152" i="39"/>
  <c r="AK37" i="39"/>
  <c r="AB37" i="39"/>
  <c r="AE37" i="39"/>
  <c r="AD37" i="39"/>
  <c r="AD21" i="39"/>
  <c r="AD42" i="39"/>
  <c r="AE42" i="39"/>
  <c r="AB42" i="39"/>
  <c r="AK42" i="39"/>
  <c r="AI29" i="39"/>
  <c r="AE29" i="39"/>
  <c r="AB29" i="39"/>
  <c r="AD29" i="39"/>
  <c r="AE13" i="39"/>
  <c r="AM13" i="39"/>
  <c r="AB13" i="39"/>
  <c r="AD13" i="39"/>
  <c r="AA13" i="39"/>
  <c r="AA38" i="39"/>
  <c r="AD38" i="39"/>
  <c r="AE38" i="39"/>
  <c r="AI38" i="39"/>
  <c r="AB38" i="39"/>
  <c r="AB30" i="39"/>
  <c r="AD30" i="39"/>
  <c r="AK30" i="39"/>
  <c r="AE30" i="39"/>
  <c r="AN128" i="39"/>
  <c r="AJ128" i="39"/>
  <c r="AE128" i="39"/>
  <c r="AG128" i="39"/>
  <c r="AD128" i="39"/>
  <c r="AF128" i="39"/>
  <c r="AB128" i="39"/>
  <c r="AE49" i="39"/>
  <c r="AD49" i="39"/>
  <c r="AI49" i="39"/>
  <c r="AB49" i="39"/>
  <c r="AA142" i="39"/>
  <c r="AN150" i="39"/>
  <c r="AD150" i="39"/>
  <c r="AK150" i="39"/>
  <c r="AB150" i="39"/>
  <c r="AE150" i="39"/>
  <c r="AG150" i="39"/>
  <c r="AF150" i="39"/>
  <c r="AA101" i="39"/>
  <c r="AA46" i="39"/>
  <c r="AJ104" i="39"/>
  <c r="AA39" i="39"/>
  <c r="AN117" i="39"/>
  <c r="AG117" i="39"/>
  <c r="AE117" i="39"/>
  <c r="AB117" i="39"/>
  <c r="AD117" i="39"/>
  <c r="AF117" i="39"/>
  <c r="AI117" i="39"/>
  <c r="AD111" i="39"/>
  <c r="AN25" i="39"/>
  <c r="AI61" i="39"/>
  <c r="AD61" i="39"/>
  <c r="AB61" i="39"/>
  <c r="AE61" i="39"/>
  <c r="AA117" i="39"/>
  <c r="AA111" i="39"/>
  <c r="AB105" i="39"/>
  <c r="AB104" i="39"/>
  <c r="AB21" i="39"/>
  <c r="AA56" i="39"/>
  <c r="AB56" i="39"/>
  <c r="AD56" i="39"/>
  <c r="AE56" i="39"/>
  <c r="AI56" i="39"/>
  <c r="AN88" i="39"/>
  <c r="AD88" i="39"/>
  <c r="AB88" i="39"/>
  <c r="AG88" i="39"/>
  <c r="AF88" i="39"/>
  <c r="AA88" i="39"/>
  <c r="AE88" i="39"/>
  <c r="AM88" i="39"/>
  <c r="AE64" i="39"/>
  <c r="AK64" i="39"/>
  <c r="AB64" i="39"/>
  <c r="AD64" i="39"/>
  <c r="AN145" i="39"/>
  <c r="AG145" i="39"/>
  <c r="AF145" i="39"/>
  <c r="AD145" i="39"/>
  <c r="AE145" i="39"/>
  <c r="AB145" i="39"/>
  <c r="AI145" i="39"/>
  <c r="AN66" i="39"/>
  <c r="AK66" i="39"/>
  <c r="AD66" i="39"/>
  <c r="AE66" i="39"/>
  <c r="AA66" i="39"/>
  <c r="AB66" i="39"/>
  <c r="AA47" i="39"/>
  <c r="AN126" i="39"/>
  <c r="AG126" i="39"/>
  <c r="AB126" i="39"/>
  <c r="AD126" i="39"/>
  <c r="AF126" i="39"/>
  <c r="AE126" i="39"/>
  <c r="AI126" i="39"/>
  <c r="AN44" i="39"/>
  <c r="AN21" i="39"/>
  <c r="AN141" i="39"/>
  <c r="AB141" i="39"/>
  <c r="AI141" i="39"/>
  <c r="AE141" i="39"/>
  <c r="AF141" i="39"/>
  <c r="AD141" i="39"/>
  <c r="AG141" i="39"/>
  <c r="AB15" i="39"/>
  <c r="AK15" i="39"/>
  <c r="AD57" i="39"/>
  <c r="AE57" i="39"/>
  <c r="AB57" i="39"/>
  <c r="AI57" i="39"/>
  <c r="AA63" i="39"/>
  <c r="AA133" i="39"/>
  <c r="AN133" i="39"/>
  <c r="AB133" i="39"/>
  <c r="AF133" i="39"/>
  <c r="AG133" i="39"/>
  <c r="AI133" i="39"/>
  <c r="AD133" i="39"/>
  <c r="AE133" i="39"/>
  <c r="AA30" i="39"/>
  <c r="AN131" i="39"/>
  <c r="AE131" i="39"/>
  <c r="AB131" i="39"/>
  <c r="AG131" i="39"/>
  <c r="AF131" i="39"/>
  <c r="AJ131" i="39"/>
  <c r="AA131" i="39"/>
  <c r="AD131" i="39"/>
  <c r="AN39" i="39"/>
  <c r="AN142" i="39"/>
  <c r="AG142" i="39"/>
  <c r="AB142" i="39"/>
  <c r="AE142" i="39"/>
  <c r="AF142" i="39"/>
  <c r="AI142" i="39"/>
  <c r="AD142" i="39"/>
  <c r="AA57" i="39"/>
  <c r="AN130" i="39"/>
  <c r="AB130" i="39"/>
  <c r="AI130" i="39"/>
  <c r="AD130" i="39"/>
  <c r="AF130" i="39"/>
  <c r="AE130" i="39"/>
  <c r="AG130" i="39"/>
  <c r="AF104" i="39"/>
  <c r="AA135" i="39"/>
  <c r="AN123" i="39"/>
  <c r="AJ123" i="39"/>
  <c r="AF123" i="39"/>
  <c r="AB123" i="39"/>
  <c r="AD123" i="39"/>
  <c r="AE123" i="39"/>
  <c r="AG123" i="39"/>
  <c r="AA116" i="39"/>
  <c r="AN116" i="39"/>
  <c r="AF116" i="39"/>
  <c r="AD116" i="39"/>
  <c r="AE116" i="39"/>
  <c r="AI116" i="39"/>
  <c r="AB116" i="39"/>
  <c r="AG116" i="39"/>
  <c r="AA102" i="39"/>
  <c r="AN138" i="39"/>
  <c r="AB138" i="39"/>
  <c r="AG138" i="39"/>
  <c r="AD138" i="39"/>
  <c r="AJ138" i="39"/>
  <c r="AE138" i="39"/>
  <c r="AF138" i="39"/>
  <c r="AA107" i="39"/>
  <c r="AA54" i="39"/>
  <c r="AK54" i="39"/>
  <c r="AD54" i="39"/>
  <c r="AB54" i="39"/>
  <c r="AE54" i="39"/>
  <c r="AN147" i="39"/>
  <c r="AE147" i="39"/>
  <c r="AB147" i="39"/>
  <c r="AD147" i="39"/>
  <c r="AI147" i="39"/>
  <c r="AF147" i="39"/>
  <c r="AG147" i="39"/>
  <c r="AA34" i="39"/>
  <c r="AA73" i="39"/>
  <c r="AD73" i="39"/>
  <c r="AB73" i="39"/>
  <c r="AJ73" i="39"/>
  <c r="AE73" i="39"/>
  <c r="AJ107" i="39"/>
  <c r="AD23" i="39"/>
  <c r="AB23" i="39"/>
  <c r="AI23" i="39"/>
  <c r="AE23" i="39"/>
  <c r="AA32" i="39"/>
  <c r="AI32" i="39"/>
  <c r="AE32" i="39"/>
  <c r="AD32" i="39"/>
  <c r="AB32" i="39"/>
  <c r="AN125" i="39"/>
  <c r="AG125" i="39"/>
  <c r="AK125" i="39"/>
  <c r="AB125" i="39"/>
  <c r="AF125" i="39"/>
  <c r="AD125" i="39"/>
  <c r="AE125" i="39"/>
  <c r="AN122" i="39"/>
  <c r="AF122" i="39"/>
  <c r="AI122" i="39"/>
  <c r="AG122" i="39"/>
  <c r="AB122" i="39"/>
  <c r="AE122" i="39"/>
  <c r="AD122" i="39"/>
  <c r="AA136" i="39"/>
  <c r="AN71" i="39"/>
  <c r="AN100" i="39"/>
  <c r="AE100" i="39"/>
  <c r="AG100" i="39"/>
  <c r="AF100" i="39"/>
  <c r="AB100" i="39"/>
  <c r="AD100" i="39"/>
  <c r="AJ100" i="39"/>
  <c r="AE22" i="39"/>
  <c r="AK22" i="39"/>
  <c r="AN124" i="39"/>
  <c r="AE124" i="39"/>
  <c r="AI124" i="39"/>
  <c r="AB124" i="39"/>
  <c r="AG124" i="39"/>
  <c r="AF124" i="39"/>
  <c r="AD124" i="39"/>
  <c r="AN20" i="39"/>
  <c r="AN13" i="39"/>
  <c r="AA74" i="39"/>
  <c r="AB74" i="39"/>
  <c r="AD74" i="39"/>
  <c r="AE74" i="39"/>
  <c r="AL74" i="39"/>
  <c r="AK24" i="39"/>
  <c r="AB24" i="39"/>
  <c r="AE24" i="39"/>
  <c r="AD24" i="39"/>
  <c r="AD55" i="39"/>
  <c r="AB55" i="39"/>
  <c r="AE55" i="39"/>
  <c r="AK55" i="39"/>
  <c r="AD22" i="39"/>
  <c r="AA149" i="39"/>
  <c r="AA62" i="39"/>
  <c r="AN40" i="39"/>
  <c r="AN46" i="39"/>
  <c r="AN95" i="39"/>
  <c r="AE95" i="39"/>
  <c r="AB95" i="39"/>
  <c r="AI95" i="39"/>
  <c r="AG95" i="39"/>
  <c r="AF95" i="39"/>
  <c r="AD95" i="39"/>
  <c r="AA95" i="39"/>
  <c r="AB45" i="39"/>
  <c r="AE45" i="39"/>
  <c r="AD45" i="39"/>
  <c r="AK45" i="39"/>
  <c r="AN144" i="39"/>
  <c r="AE144" i="39"/>
  <c r="AF144" i="39"/>
  <c r="AB144" i="39"/>
  <c r="AI144" i="39"/>
  <c r="AD144" i="39"/>
  <c r="AG144" i="39"/>
  <c r="AA28" i="39"/>
  <c r="AA150" i="39"/>
  <c r="AN72" i="39"/>
  <c r="AK72" i="39"/>
  <c r="AB72" i="39"/>
  <c r="AE72" i="39"/>
  <c r="AD72" i="39"/>
  <c r="AD48" i="39"/>
  <c r="AB48" i="39"/>
  <c r="AI48" i="39"/>
  <c r="AE48" i="39"/>
  <c r="AD105" i="39"/>
  <c r="AN148" i="39"/>
  <c r="AG148" i="39"/>
  <c r="AE148" i="39"/>
  <c r="AI148" i="39"/>
  <c r="AF148" i="39"/>
  <c r="AA148" i="39"/>
  <c r="AD148" i="39"/>
  <c r="AB148" i="39"/>
  <c r="AF111" i="39"/>
  <c r="AI20" i="39"/>
</calcChain>
</file>

<file path=xl/sharedStrings.xml><?xml version="1.0" encoding="utf-8"?>
<sst xmlns="http://schemas.openxmlformats.org/spreadsheetml/2006/main" count="15210" uniqueCount="490">
  <si>
    <t>Indicator</t>
  </si>
  <si>
    <t>Statistical Significance</t>
  </si>
  <si>
    <t>Scale Minimum</t>
  </si>
  <si>
    <t>Scale Maximum</t>
  </si>
  <si>
    <t>Worst</t>
  </si>
  <si>
    <t>Best</t>
  </si>
  <si>
    <t>Worst scale</t>
  </si>
  <si>
    <t>Best scale</t>
  </si>
  <si>
    <t>Bottom quartile</t>
  </si>
  <si>
    <t>Top quartile</t>
  </si>
  <si>
    <t>Best or worst</t>
  </si>
  <si>
    <t>Best/Worst key</t>
  </si>
  <si>
    <t>Low value = Best</t>
  </si>
  <si>
    <t>High value = Best</t>
  </si>
  <si>
    <t>-</t>
  </si>
  <si>
    <t>Rescaled data For Scale Min (0) to Scale Max (1) With Aligned National Average (0.5) - Continous Bar</t>
  </si>
  <si>
    <t>Y-value</t>
  </si>
  <si>
    <t>Input</t>
  </si>
  <si>
    <t>Calc</t>
  </si>
  <si>
    <t>Practice Number</t>
  </si>
  <si>
    <t>Practice Statistic</t>
  </si>
  <si>
    <t>Practice 95% LCL</t>
  </si>
  <si>
    <t>Practice 95% UCL</t>
  </si>
  <si>
    <t>Locality Average</t>
  </si>
  <si>
    <t>Practice Code</t>
  </si>
  <si>
    <t>95% LCL</t>
  </si>
  <si>
    <t>95% UCL</t>
  </si>
  <si>
    <t>Minimum Practice</t>
  </si>
  <si>
    <t>Maximum Practice</t>
  </si>
  <si>
    <t>J82001</t>
  </si>
  <si>
    <t>J82002</t>
  </si>
  <si>
    <t>J82022</t>
  </si>
  <si>
    <t>J82024</t>
  </si>
  <si>
    <t>J82040</t>
  </si>
  <si>
    <t>J82062</t>
  </si>
  <si>
    <t>J82076</t>
  </si>
  <si>
    <t>J82080</t>
  </si>
  <si>
    <t>J82081</t>
  </si>
  <si>
    <t>J82087</t>
  </si>
  <si>
    <t>J82088</t>
  </si>
  <si>
    <t>J82092</t>
  </si>
  <si>
    <t>J82101</t>
  </si>
  <si>
    <t>J82115</t>
  </si>
  <si>
    <t>J82122</t>
  </si>
  <si>
    <t>J82126</t>
  </si>
  <si>
    <t>J82128</t>
  </si>
  <si>
    <t>J82141</t>
  </si>
  <si>
    <t>J82180</t>
  </si>
  <si>
    <t>J82183</t>
  </si>
  <si>
    <t>J82207</t>
  </si>
  <si>
    <t>J82208</t>
  </si>
  <si>
    <t>J82213</t>
  </si>
  <si>
    <t>J82605</t>
  </si>
  <si>
    <t>J82622</t>
  </si>
  <si>
    <t>J82663</t>
  </si>
  <si>
    <t>Burgess Road Surgery</t>
  </si>
  <si>
    <t>Lordshill Health Centre</t>
  </si>
  <si>
    <t>Victor Street Surgery</t>
  </si>
  <si>
    <t>West End Road Surgery</t>
  </si>
  <si>
    <t>Cheviot Road Surgery</t>
  </si>
  <si>
    <t>Woolston Lodge Surgery</t>
  </si>
  <si>
    <t>University Health Service</t>
  </si>
  <si>
    <t>Stoneham Lane Surgery</t>
  </si>
  <si>
    <t>Aldermoor Surgery</t>
  </si>
  <si>
    <t>Chessel Practice</t>
  </si>
  <si>
    <t>Atherley House Surgery</t>
  </si>
  <si>
    <t>Raymond Road Surgery</t>
  </si>
  <si>
    <t>Old Fire Station Surgery</t>
  </si>
  <si>
    <t>Bath Lodge Practice</t>
  </si>
  <si>
    <t>Townhill Surgery</t>
  </si>
  <si>
    <t>Hill Lane Surgery</t>
  </si>
  <si>
    <t>Brook House Surgery</t>
  </si>
  <si>
    <t>Walnut Tree Surgery</t>
  </si>
  <si>
    <t>Highfield Health</t>
  </si>
  <si>
    <t>Practice Name</t>
  </si>
  <si>
    <t>Practice Name2</t>
  </si>
  <si>
    <t>Practice Code:</t>
  </si>
  <si>
    <t>Locality</t>
  </si>
  <si>
    <t>Locality:</t>
  </si>
  <si>
    <t>N/A</t>
  </si>
  <si>
    <t>GP PRACTICES</t>
  </si>
  <si>
    <t>LOCALITIES</t>
  </si>
  <si>
    <t>Locality Value</t>
  </si>
  <si>
    <t>Locality Number</t>
  </si>
  <si>
    <t>Locality Statistic</t>
  </si>
  <si>
    <t>Locality 95% LCL</t>
  </si>
  <si>
    <t>Locality 95% UCL</t>
  </si>
  <si>
    <t>Reference</t>
  </si>
  <si>
    <t>J82022 - Victor Street Surgery</t>
  </si>
  <si>
    <t>Locality Name</t>
  </si>
  <si>
    <t>Cluster Name</t>
  </si>
  <si>
    <t>Practice Rank (high to low)</t>
  </si>
  <si>
    <t>CCG Average</t>
  </si>
  <si>
    <t>CCG Practice Minimum</t>
  </si>
  <si>
    <t>CCG 25th Percentile</t>
  </si>
  <si>
    <t>CCG 75th Percentile</t>
  </si>
  <si>
    <t>CCG Practice Maximum</t>
  </si>
  <si>
    <t>Comparator Average</t>
  </si>
  <si>
    <t>Practice Drop Down</t>
  </si>
  <si>
    <t>Comparator Drop Down</t>
  </si>
  <si>
    <t>Comparator</t>
  </si>
  <si>
    <t>Practice Locality</t>
  </si>
  <si>
    <t>J82001 - Burgess Road Surgery</t>
  </si>
  <si>
    <t>J82002 - Lordshill Health Centre</t>
  </si>
  <si>
    <t>J82040 - West End Road Surgery</t>
  </si>
  <si>
    <t>J82062 - Cheviot Road Surgery</t>
  </si>
  <si>
    <t>J82076 - Woolston Lodge Surgery</t>
  </si>
  <si>
    <t>J82080 - University Health Service</t>
  </si>
  <si>
    <t>J82087 - Stoneham Lane Surgery</t>
  </si>
  <si>
    <t>J82092 - Aldermoor Surgery</t>
  </si>
  <si>
    <t>J82101 - Chessel Practice</t>
  </si>
  <si>
    <t>J82115 - Atherley House Surgery</t>
  </si>
  <si>
    <t>J82126 - Raymond Road Surgery</t>
  </si>
  <si>
    <t>J82128 - Old Fire Station Surgery</t>
  </si>
  <si>
    <t>J82141 - Bath Lodge Practice</t>
  </si>
  <si>
    <t>J82180 - Townhill Surgery</t>
  </si>
  <si>
    <t>J82207 - Hill Lane Surgery</t>
  </si>
  <si>
    <t>J82213 - Brook House Surgery</t>
  </si>
  <si>
    <t>J82605 - Walnut Tree Surgery</t>
  </si>
  <si>
    <t>J82663 - Highfield Health</t>
  </si>
  <si>
    <t>Selected Practice</t>
  </si>
  <si>
    <t>Selected Comparator</t>
  </si>
  <si>
    <t>Comparator:</t>
  </si>
  <si>
    <t>Lookup</t>
  </si>
  <si>
    <t>Selected Locality</t>
  </si>
  <si>
    <t>Practice Value</t>
  </si>
  <si>
    <t>Comparator Statistic</t>
  </si>
  <si>
    <t>GP Practice:</t>
  </si>
  <si>
    <t>Indicator Number</t>
  </si>
  <si>
    <t>Indicator Name</t>
  </si>
  <si>
    <t>Period reported in profile</t>
  </si>
  <si>
    <t>Notes</t>
  </si>
  <si>
    <t>Choose Indicator Type:</t>
  </si>
  <si>
    <t>Higher / Lower</t>
  </si>
  <si>
    <t>Better / Worse</t>
  </si>
  <si>
    <t>Choose Indicator Direction: *</t>
  </si>
  <si>
    <t>* for "Higher/Lower" indicators select "Low=Worst" direction</t>
  </si>
  <si>
    <t>Low = Worst</t>
  </si>
  <si>
    <t>High = Worst</t>
  </si>
  <si>
    <t>'1 GP Reg Pop 0-4'!$A$5:$V$40</t>
  </si>
  <si>
    <t>'1 GP Reg Pop 0-4'!$C$43:$T$46</t>
  </si>
  <si>
    <t>Significance not calculated</t>
  </si>
  <si>
    <t>Significantly worse</t>
  </si>
  <si>
    <t>Significantly better</t>
  </si>
  <si>
    <t>Significantly lower</t>
  </si>
  <si>
    <t>Significantly higher</t>
  </si>
  <si>
    <t>Similar (no significant difference)</t>
  </si>
  <si>
    <t>CHART Significance not calculated (6 - White)</t>
  </si>
  <si>
    <t>CHART Similar (5 - Yellow)</t>
  </si>
  <si>
    <t>CHART Significantly Better (2 - Green)</t>
  </si>
  <si>
    <t>CHART Significantly Lower (3 - Dark Blue)</t>
  </si>
  <si>
    <t>CHART Significantly Higher (4 - Light Blue)</t>
  </si>
  <si>
    <t>CHART Significantly Worse (1 - Red)</t>
  </si>
  <si>
    <t>Locality Drop Down</t>
  </si>
  <si>
    <t>West</t>
  </si>
  <si>
    <t>North &amp; Central</t>
  </si>
  <si>
    <t>Solent GP Surgery</t>
  </si>
  <si>
    <t>St. Mary’s Surgery</t>
  </si>
  <si>
    <t>The Shirley Health Partnership</t>
  </si>
  <si>
    <t>Alma Medical Centre</t>
  </si>
  <si>
    <t>Mulberry Surgery</t>
  </si>
  <si>
    <t>St. Peter’s Surgery</t>
  </si>
  <si>
    <t>Living Well Partnership</t>
  </si>
  <si>
    <t>East Locality</t>
  </si>
  <si>
    <t>J82024 - Solent GP Surgery</t>
  </si>
  <si>
    <t>J82081 - St. Mary’s Surgery</t>
  </si>
  <si>
    <t>J82088 - The Shirley Health Partnership</t>
  </si>
  <si>
    <t>J82122 - Alma Medical Centre</t>
  </si>
  <si>
    <t>J82183 - Mulberry Surgery</t>
  </si>
  <si>
    <t>J82208 - St. Peter’s Surgery</t>
  </si>
  <si>
    <t>J82622 - Living Well Partnership</t>
  </si>
  <si>
    <t>Southampton</t>
  </si>
  <si>
    <t>'2 GP Reg Pop 0-17'!$A$5:$V$40</t>
  </si>
  <si>
    <t>'2 GP Reg Pop 0-17'!$C$43:$T$46</t>
  </si>
  <si>
    <t>'3 GP Reg Pop 18-64'!$C$43:$T$46</t>
  </si>
  <si>
    <t>'3 GP Reg Pop 18-64'!$A$5:$V$40</t>
  </si>
  <si>
    <t>CCG 25th Percentile (7th Practice)</t>
  </si>
  <si>
    <t>CCG 75th Percentile (20th Practice)</t>
  </si>
  <si>
    <t>Practice Rank (high to low) (all practices)</t>
  </si>
  <si>
    <t>Practice rank (HIGH to LOW) LOCALITIES</t>
  </si>
  <si>
    <t>Locality Practice Min</t>
  </si>
  <si>
    <t>Locality practice Max</t>
  </si>
  <si>
    <t>Locality practice MIN</t>
  </si>
  <si>
    <t>Locality practice MAX</t>
  </si>
  <si>
    <t>Practice code</t>
  </si>
  <si>
    <t>City average</t>
  </si>
  <si>
    <t>Data Period</t>
  </si>
  <si>
    <t>City Best / Highest</t>
  </si>
  <si>
    <t>City Worst / Lowest</t>
  </si>
  <si>
    <t>Locality min practice</t>
  </si>
  <si>
    <t>Locality max practice value</t>
  </si>
  <si>
    <t>=IF(ISERROR((S11-$Y11)/($Z11-$Y11)),-999,(S11-$Y11)/($Z11-$Y11))</t>
  </si>
  <si>
    <t>'4 GP Reg Pop 65+'!$A$5:$V$40</t>
  </si>
  <si>
    <t>'4 GP Reg Pop 65+'!$C$43:$T$46</t>
  </si>
  <si>
    <t>'5 GP IMD 1'!$A$5:$V$40</t>
  </si>
  <si>
    <t>'5 GP IMD 1'!$C$43:$T$46</t>
  </si>
  <si>
    <t>Population &amp; Demography</t>
  </si>
  <si>
    <t>?</t>
  </si>
  <si>
    <t/>
  </si>
  <si>
    <t>This one broke - it pulls GP practices but not Locality</t>
  </si>
  <si>
    <t>West Locality</t>
  </si>
  <si>
    <t>North &amp; Central Locality</t>
  </si>
  <si>
    <t>No Comparator</t>
  </si>
  <si>
    <t>Resident slightly different</t>
  </si>
  <si>
    <t>'6 EFL 3+'!$C$43:$T$46</t>
  </si>
  <si>
    <t>'6 efl 3+'!$A$5:$V$40</t>
  </si>
  <si>
    <t xml:space="preserve">% Registered patients 18-64 years </t>
  </si>
  <si>
    <t xml:space="preserve">% Registered patients aged 0-17 years </t>
  </si>
  <si>
    <t>% Registered patients aged 0-4 years</t>
  </si>
  <si>
    <t>% Patients living in the most deprived quintile in England</t>
  </si>
  <si>
    <t>'7 16-64 Econ Active'!$A$5:$V$40</t>
  </si>
  <si>
    <t>'7 16-64 econ active'!$C$43:$T$46</t>
  </si>
  <si>
    <t>% Registered patients aged 65+ years</t>
  </si>
  <si>
    <t>Life expectancy &amp; Mortality</t>
  </si>
  <si>
    <t>Life expectancy at birth (males)</t>
  </si>
  <si>
    <t>Life expectancy at birth (females)</t>
  </si>
  <si>
    <t>% Resident population age 3+ that have English as a first language*</t>
  </si>
  <si>
    <t>% of residents (aged 16-64) economically active*</t>
  </si>
  <si>
    <t>2015-17</t>
  </si>
  <si>
    <t>Asthma prevalence (%)</t>
  </si>
  <si>
    <t>COPD prevalence (%)</t>
  </si>
  <si>
    <t>Coronary Heart Disease prevalence (%)</t>
  </si>
  <si>
    <t>Osteoporosis prevalence 50+ years (%)</t>
  </si>
  <si>
    <t>Depression prevalence 18+ years (%)</t>
  </si>
  <si>
    <t>Learning disability prevalence (%)</t>
  </si>
  <si>
    <t>Dementia prevalence (all ages) (%)</t>
  </si>
  <si>
    <t>Diabetes prevalence 17+ years (%)</t>
  </si>
  <si>
    <t>Obesity prevalence 18+ years (%)</t>
  </si>
  <si>
    <t>Mothers smoking at time of discharge (%)*</t>
  </si>
  <si>
    <t>Low-birth weight of full term babies (%)*</t>
  </si>
  <si>
    <t>Teenage maternities (U20 years) (%)*</t>
  </si>
  <si>
    <t>Prevalence of obesity among Year R children (%)*</t>
  </si>
  <si>
    <t>Prevalence of obesity among Year 6 children (%)*</t>
  </si>
  <si>
    <t>Child poverty (%)*</t>
  </si>
  <si>
    <t>Flu vaccination coverage 65+ years (%)</t>
  </si>
  <si>
    <t>Unemployment (claimant count) (%)*</t>
  </si>
  <si>
    <t>Fuel poverty (%)*</t>
  </si>
  <si>
    <t>Lone parent households (%)*</t>
  </si>
  <si>
    <t>Healthy start</t>
  </si>
  <si>
    <t>Children and young people</t>
  </si>
  <si>
    <t>Ageing well</t>
  </si>
  <si>
    <t>Wider determinants</t>
  </si>
  <si>
    <t>'8 Male LE'!$A$5:$V$40</t>
  </si>
  <si>
    <t>'9 Female LE'!$A$5:$V$40</t>
  </si>
  <si>
    <t>'10 AAAC Mort'!$A$5:$V$40</t>
  </si>
  <si>
    <t>'11 AC U75 Mort'!$A$5:$V$40</t>
  </si>
  <si>
    <t>'8 Male LE'!$C$43:$T$46</t>
  </si>
  <si>
    <t>'9 Female LE'!$C$43:$T$46</t>
  </si>
  <si>
    <t>'10 AAAC Mort'!$C$43:$T$46</t>
  </si>
  <si>
    <t>'11 AC U75 Mort'!$C$43:$T$46</t>
  </si>
  <si>
    <t>'12 Prevent Mort'!$A$5:$V$40</t>
  </si>
  <si>
    <t>'12 Prevent Mort'!$C$43:$T$46</t>
  </si>
  <si>
    <t>'13 Multiple LTC AA'!$A$5:$V$40</t>
  </si>
  <si>
    <t>'13 Multiple LTC AA'!$C$43:$T$46</t>
  </si>
  <si>
    <t xml:space="preserve">Mortality rate from all causes (DSR per 100,000 registered population) </t>
  </si>
  <si>
    <t>Preventable mortality (DSR per 100,000 registered population)</t>
  </si>
  <si>
    <t>Emergency admissions for intentional self-harm (all ages) (DSR per 100,000 registered population)</t>
  </si>
  <si>
    <t>Drug related mental health and behavioural admissions (DSR per 100,000 registered population)</t>
  </si>
  <si>
    <t>Mortality from suicide and injury undetermined (DSR per 100,000 registered population)</t>
  </si>
  <si>
    <t>Alcohol-specific hospital admissions (DSR per 100,000 registered population)</t>
  </si>
  <si>
    <t>Admissions for poisoning by illicit drugs (DSR per 100,000 registered population)</t>
  </si>
  <si>
    <t>'14 diabetes 17 prev'!$A$5:$V$40</t>
  </si>
  <si>
    <t>'14 diabetes 17 prev'!$C$43:$T$46</t>
  </si>
  <si>
    <t>'15 Asthma prev'!$A$5:$V$40</t>
  </si>
  <si>
    <t>'15 Asthma prev'!$C$43:$T$46</t>
  </si>
  <si>
    <t>'16 emerg asthma admiss'!$A$5:$V$40</t>
  </si>
  <si>
    <t>'16 emerg asthma admiss'!$C$43:$T$46</t>
  </si>
  <si>
    <t>2015/16-2017/18</t>
  </si>
  <si>
    <t>'17 COPD prev'!$A$5:$V$40</t>
  </si>
  <si>
    <t>'17 COPD prev'!$C$43:$T$46</t>
  </si>
  <si>
    <t>'18 copd 35+ ADMISS'!$C$43:$T$46</t>
  </si>
  <si>
    <t>'18 copd 35+ ADMISS'!$A$5:$V$40</t>
  </si>
  <si>
    <t>CCG 75th Percentile (19th Practice)</t>
  </si>
  <si>
    <t>2014-16</t>
  </si>
  <si>
    <t>May remove counts</t>
  </si>
  <si>
    <t>Rheumatoid arthritus prevalence 16+ years (%)</t>
  </si>
  <si>
    <t>2017/18</t>
  </si>
  <si>
    <t>CCG 25th Percentile (6th Practice)</t>
  </si>
  <si>
    <t>CCG 75th Percentile (18th Practice)</t>
  </si>
  <si>
    <t>Hypertension prevalence (%)</t>
  </si>
  <si>
    <t>Emergency hospital admissions (all age) (DSR per 1,000 registered population)</t>
  </si>
  <si>
    <t>Estimated smoking prevalence 15+ years (%)</t>
  </si>
  <si>
    <t>2016-2018</t>
  </si>
  <si>
    <t>'19 prem mort resp'!$A$5:$V$41</t>
  </si>
  <si>
    <t>'20 CHD prevalence'!$A$5:$V$40</t>
  </si>
  <si>
    <t>'21 Hyper Prev'!$A$5:$V$40</t>
  </si>
  <si>
    <t>'22 Prem Mort Circ disease'!$A$5:$V$40</t>
  </si>
  <si>
    <t>'23 All canc P incidence'!$A$5:$V$40</t>
  </si>
  <si>
    <t>'24 All canc M incidence'!$A$5:$V$40</t>
  </si>
  <si>
    <t>'25 All canc F incidence'!$A$5:$V$40</t>
  </si>
  <si>
    <t>'26 Colorect canc inc P'!$A$5:$V$40</t>
  </si>
  <si>
    <t>'27 Lung canc inc P'!$A$5:$V$40</t>
  </si>
  <si>
    <t>'28 Breast canc inc F'!$A$5:$V$40</t>
  </si>
  <si>
    <t>'29 Prem mort canc'!$A$5:$V$40</t>
  </si>
  <si>
    <t>'30 Osteo Prev 50+'!$A$5:$V$40</t>
  </si>
  <si>
    <t>'31 Arthritus 16+ prev'!$A$5:$V$40</t>
  </si>
  <si>
    <t>'32 emergency admissions aa'!$A$5:$V$41</t>
  </si>
  <si>
    <t>'33 Depression 18+ prev'!$A$5:$V$40</t>
  </si>
  <si>
    <t>'34 Severe MI prev'!$A$5:$V$40</t>
  </si>
  <si>
    <t>'35 LD prev'!$A$5:$V$40</t>
  </si>
  <si>
    <t>'36 dementia aa prev'!$A$5:$V$40</t>
  </si>
  <si>
    <t>'37 Emerg admiss self-harm'!$A$5:$V$40</t>
  </si>
  <si>
    <t>'38 drug related MH admiss'!$A$5:$V$40</t>
  </si>
  <si>
    <t>'39 mort suici'!$A$5:$V$40</t>
  </si>
  <si>
    <t>'40 est 15+ smoking prev'!$A$5:$V$40</t>
  </si>
  <si>
    <t>'41 Obesity 18+ prev'!$A$5:$V$40</t>
  </si>
  <si>
    <t>'42 Alc spec admissions'!$A$5:$V$40</t>
  </si>
  <si>
    <t>'43 Drug poison admiss'!$A$5:$V$40</t>
  </si>
  <si>
    <t>'44 Breastfeeding at Check'!$A$5:$V$40</t>
  </si>
  <si>
    <t>'19 prem mort resp'!$C$43:$T$47</t>
  </si>
  <si>
    <t>'20 CHD prevalence'!$C$43:$T$46</t>
  </si>
  <si>
    <t>'21 hyper prev'!$C$43:$T$46</t>
  </si>
  <si>
    <t>'22 Prem Mort Circ disease'!$C$43:$T$46</t>
  </si>
  <si>
    <t>'23 All canc P incidence'!$C$43:$T$46</t>
  </si>
  <si>
    <t>'24 All canc M incidence'!$C$43:$T$46</t>
  </si>
  <si>
    <t>'25 All canc F incidence'!$C$43:$T$46</t>
  </si>
  <si>
    <t>'26 Colorect canc inc P'!$C$43:$T$46</t>
  </si>
  <si>
    <t>'27 Lung canc inc P'!$C$43:$T$46</t>
  </si>
  <si>
    <t>'28 Breast canc inc F'!$C$43:$T$46</t>
  </si>
  <si>
    <t>'29 Prem mort canc'!$C$43:$T$46</t>
  </si>
  <si>
    <t>'30 Osteo Prev 50+'!$C$43:$T$46</t>
  </si>
  <si>
    <t>'31 Arthritus 16+ prev'!$C$43:$T$46</t>
  </si>
  <si>
    <t>'32 emergency admissions aa'!$C$43:$T$47</t>
  </si>
  <si>
    <t>'33 Depression 18+ prev'!$C$43:$T$46</t>
  </si>
  <si>
    <t>'34 Severe MI prev'!$C$43:$T$46</t>
  </si>
  <si>
    <t>'35 LD prev'!$C$43:$T$46</t>
  </si>
  <si>
    <t>'36 dementia aa prev'!$C$43:$T$46</t>
  </si>
  <si>
    <t>'37 Emerg admiss self-harm'!$C$43:$T$46</t>
  </si>
  <si>
    <t>'38 drug related MH admiss'!$C$43:$T$46</t>
  </si>
  <si>
    <t>'39 mort suici'!$C$43:$T$46</t>
  </si>
  <si>
    <t>'40 est 15+ smoking prev'!$C$43:$T$46</t>
  </si>
  <si>
    <t>'41 Obesity 18+ prev'!$C$43:$T$46</t>
  </si>
  <si>
    <t>'42 Alc spec admissions'!$C$43:$T$46</t>
  </si>
  <si>
    <t>'43 Drug poison admiss'!$C$43:$T$46</t>
  </si>
  <si>
    <t>'44 Breastfeeding at Check'!$C$43:$T$46</t>
  </si>
  <si>
    <t>'45 SATOD'!$A$5:$V$40</t>
  </si>
  <si>
    <t>'45 SATOD'!$C$43:$T$46</t>
  </si>
  <si>
    <t>'46 LBW'!$C$43:$T$46</t>
  </si>
  <si>
    <t>'46 LBW'!$A$5:$V$40</t>
  </si>
  <si>
    <t>;</t>
  </si>
  <si>
    <t>'47 Teenage mat'!$A$5:$V$40</t>
  </si>
  <si>
    <t>'47 Teenage mat'!$C$43:$T$46</t>
  </si>
  <si>
    <t>0-4 years emergency admissions (crude rate per 1,000 registered population)</t>
  </si>
  <si>
    <t>'48 0-4 emergency admiss'!$A$5:$V$40</t>
  </si>
  <si>
    <t>'48 0-4 emergency admiss'!$C$43:$T$46</t>
  </si>
  <si>
    <t>Admissions caused by unintentional and deliberate injuries (0-14 years) (crude rate per 10,000 registered population)</t>
  </si>
  <si>
    <t>Admissions caused by unintentional and deliberate injuries (15-24 years) (crude rate per 10,000 registered population)</t>
  </si>
  <si>
    <t>Hospital admissions as a result of self harm (10-24 years) (crude rate per 10,000 registered population)</t>
  </si>
  <si>
    <t>'49 unintent inj 0-14'!$A$5:$V$40</t>
  </si>
  <si>
    <t>'49 unintent inj 0-14'!$C$43:$T$46</t>
  </si>
  <si>
    <t>'50 unintent inj 15-24'!$C$43:$T$46</t>
  </si>
  <si>
    <t>'50 unintent inj 15-24'!$A$5:$V$40</t>
  </si>
  <si>
    <t>'51 Self-harm 10-24'!$A$5:$V$40</t>
  </si>
  <si>
    <t>'51 Self-harm 10-24'!$C$43:$T$46</t>
  </si>
  <si>
    <t>'52 Yr R obese'!$A$5:$V$40</t>
  </si>
  <si>
    <t>'52 Yr R obese'!$C$43:$T$46</t>
  </si>
  <si>
    <t>'53 Yr 6 obese'!$C$43:$T$46</t>
  </si>
  <si>
    <t>'53 Yr 6 obese'!$A$5:$V$40</t>
  </si>
  <si>
    <t>Looked after children (crude rate per 10,000 children aged 0-17 years)*</t>
  </si>
  <si>
    <t>2018/19</t>
  </si>
  <si>
    <t>'54 lac 0-17'!$A$5:$V$40</t>
  </si>
  <si>
    <t>'54 lac 0-17'!$C$43:$T$46</t>
  </si>
  <si>
    <t>'55 U16 child pov'!$A$5:$V$40</t>
  </si>
  <si>
    <t>'55 U16 child pov'!$C$43:$T$46</t>
  </si>
  <si>
    <t>'57 falls 65+'!$C$43:$T$46</t>
  </si>
  <si>
    <t>'57 falls 65+'!$A$5:$V$40</t>
  </si>
  <si>
    <t>'58 Hip fractures 65+'!$A$5:$V$40</t>
  </si>
  <si>
    <t>'58 Hip fractures 65+'!$C$43:$T$46</t>
  </si>
  <si>
    <t>'62 claimant count'!$C$43:$T$46</t>
  </si>
  <si>
    <t>'62 claimant count'!$A$5:$V$40</t>
  </si>
  <si>
    <t>2019</t>
  </si>
  <si>
    <t>'63 Fuel poverty'!$A$5:$V$40</t>
  </si>
  <si>
    <t>'63 Fuel poverty'!$C$43:$T$46</t>
  </si>
  <si>
    <t>2017</t>
  </si>
  <si>
    <t>2018-19</t>
  </si>
  <si>
    <t>'56 Flu vax 65+'!$C$43:$T$46</t>
  </si>
  <si>
    <t>'56 Flu vax 65+'!$A$5:$V$40</t>
  </si>
  <si>
    <t>'60 EWD all age'!$C$43:$T$46</t>
  </si>
  <si>
    <t>'60 EWD all age'!$A$5:$V$40</t>
  </si>
  <si>
    <t>Aug 2014 - July 2017</t>
  </si>
  <si>
    <t>2011</t>
  </si>
  <si>
    <t>'65 Police recorded crime'!$A$5:$V$40</t>
  </si>
  <si>
    <t>'65 Police recorded crime'!$C$43:$T$46</t>
  </si>
  <si>
    <t>Deaths occuring at home (%) all ages</t>
  </si>
  <si>
    <t>'61 deaths at home AA'!$A$5:$V$40</t>
  </si>
  <si>
    <t>'61 deaths at home AA'!$C$43:$T$46</t>
  </si>
  <si>
    <t>'64 Lone parent HH'!$A$5:$V$40</t>
  </si>
  <si>
    <t>'64 Lone parent HH'!$C$43:$T$46</t>
  </si>
  <si>
    <t>2018</t>
  </si>
  <si>
    <t>'59 65+ social care support'!$A$5:$V$40</t>
  </si>
  <si>
    <t>'59 65+ social care support'!$C$43:$T$46</t>
  </si>
  <si>
    <t>Southampton Locality Health Profiles: 2019</t>
  </si>
  <si>
    <t xml:space="preserve">Patients with established hypertension, as recorded on practice disease registers (as a percentage of total list size).
Data Source: Quality Outcomes Framework via Public Health England Fingertips (Indicator ID: 219).
Homeless Healthcare Practice (J82217) has been excluded from practice analysis, but is included in Locality analysis. </t>
  </si>
  <si>
    <t>Emergency admissions for COPD (35+ years - DSR per 100,000 registered population)</t>
  </si>
  <si>
    <t>Emergency admissions for asthma (DSR per 100,000 registered population) (all ages)</t>
  </si>
  <si>
    <t>Cancer incidence* (all cancers) (persons) (DSR per 100,000 resident population)</t>
  </si>
  <si>
    <t>Cancer incidence* (all cancers) (males) (DSR per 100,000 resident population)</t>
  </si>
  <si>
    <t>Cancer incidence* (all cancers) (females) (DSR per 100,000 resident population)</t>
  </si>
  <si>
    <t>Colorectal cancer incidence* (persons) (DSR per 100,000 resident population)</t>
  </si>
  <si>
    <t>Lung cancer incidence* (persons) (DSR per 100,000 resident population)</t>
  </si>
  <si>
    <t>Female breast cancer incidence* (DSR per 100,000 resident population)</t>
  </si>
  <si>
    <t>Social care support 65 years and over (crude rate per 1,000 resident population)*</t>
  </si>
  <si>
    <t>Police recorded crime (crude rate per 1,000 resident population)*</t>
  </si>
  <si>
    <t xml:space="preserve">Patients aged 17 years and over with diabetes, as recorded on practice disease registers (as a percentage of total list size aged 17+ years).
Data Source: Quality Outcomes Framework via Public Health England Fingertips (Indicator ID: 241).
Homeless Healthcare Practice (J82217) has been excluded from practice analysis, but is included in Locality analysis. </t>
  </si>
  <si>
    <t xml:space="preserve">Patients with a learning disability, as recorded on practice disease registers (as a percentage of total list size).
Data Source: Quality Outcomes Framework via Public Health England Fingertips (Indicator ID: 200).
Homeless Healthcare Practice (J82217) has been excluded from practice analysis, but is included in Locality analysis. </t>
  </si>
  <si>
    <t xml:space="preserve">Patients with dementia, as recorded on practice disease registers (as a percentage of total list size).
Data Source: Quality Outcomes Framework via Public Health England Fingertips (Indicator ID: 247).
Homeless Healthcare Practice (J82217) has been excluded from practice analysis, but is included in Locality analysis. </t>
  </si>
  <si>
    <t>Mental health prevalence (%) (schizophrenia, bipolar affective disorder and other psychoses)</t>
  </si>
  <si>
    <t xml:space="preserve">Patients diagnosed with schizophrenia, bipolar affective disorder and other psychoses, as recorded on practice disease registers (as a percentage of total list size).
Data Source: Quality Outcomes Framework via Public Health England Fingertips (Indicator ID: 90581).
Homeless Healthcare Practice (J82217) has been excluded from practice analysis, but is included in Locality analysis. </t>
  </si>
  <si>
    <t xml:space="preserve">Estimated smoking prevalence in patients aged 15+ years, as percentage of patients aged 15+ years. 
Numerator: Denominator of SMOK004 - number of patients ager 15+ years who are recorded as current smokers
Denominator: Estimated number of patients aged 15+ years
Data Source: Quality Outcomes Framework via Public Health England Fingertips (Indicator ID: 91280).
Homeless Healthcare Practice (J82217) has been excluded from practice analysis, but is included in Locality analysis. 
</t>
  </si>
  <si>
    <t>Southampton GP Practice Health Profiles: 2019</t>
  </si>
  <si>
    <t>Emergency admissions due to falls in people aged 65 and over (DSR per 100,000 registered population)</t>
  </si>
  <si>
    <t>Emergency admissions due to hip fractures in those aged 65 and over (DSR per 100,000 registered population)</t>
  </si>
  <si>
    <t>J82217</t>
  </si>
  <si>
    <t>Homeless Healthcare Team</t>
  </si>
  <si>
    <t>East</t>
  </si>
  <si>
    <t>Introduction</t>
  </si>
  <si>
    <t>Mental health &amp; wellbeing</t>
  </si>
  <si>
    <t>Physical health &amp; wellbeing</t>
  </si>
  <si>
    <t>Registered patients aged 0-4 years registered at a GP Practice/Locality as a percentage of total list size. Data relates to January 2019 published GP practice populations by NHS Digital. Homeless Healthcare Practice (J82217) has been excluded from practice analysis, but is included in Locality analysis.</t>
  </si>
  <si>
    <t>Registered patients aged 0-17 years registered at a GP Practice/Locality as a percentage of total list size. Data relates to January 2019 published GP practice populations by NHS Digital. Homeless Healthcare Practice (J82217) has been excluded from practice analysis, but is included in Locality analysis.</t>
  </si>
  <si>
    <t>Registered patients aged 18-64 years registered at a GP Practice/Locality as a percentage of total list size. Data relates to January 2019 published GP practice populations by NHS Digital. Homeless Healthcare Practice (J82217) has been excluded from practice analysis, but is included in Locality analysis.</t>
  </si>
  <si>
    <t>Registered patients aged 65 and over registered at a GP Practice/Locality as a percentage of total list size. Data relates to January 2019 published GP practice populations by NHS Digital. Homeless Healthcare Practice (J82217) has been excluded from practice analysis, but is included in Locality analysis.</t>
  </si>
  <si>
    <t>The percentage of patients on practice registers that are resident in the most deprived England Deprivation Quintile. Deprivation data was taken from the 2015 IMD (Index of Multiple Deprivation) and population data taken from January 2019 published practice populations by NHS Digital. 
Only patients registered to practices that have a valid LSOA of residence are included, therefore &lt;0.05% of patients registered to Southampton GP practices are excluded. Homeless Healthcare Practice (J82217) has been excluded from practice analysis, but is included in Locality analysis.</t>
  </si>
  <si>
    <t>The number of years a baby born today would expect to live were he or she to experience the particular areas age-specific mortality rates for that time period throughout his or her life. 
It should be noted that the city average will differ from published figures, as this indicator is based on registered populations. 
Numerator source: NHS Digital Civil Registration Death Extract (2015-2017)
Denominator source: NHS Digital GP registered patients (2015-2017)
Homeless Healthcare Practice (J82217) and University Health Service (J82080) have been excluded from practice analysis, but are included in Locality analysis.
For practices that have merged, data has been aggregated to reflect the current practice list. For Solent GP Surgery (J82024) data between the period 2015-17 have been aggregated for practice codes J82619, Y02838 and J82024. For the Living Well Partnership (J82622) data for practice codes J82171, J82187 and J82622 have been aggregated. Practices that have closed during this period have been excluded.</t>
  </si>
  <si>
    <t>The number of years a baby born today would expect to live were he or she to experience the particular areas age-specific mortality rates for that time period throughout his or her life. 
It should be noted that the city average will differ from published figures, as this indicator is based on registered populations. 
Numerator source: NHS Digital Civil Registration Death Extract (2015-2017)
Denominator source: NHS Digital GP registered patients (2015-2017) 
Homeless Healthcare Practice (J82217) and University Health Service (J82080) have been excluded from practice analysis, but are included in Locality analysis.
For practices that have merged, data has been aggregated to reflect the current practice list. For Solent GP Surgery (J82024) data between the period 2015-17 have been aggregated for practice codes J82619, Y02838 and J82024. For the Living Well Partnership (J82622) data for practice codes J82171, J82187 and J82622 have been aggregated. Practices that have closed during this period have been excluded.</t>
  </si>
  <si>
    <t>The directly age standardised mortality rate from causes considered preventable per 100,000 registered population. 
Deaths included are those that that are considered preventable (classified by underlying cause of death recorded as ICD codes A15-A19, (A35, A36, A80, B01 aged under 20 only), A37 (aged under 15 only), B05 (aged 1-14 only), B06 (aged under 15 only), B17.1, B18.2, B20-B24, B90, C00-C16, C18-C22, C33-C34, C43, C45, C50, C53, E10-E14, F10-F16, F18-F19, G31.2, G62.1, I20-I26, I42.6, I71, I80.1-I80.3, I80.9, I82.9, J09-J11, J40-J44, K29.2, K70, K73-K74 (excl. K74.3-K74.5), K86.0, Q05, U50.9, V01-Y34, Y60-Y69, Y83-Y84 registered in the respective calendar years, aggregated into quinary age bands (0-4, 5-9,…, 85-89, 90+). Only deaths aged under 75 from the above causes are included (unless otherwise mentioned) except B20-B24, U50.9, V01-Y34, Y60-Y69, Y83-Y84 (all ages).  
It should be noted that the city average will differ from published figures, as this indicator is based on registered populations.
Numerator source: NHS Digital Civil Registration Death Extract (2015-2017)
Denominator source: NHS Digital GP registered patients (2015-2017)  
Homeless Healthcare Practice (J82217) has been excluded from practice analysis, but is included in Locality analysis.
For practices that have merged, data has been aggregated to reflect the current practice list. For Solent GP Surgery (J82024) data between the period 2015-17 have been aggregated for practice codes J82619, Y02838 and J82024. For the Living Well Partnership (J82622) data for practice codes J82171, J82187 and J82622 have been aggregated. Practices that have closed during this period have been excluded.</t>
  </si>
  <si>
    <t>The directly age standardised all age, all cause mortality rate per 100,000 registered population. 
It should be noted that the city average will differ from published figures, as this indicator is based on registered populations.
Numerator source: NHS Digital Civil Registration Death Extract (2015-2017)
Denominator source: NHS Digital GP registered patients (2015-2017)  
Homeless Healthcare Practice (J82217) has been excluded from practice analysis, but is included in Locality analysis.
For practices that have merged, data has been aggregated to reflect the current practice list. For Solent GP Surgery (J82024) data between the period 2015-17 have been aggregated for practice codes J82619, Y02838 and J82024. For the Living Well Partnership (J82622) data for practice codes J82171, J82187 and J82622 have been aggregated. Practices that have closed during this period have been excluded.</t>
  </si>
  <si>
    <t>The directly age standardised rate of emergency asthma admissions per 100,000 registered population (all ages). 
Emergency hospital admissions (admission method starts with a 2) with a primary diagnosis of either J45: Asthma or J46: Status asthmaticus.
It should be noted that the city average will differ from published figures, as this indicator is based on registered populations.
Numerator source: Hospital Episode Statistics (2015/16-2017/18)
Denominator source: NHS Digital GP registered patients (2015-2017)  
Homeless Healthcare Practice (J82217) has been excluded from practice analysis, but is included in Locality analysis.
For practices that have merged, data has been aggregated to reflect the current practice list. For Solent GP Surgery (J82024) data between the period 2015/16-2017/18 have been aggregated for practice codes J82619, Y02838 and J82024. For the Living Well Partnership (J82622) data for practice codes J82171, J82187 and J82622 have been aggregated. Practices that have closed during this period have been excluded.</t>
  </si>
  <si>
    <t>The directly age standardised rate of emergency hospital admissions per 1,000 registered population.
Emergency hospital admissions (admission method starts with a 2 and episode order=1)
It should be noted that the city average will differ from published figures, as this indicator is based on registered populations.
Numerator source: Hospital Episode Statistics (2015/16-2017/18)
Denominator source: NHS Digital GP registered patients (2015-2017)  
Homeless Healthcare Practice (J82217) has been excluded from practice analysis, but is included in Locality analysis.
For practices that have merged, data has been aggregated to reflect the current practice list. For Solent GP Surgery (J82024) data between the period 2015/16-2017/18 have been aggregated for practice codes J82619, Y02838 and J82024. For the Living Well Partnership (J82622) data for practice codes J82171, J82187 and J82622 have been aggregated. Practices that have closed during this period have been excluded.</t>
  </si>
  <si>
    <t>The directly age standardised rate of emergency hospital admissions for intentional self-harm per 100,000 registered population.
Emergency hospital admissions (admission method starts with a 2 and episode order=1) with an external cause code of: X60 - X84.
It should be noted that the city average will differ from published figures, as this indicator is based on registered populations.
Numerator source: Hospital Episode Statistics (2015/16-2017/18)
Denominator source: NHS Digital GP registered patients (2015-2017)  
Homeless Healthcare Practice (J82217) has been excluded from practice analysis, but is included in Locality analysis.
For practices that have merged, data has been aggregated to reflect the current practice list. For Solent GP Surgery (J82024) data between the period 2015/16-2017/18 have been aggregated for practice codes J82619, Y02838 and J82024. For the Living Well Partnership (J82622) data for practice codes J82171, J82187 and J82622 have been aggregated. Practices that have closed during this period have been excluded.</t>
  </si>
  <si>
    <t>The crude rate of emergency admissions in children aged 0-4 years per 1,000 registered population.
The number of emergency admissions (episode number = 1, admission method = 2) in children aged 0-4 years.
It should be noted that the city average will differ from published figures, as this indicator is based on registered populations.
Numerator source: Hospital Episode Statistics (2015/16-2017/18)
Denominator source: NHS Digital GP registered patients (2015-2017)  
Homeless Healthcare Practice (J82217) has been excluded from practice analysis, but is included in Locality analysis.
For practices that have merged, data has been aggregated to reflect the current practice list. For Solent GP Surgery (J82024) data between the period 2015/16-2017/18 have been aggregated for practice codes J82619, Y02838 and J82024. For the Living Well Partnership (J82622) data for practice codes J82171, J82187 and J82622 have been aggregated. Practices that have closed during this period have been excluded.</t>
  </si>
  <si>
    <t>The crude rate of hospital admissions caused by unintentional and deliberate injuries in children aged 0-14 years per 10,000 registered population.
The number of emergency admissions (episode number = 1 and admission method starts with 2), with one or more codes for injuries and other adverse effects of external causes (ICD 10: S00-T79 and/or V01-Y36) in any diagnostic field (both primary and secondary).
It should be noted that the city average will differ from published figures, as this indicator is based on registered populations.
Numerator source: Hospital Episode Statistics (2015/16-2017/18)
Denominator source: NHS Digital GP registered patients (2015-2017)  
Homeless Healthcare Practice (J82217) has been excluded from practice analysis, but is included in Locality analysis.
For practices that have merged, data has been aggregated to reflect the current practice list. For Solent GP Surgery (J82024) data between the period 2015/16-2017/18 have been aggregated for practice codes J82619, Y02838 and J82024. For the Living Well Partnership (J82622) data for practice codes J82171, J82187 and J82622 have been aggregated. Practices that have closed during this period have been excluded.</t>
  </si>
  <si>
    <t>The crude rate of hospital admissions caused by unintentional and deliberate injuries in young people aged 15-24 years per 10,000 registered population.
The number of emergency admissions (episode number = 1 and admission method starts with 2), with one or more codes for injuries and other adverse effects of external causes (ICD 10: S00-T79 and/or V01-Y36) in any diagnostic field (both primary and secondary).
It should be noted that the city average will differ from published figures, as this indicator is based on registered populations.
Numerator source: Hospital Episode Statistics (2015/16-2017/18)
Denominator source: NHS Digital GP registered patients (2015-2017)  
Homeless Healthcare Practice (J82217) has been excluded from practice analysis, but is included in Locality analysis.
For practices that have merged, data has been aggregated to reflect the current practice list. For Solent GP Surgery (J82024) data between the period 2015/16-2017/18 have been aggregated for practice codes J82619, Y02838 and J82024. For the Living Well Partnership (J82622) data for practice codes J82171, J82187 and J82622 have been aggregated. Practices that have closed during this period have been excluded.</t>
  </si>
  <si>
    <t>The crude rate of hospital admissions as a result of self-harm among young people aged 10-24 years per 10,000 registered population. 
Hospital admissions with an external cause code of: X60 - X84.
It should be noted that the city average will differ from published figures, as this indicator is based on registered populations.
Numerator source: Hospital Episode Statistics (2015/16-2017/18)
Denominator source: NHS Digital GP registered patients (2015-2017)  
Homeless Healthcare Practice (J82217) has been excluded from practice analysis, but is included in Locality analysis.
For practices that have merged, data has been aggregated to reflect the current practice list. For Solent GP Surgery (J82024) data between the period 2015/16-2017/18 have been aggregated for practice codes J82619, Y02838 and J82024. For the Living Well Partnership (J82622) data for practice codes J82171, J82187 and J82622 have been aggregated. Practices that have closed during this period have been excluded.</t>
  </si>
  <si>
    <t>The directly age standardised rate of emergency admissions due to falls in people aged 65 years and over per 100,000 registered population.
Emergency admissions for falls injuries classified by primary diagnosis code (ICD10 code S00-T98) and external cause (ICD10 code W00-W19) and an emergency admission code (episode order = 1, admission method = 2, classpat =1)
It should be noted that the city average will differ from published figures, as this indicator is based on registered populations.
Numerator source: Hospital Episode Statistics (2015/16-2017/18)
Denominator source: NHS Digital GP registered patients (2015-2017)  
Homeless Healthcare Practice (J82217) has been excluded from practice analysis, but is included in Locality analysis.
For practices that have merged, data has been aggregated to reflect the current practice list. For Solent GP Surgery (J82024) data between the period 2015/16-2017/18 have been aggregated for practice codes J82619, Y02838 and J82024. For the Living Well Partnership (J82622) data for practice codes J82171, J82187 and J82622 have been aggregated. Practices that have closed during this period have been excluded.</t>
  </si>
  <si>
    <t>The directly age standardised rate of emergency admissions due to hip fractures in people aged 65 years and over per 100,000 registered population.
Emergency admissions (admission method = 2 and episode order = 1) for hip fractures classified by primary diagnosis codes (ICD 10) of S72.0 Fracture of neck of femur; S72.1 Pertrochanteric fracture and S72.2 Subtrochanteric fracture.
It should be noted that the city average will differ from published figures, as this indicator is based on registered populations.
Numerator source: Hospital Episode Statistics (2015/16-2017/18)
Denominator source: NHS Digital GP registered patients (2015-2017)  
Homeless Healthcare Practice (J82217) has been excluded from practice analysis, but is included in Locality analysis.
For practices that have merged, data has been aggregated to reflect the current practice list. For Solent GP Surgery (J82024) data between the period 2015/16-2017/18 have been aggregated for practice codes J82619, Y02838 and J82024. For the Living Well Partnership (J82622) data for practice codes J82171, J82187 and J82622 have been aggregated. Practices that have closed during this period have been excluded.</t>
  </si>
  <si>
    <t>The directly age standardised all cause premature (under 75 years) mortality rate per 100,000 registered population. 
It should be noted that the city average will differ from published figures, as this indicator is based on registered populations.
Numerator source: NHS Digital Civil Registration Death Extract (2015-2017)
Denominator source: NHS Digital GP registered patients (2015-2017)  
Homeless Healthcare Practice (J82217) has been excluded from practice analysis, but is included in Locality analysis.
For practices that have merged, data has been aggregated to reflect the current practice list. For Solent GP Surgery  (J82024) data between the period 2015-17 have been aggregated for practice codes J82619, Y02838 and J82024. For the Living Well Partnership (J82622) data for practice codes J82171, J82187 and J82622 have been aggregated. Practices that have closed during this period have been excluded.</t>
  </si>
  <si>
    <t xml:space="preserve">Premature mortality (under 75 years) from all causes (DSR per 100,000 registered population) </t>
  </si>
  <si>
    <t>Premature mortality (under 75 years) from respiratory disease (DSR per 100,000 registered population)</t>
  </si>
  <si>
    <t>Premature mortality (under 75 years) from circulatory disease (DSR per 100,000 registered population)</t>
  </si>
  <si>
    <t>Premature mortality from all cancers (under 75 years) (DSR per 100,000 registered population)</t>
  </si>
  <si>
    <t>The directly age standardised rate of multiple long-term condition (3 or more) prevalence per 1,000 registered population. 
Numerator and Denominator source: Adjusted Clinical Groups database (2017).
Homeless Healthcare Practice (J82217) has been excluded from practice analysis, but is included in Locality analysis. 
For practices that have merged, data has been aggregated to reflect the current practice list. For Solent GP Surgery (J82024) data for 2017 has been aggregated for practice codes J82619, Y02838 and J82024. For the Living Well Partnership (J82622) data for practice codes J82171, J82187 and J82622 have been aggregated. Practices that have closed during this period have been excluded.</t>
  </si>
  <si>
    <t xml:space="preserve">Patients with asthma (all ages), excluding those who have not been prescribed any asthma-related drugs in the previous twelve months, as recorded on practice disease registers (as a percentage of total list size).
Data Source: Quality Outcomes Framework via Public Health England Fingertips (Indicator ID: 285).
Homeless Healthcare Practice (J82217) has been excluded from practice analysis, but is included in Locality analysis. </t>
  </si>
  <si>
    <t xml:space="preserve">Patients with established COPD (Chronic Obstructive Pulmonary Disease) as recorded on practice disease registers (as a percentage of total list size).
Data Source: Quality Outcomes Framework via Public Health England Fingertips (Indicator ID: 253).
Homeless Healthcare Practice (J82217) has been excluded from practice analysis, but is included in Locality analysis. </t>
  </si>
  <si>
    <t xml:space="preserve">Patients with established coronary heart disease, as recorded on practice disease registers (as a percentage of total list size).
Data Source: Quality Outcomes Framework via Public Health England Fingertips (Indicator ID: 273).
Homeless Healthcare Practice (J82217) has been excluded from practice analysis, but is included in Locality analysis. </t>
  </si>
  <si>
    <t xml:space="preserve">Patients aged 50 years and over with osteoporosis, as recorded on practice disease registers (as a percentage of total list size aged 50 years and over).
Data Source: Quality Outcomes Framework via Public Health England Fingertips (Indicator ID: 90443).
Homeless Healthcare Practice (J82217) has been excluded from practice analysis, but is included in Locality analysis. </t>
  </si>
  <si>
    <t xml:space="preserve">Patients aged 16 years and over with rheumatoid arthritis as recorded on practice disease registers (as a percentage of list size aged 16 years and over).
Data Source: Quality Outcomes Framework via Public Health England Fingertips (Indicator ID: 91269).
Homeless Healthcare Practice (J82217) has been excluded from practice analysis, but is included in Locality analysis. </t>
  </si>
  <si>
    <t xml:space="preserve">Patients aged 18 years and over with depression, as recorded on practice disease registers (as a percentage of list size aged 18 years and over).
Data Source: Quality Outcomes Framework via Public Health England Fingertips (Indicator ID: 848).
Homeless Healthcare Practice (J82217) has been excluded from practice analysis, but is included in Locality analysis. </t>
  </si>
  <si>
    <t>The directly age standardised mortality rate from suicide and injury of undetermined intent per 100,000 registered population.
Number of deaths from suicide and injury of undetermined intent classified by underlying cause of death recorded as ICD10 codes X60-X84 (age 10 years and over only), Y10-Y34 (ages 15 years and over only) registered in the respective calendar years.
Numerator source: NHS Digital Civil Registration Death Extract (2015-2017)
Denominator source: NHS Digital GP registered patients (2015-2017)  
Homeless Healthcare Practice (J82217) has been excluded from practice analysis, but is included in Locality analysis.
For practices that have merged, data has been aggregated to reflect the current practice list. For Solent GP Surgery (J82024) data between the period 2015-17 have been aggregated for practice codes J82619, Y02838 and J82024. For the Living Well Partnership (J82622) data for practice codes J82171, J82187 and J82622 have been aggregated. Practices that have closed during this period have been excluded.</t>
  </si>
  <si>
    <t xml:space="preserve">Patients aged 18 and over with a body mass index greater than or equal to 30 in the previous 12 months, as recorded on practice disease registers (as a percentage of list size aged 18 years and over)
Data Source: Quality Outcomes Framework via Public Health England Fingertips (Indicator ID: 92588).
Homeless Healthcare Practice (J82217) has been excluded from practice analysis, but is included in Locality analysis. </t>
  </si>
  <si>
    <t>Deaths that occur at home, as a percentage of all deaths (all ages).
Numerator: number of deaths where the place of death code is recorded as 'H' (home) (excluding neonatal deaths &lt;28 days)
Denominator: all deaths (excluding neonatal deaths &lt;28 days)
Numerator and denominator data source: NHS Digital Civil Registration Death Extract (2015-17)
It should be noted that the city average will differ from published figures, as this indicator is based on registered populations.
Homeless Healthcare Practice (J82217) has been excluded from practice analysis, but is included in Locality analysis.
For practices that have merged, data has been aggregated to reflect the current practice list. For Solent GP Surgery (J82024) data between the period 2015-17 have been aggregated for practice codes J82619, Y02838 and J82024. For the Living Well Partnership (J82622) data for practice codes J82171, J82187 and J82622 have been aggregated. Practices that have closed during this period have been excluded</t>
  </si>
  <si>
    <t>Mothers breastfeeding (%)*</t>
  </si>
  <si>
    <t>Multiple (3+) chronic condition prevalence (DSR per 1,000 registered population)</t>
  </si>
  <si>
    <t>Health behaviours</t>
  </si>
  <si>
    <t>The directly age standardised premature (under 75 years) mortality rate from respiratory diseases per 100,000 registered population. 
Deaths included are from respiratory diseases registered in those aged under 75 years, ICD 10 codes of: J00-J99 (based on underlying cause of death).
It should be noted that the city average will differ from published figures, as this indicator is based on registered populations.
Numerator source: NHS Digital Civil Registration Death Extract (2015-2017)
Denominator source: NHS Digital GP registered patients (2015-2017)  
Homeless Healthcare Practice (J82217) has been excluded from practice analysis, but is included in Locality analysis.
For practices that have merged, data has been aggregated to reflect the current practice list. For Solent GP Surgery (J82024) data between the period 2015-17 have been aggregated for practice codes J82619, Y02838 and J82024. For the Living Well Partnership (J82622) data for practice codes J82171, J82187 and J82622 have been aggregated. Practices that have closed during this period have been excluded.</t>
  </si>
  <si>
    <t>2015</t>
  </si>
  <si>
    <r>
      <rPr>
        <b/>
        <sz val="10"/>
        <rFont val="Arial"/>
        <family val="2"/>
      </rPr>
      <t>How to interpret the spine charts</t>
    </r>
    <r>
      <rPr>
        <sz val="10"/>
        <rFont val="Arial"/>
        <family val="2"/>
      </rPr>
      <t xml:space="preserve">
• The red line down the centre of the chart represents the Southampton City average value for each indicator. The data has been normalised which means that values to the left of the red line are ‘worse’ or 'lower' than the City average and those to the right are ‘better’ or 'higher' depending on the type of indicator.
• The circles on the chart are the Practice or Locality values. Circles coloured red or green indicate that the Practice or Locality value is statistically significantly worse or better than the city average respectively. For some indicators, the terms 'worse' or 'better' do not apply; where this is the case circles coloured dark blue and light blue are used to indicate where a practice is statistically significantly 'lower' or 'higher' than the city average respectively. Yellow circles indicate that any difference is not significant and white circles indicate that significance could not be calculated.
• The white diamonds on the spine chart give the average for the chosen comparator. On each profile, a comparator can be selected from the drop down menu at the top of the page.
• The light grey bar for each indicator shows the range of values for the practices in the city (i.e. it stretches from the value for the ‘worst’ or 'lowest' practice to the value for the ‘best’ or 'highest' practice).
• The darker grey shading shows the range of values for the middle 50% of practices. 
• The black triangles on the Locality profile spine chart shows the worse/lowest and the best/highest practice value within the selected Locality.
</t>
    </r>
    <r>
      <rPr>
        <b/>
        <sz val="10"/>
        <rFont val="Arial"/>
        <family val="2"/>
      </rPr>
      <t xml:space="preserve">
Frequently asked questions</t>
    </r>
    <r>
      <rPr>
        <sz val="10"/>
        <rFont val="Arial"/>
        <family val="2"/>
      </rPr>
      <t xml:space="preserve">
</t>
    </r>
    <r>
      <rPr>
        <b/>
        <sz val="10"/>
        <rFont val="Arial"/>
        <family val="2"/>
      </rPr>
      <t xml:space="preserve">Q. Why have you used the terms ‘best’ and ‘worst’? </t>
    </r>
    <r>
      <rPr>
        <sz val="10"/>
        <rFont val="Arial"/>
        <family val="2"/>
      </rPr>
      <t xml:space="preserve">
A. These are the same terms as used in the Public Health England Health Profiles and we have used the same template for our Profiles. However, we do acknowledge that for some indicators these terms are not appropriate (e.g. population age group indicators) and in these instances the terms 'higher' and 'lower' have been used instead. 
</t>
    </r>
    <r>
      <rPr>
        <b/>
        <sz val="10"/>
        <rFont val="Arial"/>
        <family val="2"/>
      </rPr>
      <t>Q. How do you calculate a statistically significant difference?</t>
    </r>
    <r>
      <rPr>
        <sz val="10"/>
        <rFont val="Arial"/>
        <family val="2"/>
      </rPr>
      <t xml:space="preserve">
A. Statistical significance has been measured by calculating 95% confidence intervals around the indicator values. A confidence interval is a range of values that is used to quantify the imprecision in the estimate of a particular value. The width of the confidence interval depends on three things:-
The size of the sample from which the estimate is derived (or population size if from a complete dataset). A larger sample means a more precise estimate and, therefore, smaller confidence interval.
The degree of variability in the phenomenon being measured. This is often known (or assumed) to follow a certain probability distribution which means that the amount of variability can be built into the confidence interval calculation.
The required level of confidence – this is an arbitrary value set by the analyst giving the desired probability that the interval includes the true value. These profiles use 95% confidence intervals which are conventionally used in public health.       
The wider the confidence interval, the greater the level of uncertainty of the estimate. When comparing the estimates from two areas, if the confidence intervals do not overlap you can assume a statistically significant difference. However, more caution is needed in interpreting overlapping confidence intervals as this does not always mean that there is a statistically significant difference.
</t>
    </r>
    <r>
      <rPr>
        <b/>
        <sz val="10"/>
        <rFont val="Arial"/>
        <family val="2"/>
      </rPr>
      <t xml:space="preserve">
Q. Does the size and demographic breakdown of the practice population impact on the indicators?</t>
    </r>
    <r>
      <rPr>
        <sz val="10"/>
        <rFont val="Arial"/>
        <family val="2"/>
      </rPr>
      <t xml:space="preserve">
A. The mortality, hospital activity and some of the prevalence indicators are calculated as Directly age Standardised Rates (DSR) which means that the age and sex breakdown of the population has been taken into account. However, most of the demography and QoF prevalence indicators are calculated as a percentage of the Practice/Locality population. This takes into account the number of patients registered but not their age breakdown. For instance, a Practice/Locality which serves a younger population will have a much lower percentage of age-related conditions such as Dementia. 
Any practice which has an extreme demographic profile (e.g. those practices which have a large number of students registered) will have rather skewed indicator values when age standardisation is not possible. This should be remembered when interpreting the spine chart – not just for these practices but also for the Locality and city average.
</t>
    </r>
    <r>
      <rPr>
        <b/>
        <sz val="10"/>
        <rFont val="Arial"/>
        <family val="2"/>
      </rPr>
      <t>Q. Why is Homeless Healthcare practice excluded?</t>
    </r>
    <r>
      <rPr>
        <sz val="10"/>
        <rFont val="Arial"/>
        <family val="2"/>
      </rPr>
      <t xml:space="preserve">
A. Homeless Healthcare practice has a very small and skewed population profile which affects estimates at a small geography (GP Practice), which is why Homeless Healthcare has been excluded from Practice analysis. For most indicators, Homeless Healthcare practice has been included in Locality analysis and in calculating the city average, for more information please see metadata for individual indicators.
</t>
    </r>
    <r>
      <rPr>
        <b/>
        <sz val="10"/>
        <rFont val="Arial"/>
        <family val="2"/>
      </rPr>
      <t xml:space="preserve">
Q. How are resident indicators calculated for GP Practices? </t>
    </r>
    <r>
      <rPr>
        <sz val="10"/>
        <rFont val="Arial"/>
        <family val="2"/>
      </rPr>
      <t xml:space="preserve">
A. Resident based indicators have been calculated using GP Practice catchments, which have been defined by practices that have 100 or more registered patients resident within an LSOA (Lower Super Output Area), as of January 2019 GP registered populations by NHS Digital. One hundred was selected as it provided the optimum coverage (%) of registered patients for practices, without significantly diluting analysis. Please see metadata for more information.
</t>
    </r>
    <r>
      <rPr>
        <b/>
        <sz val="10"/>
        <rFont val="Arial"/>
        <family val="2"/>
      </rPr>
      <t xml:space="preserve">
Q. Are practices that have closed/merged included?
</t>
    </r>
    <r>
      <rPr>
        <sz val="10"/>
        <rFont val="Arial"/>
        <family val="2"/>
      </rPr>
      <t xml:space="preserve">A. For practices that have merged, data has been aggregated to reflect the current practice list (see Locality and Practice map for more information). For Solent GP Surgery (J82024) data between the period 2015/16-2017/18 have been aggregated for practice codes J82619, Y02838 and J82024. For the Living Well Partnership (J82622) data for practice codes J82171, J82187 and J82622 have been aggregated. Practices that have closed during this period have been excluded.
</t>
    </r>
  </si>
  <si>
    <t>* Indicators are based on resident populations. 
GP Practice values for resident indicators have been calculated using GP resident catchments, which only include Southampton LSOAs. GP resident catchments are defined by practices that have 100 or more registered patients resident within an LSOA (Lower Super Output Area) - based on January 2019 registered populations published by NHS Digital.</t>
  </si>
  <si>
    <t>The percentage of residents aged 16-64 years who are economically active.
Economic activity relates to whether or not a person who was working or looking for work in the week before census. Rather than a simple indicator of whether or not someone was currently in employment, it provides a measure of whether or not a person was an active participant in the labour market.
Numerator and Denominator source: Office For National Statistics 2011 Census via Nomis - LC6107EW - Economic Activity by sex by age.
Please note this indicator is based on resident populations; GP practice values have been calculated using GP resident catchment areas (only includes Southampton LSOAs) from figures published at LSOA level - Locality values and the city average have been calculated by aggregating figures published at Ward or LSOA level (depending on the dataset). As a result GP totals will not sum to Locality values or the city total, which is why GP totals have been suppressed. GP resident catchments are defined by practices that have 100 or more registered patients resident within an LSOA - based on January 2019 registered populations published by NHS Digital.
Homeless Healthcare Practice (J82217) has been excluded from practice analysis.</t>
  </si>
  <si>
    <t>The directly age standardised premature mortality (under 75 years) rate from circulatory disease per 100,000 registered population.
The number of deaths registered in those aged under 75 years with ICD10 codes of I00-I99.
Numerator source: NHS Digital Civil Registration Death Extract (2015-2017)
Denominator source: NHS Digital GP registered patients (2015-2017)  
Homeless Healthcare Practice (J82217) has been excluded from practice analysis, but is included in Locality analysis.
For practices that have merged, data has been aggregated to reflect the current practice list. For Solent GP Surgery (J82024) data between the period 2015-17 have been aggregated for practice codes J82619, Y02838 and J82024. For the Living Well Partnership (J82622) data for practice codes J82171, J82187 and J82622 have been aggregated. Practices that have closed during this period have been excluded.</t>
  </si>
  <si>
    <t>The directly age standardised rate of cancer incidence (all cancers) per 100,000 population.
The number of primary malignant tumours recorded at sites: C00-C97 - excluding C44.
Numerator source: Public Health England - Office for Data Release (2014-2016)
Denominator source: ONS mid-year population estimates (2014-2016)
Please note this indicator is based on resident populations; GP practice values have been calculated using GP resident catchment areas (only includes Southampton LSOAs) from data held at LSOA level - Locality values and the city average have been calculated by aggregating data held at Ward or LSOA level (depending on the dataset). As a result GP totals will not sum to Locality values or the city total, which is why GP totals have been suppressed. GP resident catchments are defined by practices that have 100 or more registered patients resident within an LSOA - based on January 2019 registered populations published by NHS Digital.
The city total will differ to national published figures, as national published figures include tumours which have other behaviour codes, some of which are secondary, metastatic or in-situ. Whereas the extract of data used to produce this indicator only includes primary malignant and micro-invasive tumours. 
Homeless Healthcare Practice (J82217) has been excluded from practice analysis.</t>
  </si>
  <si>
    <t>The directly age standardised rate of cancer incidence (all cancers) per 100,000 male population.
The number of primary malignant tumours recorded at sites: C00-C97 - excluding C44
Numerator source: Public Health England - Office for Data Release (2014-2016)
Denominator source: ONS mid-year population estimates (2014-2016)
Please note this indicator is based on resident populations; GP practice values have been calculated using GP resident catchment areas (only includes Southampton LSOAs) from data held at LSOA level - Locality values and the city average have been calculated by aggregating data held at Ward or LSOA level (depending on the dataset). As a result GP totals will not sum to Locality values or the city total, which is why GP totals have been suppressed. GP resident catchments are defined by practices that have 100 or more registered patients resident within an LSOA - based on January 2019 registered populations published by NHS Digital.
The city total will differ to national published figures, as national published figures include tumours which have other behaviour codes, some which are secondary, metastatic or in-situ. Whereas the extract of data used to produce this indicator only includes primary malignant and micro-invasive tumours. 
Homeless Healthcare Practice (J82217) has been excluded from practice analysis.</t>
  </si>
  <si>
    <t>The directly age standardised rate of cancer incidence (all cancers) per 100,000 female population.
The number of primary malignant tumours recorded at sites: C00-C97 - excluding C44
Numerator source: Public Health England - Office for Data Release (2014-2016)
Denominator source: ONS mid-year population estimates (2014-2016)
Please note this indicator is based on resident populations; GP practice values have been calculated using GP resident catchment areas (only includes Southampton LSOAs) from data held at LSOA level - Locality values and the city average have been calculated by aggregating data held at Ward or LSOA level (depending on the dataset). As a result GP totals will not sum to Locality values or the city total, which is why GP totals have been suppressed. GP resident catchments are defined by practices that have 100 or more patients registered to an LSOA - based on January 2019 registered populations published by NHS Digital.
The city total will differ to national published figures, as national published figures include tumours which have other behaviour codes, some of which are secondary, metastatic or in-situ. Whereas the extract of data used to produce this indicator only includes primary malignant and micro-invasive tumours. 
Homeless Healthcare Practice (J82217) has been excluded from practice analysis.</t>
  </si>
  <si>
    <t>The directly age standardised rate of colorectal cancer incidence per 100,000 population.
The number of primary malignant tumours recorded at sites: C18-C20.
Numerator source: Public Health England - Office for Data Release (2014-2016)
Denominator source: ONS mid-year population estimates (2014-2016)
Please note this indicator is based on resident populations; GP practice values have been calculated using GP resident catchment areas (only includes Southampton LSOAs) from data held at LSOA level - Locality values and the city average have been calculated by aggregating data held at Ward or LSOA level (depending on the dataset). As a result GP totals will not sum to Locality values or the city total, which is why GP totals have been suppressed. GP resident catchments are defined by practices that have 100 or more registered patients resident within an LSOA - based on January 2019 registered populations published by NHS Digital.
Homeless Healthcare Practice (J82217) has been excluded from practice analysis.</t>
  </si>
  <si>
    <t>The directly age standardised rate of lung cancer incidence per 100,000 population.
The number of primary malignant tumours recorded at sites: C33-C34.
Numerator source: Public Health England - Office for Data Release (2014-2016)
Denominator source: ONS mid-year population estimates (2014-2016)
Please note this indicator is based on resident populations; GP practice values have been calculated using GP resident catchment areas (only includes Southampton LSOAs) from data held at LSOA level - Locality values and the city average have been calculated by aggregating data held at Ward or LSOA level (depending on the dataset). As a result GP totals will not sum to Locality values or the city total, which is why GP totals have been suppressed. GP resident catchments are defined by practices that have 100 or more registered patients resident within an LSOA - based on January 2019 registered populations published by NHS Digital.
Homeless Healthcare Practice (J82217) has been excluded from practice analysis.</t>
  </si>
  <si>
    <t>The directly age standardised rate of female breast cancer incidence per 100,000 female population.
The number of primary malignant tumours recorded at site: C50.
Numerator source: Public Health England - Office for Data Release (2014-2016)
Denominator source: ONS mid-year population estimates (2014-2016)
Please note this indicator is based on resident populations; GP practice values have been calculated using GP resident catchment areas (only includes Southampton LSOAs) from data held at LSOA level - Locality values and the city average have been calculated by aggregating data held at Ward or LSOA level (depending on the dataset). As a result GP totals will not sum to Locality values or the city total, which is why GP totals have been suppressed. GP resident catchments are defined by practices that have 100 or more registered patients resident within an LSOA - based on January 2019 registered populations published by NHS Digital.
Homeless Healthcare Practice (J82217) has been excluded from practice analysis.</t>
  </si>
  <si>
    <t>The directly age standardised premature mortality (under 75 years) rate from cancer per 100,000 registered population.
The number of deaths registered in those aged under 75 years with ICD10 codes of C00-C97.
Numerator source: NHS Digital Civil Registration Death Extract (2015-2017)
Denominator source: NHS Digital GP registered patients (2015-2017)  
Homeless Healthcare Practice (J82217) has been excluded from practice analysis, but is included in Locality analysis.
For practices that have merged, data has been aggregated to reflect the current practice list. For Solent GP Surgery (J82024) data between the period 2015-17 have been aggregated for practice codes J82619, Y02838 and J82024. For the Living Well Partnership (J82622) data for practice codes J82171, J82187 and J82622 have been aggregated. Practices that have closed during this period have been excluded</t>
  </si>
  <si>
    <t>The directly age standardised rate of hospital admissions with a diagnosis of drug related mental health and behavioural disorders per 100,000 registered population.
Admissions with a primary or secondary diagnosis of F11-F16 and F18-F19: 
F11 Mental and behavioural disorders due to use of opioids
F12 Mental and behavioural disorders due to use of cannabinoids
F13 Mental and behavioural disorders due to use of sedatives or hypnotics
F14 Mental and behavioural disorders due to use of cocaine
F15 Mental and behavioural disorders due to use of other stimulants, including caffeine
F16 Mental and behavioural disorders due to use of hallucinogens
F18 Mental and behavioural disorders due to use of volatile solvents
F19 Mental and behavioural disorders due to multiple drug use and use of other psycho active substances
It should be noted that the city average will differ from published figures, as this indicator is based on registered populations.
Numerator source: Hospital Episode Statistics (2015/16-2017/18)
Denominator source: NHS Digital GP registered patients (2015-2017)  
Homeless Healthcare Practice (J82217) has been excluded from practice analysis, but is included in Locality analysis.
For practices that have merged, data has been aggregated to reflect the current practice list. For Solent GP Surgery (J82024) data between the period 2015/16-2017/18 have been aggregated for practice codes J82619, Y02838 and J82024. For the Living Well Partnership (J82622) data for practice codes J82171, J82187 and J82622 have been aggregated. Practices that have closed during this period have been excluded.</t>
  </si>
  <si>
    <t xml:space="preserve">The directly age standardised rate of alcohol-specific hospital admissions per 100,000 registered population.
Admissions where the primary or secondary diagnosis are alcohol-specific (wholly attributable condition): includes ICD-10 codes of:
E24.4 Alcohol-induced pseudo-Cushing's syndrome
F10 Mental and behavioural disorders due to use of alcohol
G31.2 Degeneration of nervous system due to alcohol
G62.1 Alcoholic polyneuropathy
G72.1 Alcoholic myopathy
I42.6 Alcoholic cardiomyopathy
K29.2 Alcoholic gastritis
K70 Alcoholic liver disease
K85.2 Alcohol-induced acute pancreatitis
K86.0 Alcohol-induced chronic pancreatitis
Q86.0 Foetal alcohol syndrome (dysmorphic)
R78.0 Excess alcohol blood levels
T51.0 Ethanol poisoning
T51.1 Methanol poisoning
T51.9 Toxic effect of alcohol, unspecified
X45 Accidental poisoning by and exposure to alcohol
X65 Intentional self-poisoning by and exposure to alcohol
Y15 Poisoning by and exposure to alcohol, undetermined intent
Y90 Evidence of alcohol involvement determined by blood alcohol level
Y91 Evidence of alcohol involvement determined by level of intoxication
It should be noted that the city average will differ from published figures, as this indicator is based on registered populations.
Numerator source: Hospital Episode Statistics (2015/16-2017/18)
Denominator source: NHS Digital GP registered patients (2015-2017)  
Homeless Healthcare Practice (J82217) has been excluded from practice analysis, but is included in Locality analysis.
For practices that have merged, data has been aggregated to reflect the current practice list. For Solent GP Surgery (J82024) data between the period 2015/16-2017/18 have been aggregated for practice codes J82619, Y02838 and J82024. For the Living Well Partnership (J82622) data for practice codes J82171, J82187 and J82622 have been aggregated. Practices that have closed during this period have been excluded.
</t>
  </si>
  <si>
    <t>The directly age standardised rate of hospital admissions for poisoning by illicit drugs per 100,000 registered population.
Admissions where the primary diagnosis is poisoning by illicit drugs (ICD-10 codes of T40-T40.9 and T43.6).
It should be noted that the city average will differ from published figures, as this indicator is based on registered populations.
Numerator source: Hospital Episode Statistics (2015/16-2017/18)
Denominator source: NHS Digital GP registered patients (2015-2017)  
Homeless Healthcare Practice (J82217) has been excluded from practice analysis, but is included in Locality analysis.
For practices that have merged, data has been aggregated to reflect the current practice list. For Solent GP Surgery (J82024) data between the period 2015/16-2017/18 have been aggregated for practice codes J82619, Y02838 and J82024. For the Living Well Partnership (J82622) data for practice codes J82171, J82187 and J82622 have been aggregated. Practices that have closed during this period have been excluded.
This indicator is based on the definition of poisoning by illicit drugs produced by NHS Digital (statistics on drug misuse collection) in November 2018 where data back to 2015/16 was revised to reflect the use of the controlled drug tramadol. Each year new drugs are added to the controlled list, with pregabalin and gabapentin being classified as a controlled substance in April 2019, so future definitions of this indicator may change to reflect changes in drug classifications.</t>
  </si>
  <si>
    <t xml:space="preserve">Breastfeeding initiation (partially or fully) as a percentage of mothers who's feeding method is known.
Numerator and denominator data source: UHS midwifery database: Southampton CCG (2016-18)
Please note this indicator is based on resident populations; GP practice values have been calculated using GP resident catchment areas (only includes Southampton LSOAs) from data held at LSOA level - Locality values and the city average have been calculated by aggregating data held at Ward or LSOA level (depending on the dataset). As a result GP totals will not sum to Locality values or the city total, which is why GP totals have been suppressed. GP resident catchments are defined by practices that have 100 or more registered patients resident within an LSOA - based on January 2019 registered populations published by NHS Digital.
Homeless Healthcare Practice (J82217) has been excluded from practice analysis.
Birth data is correct to date; however, it should be noted that birth data is often subject to revisions. 
Completeness of this dataset is very good; however, there is a very small number of maternities where the mother may be registered in Southampton, but live outside the Southampton City boundary- this data has not been included.
This indicator only includes mothers who have had live births.  </t>
  </si>
  <si>
    <t xml:space="preserve">Mothers smoking at time of discharge as a percentage of mothers who's smoking status is known.
Numerator and denominator data source: UHS midwifery database: Southampton CCG (2016-18)
Please note this indicator is based on resident populations; GP practice values have been calculated using GP resident catchment areas (only includes Southampton LSOAs) from data held at LSOA level - Locality values and the city average have been calculated by aggregating data held at Ward or LSOA level (depending on the dataset). As a result GP totals will not sum to Locality values or the city total, which is why GP totals have been suppressed. GP resident catchments are defined by practices that have 100 or more registered patients resident within an LSOA - based on January 2019 registered populations published by NHS Digital.
Homeless Healthcare Practice (J82217) has been excluded from practice analysis.
Birth data is correct to date; however, it should be noted that birth data is often subject to revisions. 
Completeness of this dataset is very good; however, there is a very small number of maternities where the mother may be registered in Southampton, but live outside the Southampton City boundary- this data has not been included.
This indicator only includes mothers who have had live births.  </t>
  </si>
  <si>
    <t>Low birth weight (&lt;2500g) of full term babies as a percentage of all full term babies that have a valid birth weight recorded. 
Numerator and denominator data source: UHS midwifery database: Southampton CCG (2016-18)
Please note this indicator is based on resident populations; GP practice values have been calculated using GP resident catchment areas (only includes Southampton LSOAs) from data held at LSOA level - Locality values and the city average have been calculated by aggregating data held at Ward or LSOA level (depending on the dataset). As a result GP totals will not sum to Locality values or the city total, which is why GP totals have been suppressed. GP resident catchments are defined by practices that have 100 or more registered patients resident within an LSOA - based on January 2019 registered populations published by NHS Digital.
Homeless Healthcare Practice (J82217) has been excluded from practice analysis.
Birth data is correct to date; however, it should be noted that birth data is often subject to revisions. 
Completeness of this dataset is very good; however, there is a very small number of maternities where the mother may be registered in Southampton, but live outside the Southampton City boundary- this data has not been included.</t>
  </si>
  <si>
    <t xml:space="preserve">Maternities aged under 20 years at midwifery booking as a percentage of all maternities where the mothers age at booking is recorded.
Numerator and denominator data source: UHS midwifery database: Southampton CCG (2016-18)
Please note this indicator is based on resident populations; GP practice values have been calculated using GP resident catchment areas (only includes Southampton LSOAs) from data held at LSOA level - Locality values and the city average have been calculated by aggregating data held at Ward or LSOA level (depending on the dataset). As a result GP totals will not sum to Locality values or the city total, which is why GP totals have been suppressed. GP resident catchments are defined by practices that have 100 or more registered patients resident within an LSOA - based on January 2019 registered populations published by NHS Digital.
Homeless Healthcare Practice (J82217) has been excluded from practice analysis.
Birth data is correct to date; however, it should be noted that birth data is often subject to revisions. 
Completeness of this dataset is very good; however, there is a very small number of maternities where the mother may be registered in Southampton, but live outside the Southampton City boundary- this data has not been included.
This indicator only includes mothers who have had live births.  </t>
  </si>
  <si>
    <t>The number of Year R children that are considered to be obese (95th percentile or above) (population BMI categories) as a percentage of eligible Year R children measured as part of the National Child Measurement Programme.
Numerator and denominator data source: National Child Measurement Programme Pupil Enhanced Data Set, NHS Digital - Lifestyle Statistics (2015/16 to 2017/18)
Please note this indicator is based on resident populations; GP practice values have been calculated using GP resident catchment areas (only includes Southampton LSOAs) from data held at LSOA level - Locality values and the city average have been calculated by aggregating data held at Ward or LSOA level (depending on the dataset). As a result GP totals will not sum to Locality values or the city total, which is why GP totals have been suppressed. GP resident catchments are defined by practices that have 100 or more registered patients resident within an LSOA - based on January 2019 registered populations published by NHS Digital.
Homeless Healthcare Practice (J82217) has been excluded from practice analysis.</t>
  </si>
  <si>
    <t>The number of Year 6 children that are considered to be obese (95th percentile or above) (population BMI categories) as a percentage of eligible Year 6 children measured as part of the National Child Measurement Programme.
Numerator and denominator data source: National Child Measurement Programme Pupil Enhanced Data Set, NHS Digital - Lifestyle Statistics (2015/16 to 2017/18)
Please note this indicator is based on resident populations; GP practice values have been calculated using GP resident catchment areas (only includes Southampton LSOAs) from data held at LSOA level - Locality values and the city average have been calculated by aggregating data held at Ward or LSOA level (depending on the dataset). As a result GP totals will not sum to Locality values or the city total, which is why GP totals have been suppressed. GP resident catchments are defined by practices that have 100 or more registered patients resident within an LSOA- based on January 2019 registered populations published by NHS Digital.
Homeless Healthcare Practice (J82217) has been excluded from practice analysis.</t>
  </si>
  <si>
    <t xml:space="preserve">The crude rate of looked after children per 10,000 children aged 0-17 years
Numerator data source: Southampton City Council (number of children 0-17 years in care as of 31st March 2019)
Denominator data source: Hampshire Small Area Forecasts (2018 based) (0-17 years)
Please note this indicator is based on resident populations; GP practice values have been calculated using GP resident catchment areas (only includes Southampton LSOAs) from data held at LSOA level - Locality values and the city average have been calculated by aggregating data held at Ward or LSOA level (depending on the dataset). As a result GP totals will not sum to Locality values or the city total, which is why GP totals have been suppressed. GP resident catchments are defined by practices that have 100 or more registered patients resident within an LSOA - based on January 2019 registered populations published by NHS Digital.
Homeless Healthcare Practice (J82217) has been excluded from practice analysis.
&lt;6% records are excluded from this extract due to some records missing a postcode of the child's residence prior to be taken into care by the Local Authority, additionally some postcodes of residence are outside the SCC boundary - these have also been excluded. </t>
  </si>
  <si>
    <t xml:space="preserve">Flu vaccine uptake (%) in adults aged 65 and over; who received the flu vaccination between 1st September to 31st January, as recorded on GP Practice systems.
Numerator and denominator data source: ImmForm vaccination portal (flu monthly GP main collection) (January 2019 survey)
It will be assumed that vaccinations given in other settings by other healthcare providers (e.g. pharmacies, special clinics such as antenatal care, residential homes and private or occupational health vaccinations) will be recorded onto GP systems in a timely manner.
Data has not been submitted for J82180 (Townhill surgery), therefore, this practice is not included in the East Locality value or the city average. </t>
  </si>
  <si>
    <t xml:space="preserve">The crude rate of people aged 65 and over receiving social care support (have a long-term care plan in place) per 1,000 resident population.
Numerator source: Southampton City Council (number of people aged 65 and over with a long-term care plan, as of December 31st 2018)
Denominator source: Hampshire Small Area Forecasts (2018 based)
Please note this indicator is based on resident populations; GP practice values have been calculated using GP resident catchment areas (only includes Southampton LSOAs) from data held at LSOA level - Locality values and the city average have been calculated by aggregating data held at Ward or LSOA level (depending on the dataset). As a result GP totals will not sum to Locality values or the city total, which is why GP totals have been suppressed. GP resident catchments are defined by practices that have 100 or more registered patients resident within an LSOA - based on January 2019 registered populations published by NHS Digital.
Homeless Healthcare Practice (J82217) has been excluded from practice analysis.
It should be noted that this indicator is based on where the person receiving social care support currently lives, so if they are in a residential or care home, this will be their place of residence. 
Approximately 10% of records are excluded from the extract used to produce this indicator as the postcode supplied was not valid or the current residence is outside the SCC boundary. </t>
  </si>
  <si>
    <t>Excess Winter Deaths Index (EWD Index) is the excess winter deaths measured as the ratio of extra deaths from all causes that occur in the winter months compared with the expected number of deaths, based on the average of the number of non-winter deaths.
Excess Winter Deaths Index = (excess winter deaths / average non-winter deaths) x 100
Numerator: Total number of excess winter deaths, number of deaths occurring in December, January, February and March
Denominator: Average number of deaths occurring in non-winter months
Numerator and denominator data source: NHS Digital Civil Registration Death Extract (August 2017- July 2017)
It should be noted that the city average will differ from published figures, as this indicator is based on registered populations.
Homeless Healthcare Practice (J82217) has been excluded from practice analysis, but is included in Locality analysis.
For practices that have merged, data has been aggregated to reflect the current practice list. For Solent GP Surgery (J82024) data between the period 2015-17 have been aggregated for practice codes J82619, Y02838 and J82024. For the Living Well Partnership (J82622) data for practice codes J82171, J82187 and J82622 have been aggregated. Practices that have closed during this period have been excluded</t>
  </si>
  <si>
    <t>The percentage of households estimated to be in fuel poverty (Low Income High Cost measure).
Low Income High Costs (LIHC) definition: a fuel poor household is one in which a household has required fuel costs that are above the median level and were the household to spend that amount, they would be left with a residual income below the official poverty line.
Numerator: Estimated number of households to be in fuel poverty
Denominator: Estimated number of households 
Data source: The Department for Business, Energy and Industrial Strategy (2017)
Please note this indicator is based on resident populations; GP practice values have been calculated using GP resident catchment areas (only includes Southampton LSOAs) from data published at LSOA level - Locality values and the city average have been calculated by aggregating data published at Ward or LSOA level (depending on the dataset). As a result GP totals will not sum to Locality values or the city total, which is why GP totals have been suppressed. GP resident catchments are defined by practices that have 100 or more registered patients resident within an LSOA - based on January 2019 registered populations published by NHS Digital.
Homeless Healthcare Practice (J82217) has been excluded from practice analysis.</t>
  </si>
  <si>
    <t>The percentage of lone parent households with dependent children.
Numerator: the number of lone parent households with dependent children
Denominator: All households
Data source: 2011 Census - Table KS105EW
Please note this indicator is based on resident populations; GP practice values have been calculated using GP resident catchment areas (only includes Southampton LSOAs) from data published at LSOA level - Locality values and the city average have been calculated by aggregating data published at Ward or LSOA level (depending on the dataset). As a result GP totals will not sum to Locality values or the city total, which is why GP totals have been suppressed. GP resident catchments are defined by practices that have 100 or more registered patients resident within an LSOA - based on January 2019 registered populations published by NHS Digital.
Homeless Healthcare Practice (J82217) has been excluded from practice analysis.</t>
  </si>
  <si>
    <t>The crude rate of police recorded crime (all crime types) per 1,000 resident population.
Numerator: number of recorded crimes (2019/19) - Hampshire Constabulary
Denominator: resident population (Hampshire Small Area Forecasts - 2018 based)
This indicator is based on provisional crime data, therefore, may be subject to changes.
Please note this indicator is based on resident populations; GP practice values have been calculated using GP resident catchment areas (only includes Southampton LSOAs) from data held at LSOA level - Locality values and the city average have been calculated by aggregating data held at Ward or LSOA level (depending on the dataset). As a result GP totals will not sum to Locality values or the city total, which is why GP totals have been suppressed. GP resident catchments are defined by practices that have 100 or more registered patients resident within an LSOA - based on January 2019 registered populations published by NHS Digital.
Homeless Healthcare Practice (J82217) has been excluded from practice analysis.</t>
  </si>
  <si>
    <t>The percentage of people claiming out of work benefits (both job seekers and universal credit).
Numerator data: The number of people claiming out of work benefits (Department for Work and Pensions via Nomis)
Denominator data: ONS mid-year population estimates (2017) for 16-64 year olds
Please note this indicator is based on resident populations; GP practice values have been calculated using GP resident catchment areas (only includes Southampton LSOAs) from data published at LSOA level - Locality values and the city average have been calculated by aggregating data published at Ward or LSOA level (depending on the dataset). As a result GP totals will not sum to Locality values or the city total, which is why GP totals have been suppressed. GP resident catchments are defined by practices that have 100 or more registered patients resident within an LSOA - based on January 2019 registered populations published by NHS Digital.
Homeless Healthcare Practice (J82217) has been excluded from practice analysis.
It should be noted that this indicator is based on experimental statistics and data is rounded to the nearest 5.</t>
  </si>
  <si>
    <t>The percentage of children in low income families (children living in families in receipt of out of work benefits or tax credits where their reported income is &lt; 60% median income) for u-16s only.
Numerator and denominator data source: HM Revenue and Customs (2015)
Please note this indicator is based on resident populations; GP practice values have been calculated using GP resident catchment areas (only includes Southampton LSOAs) from data published at LSOA level - Locality values and the city average have been calculated by aggregating data published at Ward or LSOA level (depending on the dataset). As a result GP totals will not sum to Locality values or the city total, which is why GP totals have been suppressed. GP resident catchments are defined by practices that have 100 or more registered patients resident within an LSOA - based on January 2019 registered populations published by NHS Digital.
Numerator and denominator data downloaded from HM Revenue and Customs is rounded to the nearest 5, as published figures are based on unrounded totals, the city average will differ to published figures.
Homeless Healthcare Practice (J82217) has been excluded from practice analysis.</t>
  </si>
  <si>
    <t>Excess Winter Deaths (%) all ages</t>
  </si>
  <si>
    <t>Resident population aged 3 years and over that have English as a first language, as a percentage of all usual residents aged over 3 years. 
Numerator and Denominator source: Office For National Statistics 2011 Census via Nomis - QS204EW - Main language (detailed).
Please note this indicator is based on resident populations; GP practice values have been calculated using GP resident catchment areas (only includes Southampton LSOAs) from figures published at LSOA level - Locality values and the city average have been calculated by aggregating figures published at Ward or LSOA level (depending on the dataset). As a result GP totals will not sum to Locality values or the city total, which is why GP totals have been suppressed. GP resident catchments are defined by practices that have 100 or more registered patients resident within an LSOA- based on January 2019 registered populations published by NHS Digital.
Homeless Healthcare Practice (J82217) has been excluded from practice analysis.</t>
  </si>
  <si>
    <t>The directly age standardised rate of emergency admissions for COPD in adults aged 35 years and over per 100,000 registered population. 
Emergency hospital admissions (admission method starts with a 2) with a primary diagnosis of J40-J44 in adults aged 35 years and over.
It should be noted that the city average will differ from published figures, as this indicator is based on registered populations.
Numerator source: Hospital Episode Statistics (2015/16-2017/18)
Denominator source: NHS Digital GP registered patients (2015-2017)  
Homeless Healthcare Practice (J82217) has been excluded from practice analysis, but is included in Locality analysis.
For practices that have merged, data has been aggregated to reflect the current practice list. For Solent GP Surgery (J82024) data between the period 2015/16-2017/18 have been aggregated for practice codes J82619, Y02838 and J82024. For the Living Well Partnership (J82622) data for practice codes J82171, J82187 and J82622 have been aggregated. Practices that have closed during this period have been excluded.</t>
  </si>
  <si>
    <t>Southampton Locality and GP Practice Profile tool: 2019</t>
  </si>
  <si>
    <r>
      <t xml:space="preserve">GP Practice and Locality profiles have been produced as spine charts to summarise a lot of information in a succinct way. Spine charts are commonly used by Public Health England to produce population health profiles and have been for a number of years. Profiles have been produced for Southampton GP Practices and Localities. The profiles include 65 indicators that are grouped into 9 themes:
• Population &amp; Demography
• Life expectancy &amp; Mortality
• Physical health &amp; wellbeing
• Mental health &amp; wellbeing
• Health behaviours
• Healthy start
• Children and young people
• Ageing well
• Wider determinants
Please note that the purpose of these profiles is to provide information about the population served by a particular Locality or GP Practice to assess health needs rather than being a tool for assessing the performance of the practices. The GP Practice and Locality profiles can be accessed using the icons below, with guidance on </t>
    </r>
    <r>
      <rPr>
        <b/>
        <sz val="10"/>
        <rFont val="Arial"/>
        <family val="2"/>
      </rPr>
      <t xml:space="preserve">how to interpret the spine charts </t>
    </r>
    <r>
      <rPr>
        <sz val="10"/>
        <rFont val="Arial"/>
        <family val="2"/>
      </rPr>
      <t>and</t>
    </r>
    <r>
      <rPr>
        <b/>
        <sz val="10"/>
        <rFont val="Arial"/>
        <family val="2"/>
      </rPr>
      <t xml:space="preserve"> Frequently Asked Questions</t>
    </r>
    <r>
      <rPr>
        <sz val="10"/>
        <rFont val="Arial"/>
        <family val="2"/>
      </rPr>
      <t xml:space="preserve"> provided further down the page.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</si>
</sst>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
  </numFmts>
  <fonts count="50" x14ac:knownFonts="1">
    <font>
      <sz val="10"/>
      <name val="Arial"/>
    </font>
    <font>
      <sz val="10"/>
      <color theme="1"/>
      <name val="Calibri"/>
      <family val="2"/>
    </font>
    <font>
      <sz val="11"/>
      <color theme="1"/>
      <name val="Calibri"/>
      <family val="2"/>
      <scheme val="minor"/>
    </font>
    <font>
      <sz val="10"/>
      <name val="Arial"/>
      <family val="2"/>
    </font>
    <font>
      <b/>
      <sz val="10"/>
      <name val="Arial"/>
      <family val="2"/>
    </font>
    <font>
      <sz val="8"/>
      <name val="Arial"/>
      <family val="2"/>
    </font>
    <font>
      <sz val="8"/>
      <color indexed="18"/>
      <name val="Arial"/>
      <family val="2"/>
    </font>
    <font>
      <b/>
      <sz val="10"/>
      <color indexed="18"/>
      <name val="Arial"/>
      <family val="2"/>
    </font>
    <font>
      <sz val="10"/>
      <name val="Arial"/>
      <family val="2"/>
    </font>
    <font>
      <sz val="10"/>
      <color indexed="18"/>
      <name val="Arial"/>
      <family val="2"/>
    </font>
    <font>
      <sz val="10"/>
      <name val="Arial"/>
      <family val="2"/>
    </font>
    <font>
      <b/>
      <sz val="10"/>
      <color indexed="62"/>
      <name val="Arial"/>
      <family val="2"/>
    </font>
    <font>
      <sz val="10"/>
      <name val="Arial"/>
      <family val="2"/>
    </font>
    <font>
      <b/>
      <sz val="12"/>
      <name val="Arial"/>
      <family val="2"/>
    </font>
    <font>
      <b/>
      <sz val="8"/>
      <name val="Arial"/>
      <family val="2"/>
    </font>
    <font>
      <b/>
      <sz val="14"/>
      <name val="Arial"/>
      <family val="2"/>
    </font>
    <font>
      <b/>
      <i/>
      <sz val="14"/>
      <name val="Arial"/>
      <family val="2"/>
    </font>
    <font>
      <b/>
      <sz val="12"/>
      <color indexed="12"/>
      <name val="Arial"/>
      <family val="2"/>
    </font>
    <font>
      <sz val="14"/>
      <name val="Arial"/>
      <family val="2"/>
    </font>
    <font>
      <sz val="8"/>
      <color indexed="18"/>
      <name val="Arial"/>
      <family val="2"/>
    </font>
    <font>
      <b/>
      <sz val="10"/>
      <color indexed="9"/>
      <name val="Arial"/>
      <family val="2"/>
    </font>
    <font>
      <b/>
      <sz val="10"/>
      <color indexed="9"/>
      <name val="Arial"/>
      <family val="2"/>
    </font>
    <font>
      <b/>
      <sz val="16"/>
      <color indexed="12"/>
      <name val="Arial"/>
      <family val="2"/>
    </font>
    <font>
      <b/>
      <i/>
      <u/>
      <sz val="10"/>
      <name val="Arial"/>
      <family val="2"/>
    </font>
    <font>
      <sz val="10"/>
      <name val="Arial"/>
      <family val="2"/>
    </font>
    <font>
      <sz val="8"/>
      <color theme="1"/>
      <name val="Calibri"/>
      <family val="2"/>
      <scheme val="minor"/>
    </font>
    <font>
      <sz val="10"/>
      <color theme="1"/>
      <name val="Calibri"/>
      <family val="2"/>
      <scheme val="minor"/>
    </font>
    <font>
      <sz val="11"/>
      <color indexed="8"/>
      <name val="Calibri"/>
      <family val="2"/>
    </font>
    <font>
      <i/>
      <sz val="8"/>
      <name val="Arial"/>
      <family val="2"/>
    </font>
    <font>
      <b/>
      <sz val="8"/>
      <color indexed="9"/>
      <name val="Arial"/>
      <family val="2"/>
    </font>
    <font>
      <b/>
      <u/>
      <sz val="8"/>
      <name val="Arial"/>
      <family val="2"/>
    </font>
    <font>
      <b/>
      <i/>
      <sz val="10"/>
      <name val="Arial"/>
      <family val="2"/>
    </font>
    <font>
      <b/>
      <sz val="10"/>
      <color theme="0"/>
      <name val="Arial"/>
      <family val="2"/>
    </font>
    <font>
      <sz val="10"/>
      <color theme="0"/>
      <name val="Arial"/>
      <family val="2"/>
    </font>
    <font>
      <sz val="10"/>
      <name val="Calibri"/>
      <family val="2"/>
      <scheme val="minor"/>
    </font>
    <font>
      <u/>
      <sz val="11"/>
      <color theme="10"/>
      <name val="Calibri"/>
      <family val="2"/>
      <scheme val="minor"/>
    </font>
    <font>
      <sz val="10"/>
      <color rgb="FFFF0000"/>
      <name val="Calibri"/>
      <family val="2"/>
      <scheme val="minor"/>
    </font>
    <font>
      <sz val="10"/>
      <color rgb="FF333333"/>
      <name val="Arial"/>
      <family val="2"/>
    </font>
    <font>
      <sz val="10"/>
      <color theme="1"/>
      <name val="Arial"/>
      <family val="2"/>
    </font>
    <font>
      <b/>
      <i/>
      <sz val="24"/>
      <color rgb="FFD50057"/>
      <name val="Arial"/>
      <family val="2"/>
    </font>
    <font>
      <b/>
      <sz val="18"/>
      <color rgb="FFFF6B00"/>
      <name val="Arial"/>
      <family val="2"/>
    </font>
    <font>
      <sz val="18"/>
      <name val="Arial"/>
      <family val="2"/>
    </font>
    <font>
      <b/>
      <u/>
      <sz val="18"/>
      <color rgb="FF1DCAD3"/>
      <name val="Arial"/>
      <family val="2"/>
    </font>
    <font>
      <b/>
      <sz val="18"/>
      <name val="Arial"/>
      <family val="2"/>
    </font>
    <font>
      <b/>
      <sz val="18"/>
      <color indexed="12"/>
      <name val="Arial"/>
      <family val="2"/>
    </font>
    <font>
      <sz val="10"/>
      <name val="Arial"/>
      <family val="2"/>
    </font>
    <font>
      <b/>
      <sz val="14"/>
      <color rgb="FF000000"/>
      <name val="Calibri"/>
      <family val="2"/>
    </font>
    <font>
      <b/>
      <sz val="16"/>
      <name val="Calibri"/>
      <family val="2"/>
      <scheme val="minor"/>
    </font>
    <font>
      <b/>
      <sz val="14"/>
      <color rgb="FFFF6B00"/>
      <name val="Arial"/>
      <family val="2"/>
    </font>
    <font>
      <b/>
      <sz val="11"/>
      <color indexed="9"/>
      <name val="Calibri"/>
      <family val="2"/>
      <scheme val="minor"/>
    </font>
  </fonts>
  <fills count="31">
    <fill>
      <patternFill patternType="none"/>
    </fill>
    <fill>
      <patternFill patternType="gray125"/>
    </fill>
    <fill>
      <patternFill patternType="solid">
        <fgColor indexed="15"/>
        <bgColor indexed="64"/>
      </patternFill>
    </fill>
    <fill>
      <patternFill patternType="solid">
        <fgColor indexed="40"/>
        <bgColor indexed="64"/>
      </patternFill>
    </fill>
    <fill>
      <patternFill patternType="solid">
        <fgColor indexed="51"/>
        <bgColor indexed="64"/>
      </patternFill>
    </fill>
    <fill>
      <patternFill patternType="solid">
        <fgColor indexed="42"/>
        <bgColor indexed="64"/>
      </patternFill>
    </fill>
    <fill>
      <patternFill patternType="solid">
        <fgColor indexed="43"/>
        <bgColor indexed="64"/>
      </patternFill>
    </fill>
    <fill>
      <patternFill patternType="solid">
        <fgColor indexed="44"/>
        <bgColor indexed="64"/>
      </patternFill>
    </fill>
    <fill>
      <patternFill patternType="solid">
        <fgColor indexed="11"/>
        <bgColor indexed="64"/>
      </patternFill>
    </fill>
    <fill>
      <patternFill patternType="solid">
        <fgColor indexed="10"/>
        <bgColor indexed="64"/>
      </patternFill>
    </fill>
    <fill>
      <patternFill patternType="solid">
        <fgColor indexed="9"/>
        <bgColor indexed="64"/>
      </patternFill>
    </fill>
    <fill>
      <patternFill patternType="solid">
        <fgColor indexed="13"/>
        <bgColor indexed="64"/>
      </patternFill>
    </fill>
    <fill>
      <patternFill patternType="solid">
        <fgColor indexed="22"/>
        <bgColor indexed="64"/>
      </patternFill>
    </fill>
    <fill>
      <patternFill patternType="solid">
        <fgColor indexed="62"/>
        <bgColor indexed="64"/>
      </patternFill>
    </fill>
    <fill>
      <patternFill patternType="solid">
        <fgColor theme="0"/>
        <bgColor indexed="64"/>
      </patternFill>
    </fill>
    <fill>
      <patternFill patternType="solid">
        <fgColor rgb="FFFFFF0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rgb="FFD50057"/>
        <bgColor indexed="64"/>
      </patternFill>
    </fill>
    <fill>
      <patternFill patternType="solid">
        <fgColor rgb="FFFF6B00"/>
        <bgColor indexed="64"/>
      </patternFill>
    </fill>
    <fill>
      <patternFill patternType="solid">
        <fgColor theme="6" tint="0.79998168889431442"/>
        <bgColor indexed="64"/>
      </patternFill>
    </fill>
    <fill>
      <patternFill patternType="solid">
        <fgColor theme="5"/>
        <bgColor indexed="64"/>
      </patternFill>
    </fill>
    <fill>
      <patternFill patternType="solid">
        <fgColor rgb="FFFF0000"/>
        <bgColor indexed="64"/>
      </patternFill>
    </fill>
    <fill>
      <patternFill patternType="solid">
        <fgColor theme="9" tint="-0.249977111117893"/>
        <bgColor indexed="64"/>
      </patternFill>
    </fill>
    <fill>
      <patternFill patternType="solid">
        <fgColor theme="0" tint="-0.249977111117893"/>
        <bgColor indexed="64"/>
      </patternFill>
    </fill>
    <fill>
      <patternFill patternType="solid">
        <fgColor rgb="FF92D050"/>
        <bgColor indexed="64"/>
      </patternFill>
    </fill>
    <fill>
      <patternFill patternType="solid">
        <fgColor rgb="FFFFB0B0"/>
        <bgColor indexed="64"/>
      </patternFill>
    </fill>
    <fill>
      <patternFill patternType="solid">
        <fgColor rgb="FFD0F0FF"/>
        <bgColor indexed="64"/>
      </patternFill>
    </fill>
    <fill>
      <patternFill patternType="solid">
        <fgColor rgb="FFFFFFD0"/>
        <bgColor indexed="64"/>
      </patternFill>
    </fill>
  </fills>
  <borders count="154">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55"/>
      </left>
      <right/>
      <top/>
      <bottom/>
      <diagonal/>
    </border>
    <border>
      <left/>
      <right/>
      <top/>
      <bottom style="medium">
        <color indexed="64"/>
      </bottom>
      <diagonal/>
    </border>
    <border>
      <left style="thin">
        <color indexed="55"/>
      </left>
      <right/>
      <top/>
      <bottom style="thin">
        <color indexed="64"/>
      </bottom>
      <diagonal/>
    </border>
    <border>
      <left/>
      <right style="medium">
        <color indexed="64"/>
      </right>
      <top/>
      <bottom/>
      <diagonal/>
    </border>
    <border>
      <left style="thin">
        <color indexed="55"/>
      </left>
      <right style="medium">
        <color indexed="64"/>
      </right>
      <top style="medium">
        <color indexed="64"/>
      </top>
      <bottom/>
      <diagonal/>
    </border>
    <border>
      <left style="thin">
        <color indexed="64"/>
      </left>
      <right style="medium">
        <color indexed="64"/>
      </right>
      <top style="thin">
        <color indexed="55"/>
      </top>
      <bottom style="thin">
        <color indexed="55"/>
      </bottom>
      <diagonal/>
    </border>
    <border>
      <left style="thin">
        <color indexed="64"/>
      </left>
      <right style="medium">
        <color indexed="64"/>
      </right>
      <top/>
      <bottom style="thin">
        <color indexed="55"/>
      </bottom>
      <diagonal/>
    </border>
    <border>
      <left style="thin">
        <color indexed="64"/>
      </left>
      <right style="medium">
        <color indexed="64"/>
      </right>
      <top style="thin">
        <color indexed="64"/>
      </top>
      <bottom style="thin">
        <color indexed="55"/>
      </bottom>
      <diagonal/>
    </border>
    <border>
      <left style="medium">
        <color indexed="64"/>
      </left>
      <right/>
      <top/>
      <bottom/>
      <diagonal/>
    </border>
    <border>
      <left/>
      <right/>
      <top style="medium">
        <color indexed="64"/>
      </top>
      <bottom/>
      <diagonal/>
    </border>
    <border>
      <left style="thin">
        <color indexed="64"/>
      </left>
      <right style="thin">
        <color indexed="64"/>
      </right>
      <top/>
      <bottom style="thin">
        <color indexed="55"/>
      </bottom>
      <diagonal/>
    </border>
    <border>
      <left style="medium">
        <color indexed="64"/>
      </left>
      <right style="thin">
        <color indexed="55"/>
      </right>
      <top/>
      <bottom style="thin">
        <color indexed="55"/>
      </bottom>
      <diagonal/>
    </border>
    <border>
      <left style="thin">
        <color indexed="55"/>
      </left>
      <right style="thin">
        <color indexed="55"/>
      </right>
      <top/>
      <bottom style="thin">
        <color indexed="55"/>
      </bottom>
      <diagonal/>
    </border>
    <border>
      <left style="thin">
        <color indexed="55"/>
      </left>
      <right/>
      <top/>
      <bottom style="thin">
        <color indexed="55"/>
      </bottom>
      <diagonal/>
    </border>
    <border>
      <left style="thin">
        <color indexed="55"/>
      </left>
      <right style="medium">
        <color indexed="64"/>
      </right>
      <top/>
      <bottom style="thin">
        <color indexed="55"/>
      </bottom>
      <diagonal/>
    </border>
    <border>
      <left style="thin">
        <color indexed="55"/>
      </left>
      <right/>
      <top style="thin">
        <color indexed="55"/>
      </top>
      <bottom style="thin">
        <color indexed="55"/>
      </bottom>
      <diagonal/>
    </border>
    <border>
      <left style="thin">
        <color indexed="55"/>
      </left>
      <right style="medium">
        <color indexed="64"/>
      </right>
      <top style="thin">
        <color indexed="55"/>
      </top>
      <bottom style="thin">
        <color indexed="55"/>
      </bottom>
      <diagonal/>
    </border>
    <border>
      <left style="thin">
        <color indexed="55"/>
      </left>
      <right style="medium">
        <color indexed="64"/>
      </right>
      <top style="thin">
        <color indexed="55"/>
      </top>
      <bottom style="thin">
        <color indexed="64"/>
      </bottom>
      <diagonal/>
    </border>
    <border>
      <left style="thin">
        <color indexed="55"/>
      </left>
      <right/>
      <top style="thin">
        <color indexed="64"/>
      </top>
      <bottom style="thin">
        <color indexed="55"/>
      </bottom>
      <diagonal/>
    </border>
    <border>
      <left style="thin">
        <color indexed="55"/>
      </left>
      <right style="medium">
        <color indexed="64"/>
      </right>
      <top style="thin">
        <color indexed="64"/>
      </top>
      <bottom style="thin">
        <color indexed="55"/>
      </bottom>
      <diagonal/>
    </border>
    <border>
      <left style="thin">
        <color indexed="55"/>
      </left>
      <right style="medium">
        <color indexed="64"/>
      </right>
      <top style="thin">
        <color indexed="55"/>
      </top>
      <bottom/>
      <diagonal/>
    </border>
    <border>
      <left style="thin">
        <color indexed="55"/>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thin">
        <color indexed="55"/>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medium">
        <color indexed="64"/>
      </right>
      <top style="thin">
        <color indexed="55"/>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theme="1"/>
      </bottom>
      <diagonal/>
    </border>
    <border>
      <left style="thin">
        <color indexed="64"/>
      </left>
      <right style="medium">
        <color indexed="64"/>
      </right>
      <top style="thin">
        <color indexed="55"/>
      </top>
      <bottom style="thin">
        <color theme="0" tint="-0.499984740745262"/>
      </bottom>
      <diagonal/>
    </border>
    <border>
      <left style="thin">
        <color indexed="55"/>
      </left>
      <right/>
      <top style="thin">
        <color indexed="55"/>
      </top>
      <bottom style="thin">
        <color theme="0" tint="-0.499984740745262"/>
      </bottom>
      <diagonal/>
    </border>
    <border>
      <left style="thin">
        <color indexed="55"/>
      </left>
      <right style="medium">
        <color indexed="64"/>
      </right>
      <top style="thin">
        <color indexed="55"/>
      </top>
      <bottom style="thin">
        <color theme="0" tint="-0.499984740745262"/>
      </bottom>
      <diagonal/>
    </border>
    <border>
      <left/>
      <right/>
      <top/>
      <bottom style="thin">
        <color theme="0" tint="-0.499984740745262"/>
      </bottom>
      <diagonal/>
    </border>
    <border>
      <left style="thin">
        <color indexed="55"/>
      </left>
      <right style="medium">
        <color indexed="64"/>
      </right>
      <top style="thin">
        <color theme="0" tint="-0.499984740745262"/>
      </top>
      <bottom style="thin">
        <color theme="0" tint="-0.499984740745262"/>
      </bottom>
      <diagonal/>
    </border>
    <border>
      <left style="thin">
        <color indexed="55"/>
      </left>
      <right style="thin">
        <color indexed="55"/>
      </right>
      <top style="thin">
        <color theme="0" tint="-0.499984740745262"/>
      </top>
      <bottom style="thin">
        <color theme="0" tint="-0.499984740745262"/>
      </bottom>
      <diagonal/>
    </border>
    <border>
      <left style="thin">
        <color indexed="64"/>
      </left>
      <right style="medium">
        <color indexed="64"/>
      </right>
      <top style="thin">
        <color theme="0" tint="-0.499984740745262"/>
      </top>
      <bottom style="thin">
        <color theme="0" tint="-0.499984740745262"/>
      </bottom>
      <diagonal/>
    </border>
    <border>
      <left style="thin">
        <color indexed="55"/>
      </left>
      <right/>
      <top/>
      <bottom style="thin">
        <color theme="0" tint="-0.499984740745262"/>
      </bottom>
      <diagonal/>
    </border>
    <border>
      <left/>
      <right style="medium">
        <color indexed="64"/>
      </right>
      <top/>
      <bottom style="thin">
        <color indexed="64"/>
      </bottom>
      <diagonal/>
    </border>
    <border>
      <left style="thin">
        <color indexed="64"/>
      </left>
      <right style="medium">
        <color indexed="64"/>
      </right>
      <top/>
      <bottom style="thin">
        <color theme="1"/>
      </bottom>
      <diagonal/>
    </border>
    <border>
      <left style="medium">
        <color indexed="64"/>
      </left>
      <right/>
      <top/>
      <bottom style="thin">
        <color theme="1"/>
      </bottom>
      <diagonal/>
    </border>
    <border>
      <left style="medium">
        <color indexed="64"/>
      </left>
      <right style="thin">
        <color indexed="64"/>
      </right>
      <top style="thin">
        <color theme="0" tint="-0.499984740745262"/>
      </top>
      <bottom style="thin">
        <color theme="0" tint="-0.499984740745262"/>
      </bottom>
      <diagonal/>
    </border>
    <border>
      <left/>
      <right style="thin">
        <color indexed="64"/>
      </right>
      <top/>
      <bottom style="thin">
        <color theme="1"/>
      </bottom>
      <diagonal/>
    </border>
    <border>
      <left style="thin">
        <color indexed="64"/>
      </left>
      <right style="medium">
        <color indexed="64"/>
      </right>
      <top/>
      <bottom style="thin">
        <color theme="0" tint="-0.499984740745262"/>
      </bottom>
      <diagonal/>
    </border>
    <border>
      <left/>
      <right style="medium">
        <color indexed="64"/>
      </right>
      <top/>
      <bottom style="thin">
        <color theme="0" tint="-0.499984740745262"/>
      </bottom>
      <diagonal/>
    </border>
    <border>
      <left style="medium">
        <color indexed="64"/>
      </left>
      <right style="thin">
        <color indexed="55"/>
      </right>
      <top/>
      <bottom style="thin">
        <color theme="0" tint="-0.499984740745262"/>
      </bottom>
      <diagonal/>
    </border>
    <border>
      <left style="thin">
        <color indexed="55"/>
      </left>
      <right style="thin">
        <color indexed="55"/>
      </right>
      <top/>
      <bottom style="thin">
        <color theme="0" tint="-0.499984740745262"/>
      </bottom>
      <diagonal/>
    </border>
    <border>
      <left style="thin">
        <color indexed="55"/>
      </left>
      <right style="medium">
        <color indexed="64"/>
      </right>
      <top/>
      <bottom style="thin">
        <color theme="0" tint="-0.499984740745262"/>
      </bottom>
      <diagonal/>
    </border>
    <border>
      <left style="medium">
        <color indexed="64"/>
      </left>
      <right style="thin">
        <color indexed="64"/>
      </right>
      <top/>
      <bottom style="thin">
        <color theme="0" tint="-0.499984740745262"/>
      </bottom>
      <diagonal/>
    </border>
    <border>
      <left/>
      <right style="medium">
        <color indexed="64"/>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indexed="55"/>
      </left>
      <right/>
      <top style="thin">
        <color theme="0" tint="-0.499984740745262"/>
      </top>
      <bottom style="thin">
        <color theme="0" tint="-0.499984740745262"/>
      </bottom>
      <diagonal/>
    </border>
    <border>
      <left style="medium">
        <color indexed="64"/>
      </left>
      <right style="medium">
        <color indexed="64"/>
      </right>
      <top style="thin">
        <color theme="0" tint="-0.499984740745262"/>
      </top>
      <bottom style="thin">
        <color theme="0" tint="-0.499984740745262"/>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thin">
        <color theme="0" tint="-0.499984740745262"/>
      </top>
      <bottom/>
      <diagonal/>
    </border>
    <border>
      <left style="thin">
        <color indexed="55"/>
      </left>
      <right style="medium">
        <color indexed="64"/>
      </right>
      <top style="thin">
        <color indexed="64"/>
      </top>
      <bottom style="thin">
        <color theme="0" tint="-0.499984740745262"/>
      </bottom>
      <diagonal/>
    </border>
    <border>
      <left style="thin">
        <color indexed="64"/>
      </left>
      <right style="medium">
        <color indexed="64"/>
      </right>
      <top style="thin">
        <color theme="0" tint="-0.499984740745262"/>
      </top>
      <bottom style="thin">
        <color indexed="64"/>
      </bottom>
      <diagonal/>
    </border>
    <border>
      <left/>
      <right/>
      <top style="thin">
        <color indexed="64"/>
      </top>
      <bottom style="thin">
        <color theme="0" tint="-0.499984740745262"/>
      </bottom>
      <diagonal/>
    </border>
    <border>
      <left style="thin">
        <color indexed="55"/>
      </left>
      <right style="medium">
        <color indexed="64"/>
      </right>
      <top/>
      <bottom style="medium">
        <color indexed="64"/>
      </bottom>
      <diagonal/>
    </border>
    <border>
      <left style="thin">
        <color indexed="64"/>
      </left>
      <right style="medium">
        <color indexed="64"/>
      </right>
      <top style="thin">
        <color theme="0" tint="-0.499984740745262"/>
      </top>
      <bottom/>
      <diagonal/>
    </border>
    <border>
      <left style="thin">
        <color indexed="64"/>
      </left>
      <right style="medium">
        <color indexed="64"/>
      </right>
      <top style="thin">
        <color theme="0" tint="-0.499984740745262"/>
      </top>
      <bottom style="thin">
        <color indexed="55"/>
      </bottom>
      <diagonal/>
    </border>
    <border>
      <left style="thin">
        <color indexed="64"/>
      </left>
      <right style="medium">
        <color indexed="64"/>
      </right>
      <top style="thin">
        <color theme="0" tint="-0.499984740745262"/>
      </top>
      <bottom style="medium">
        <color indexed="64"/>
      </bottom>
      <diagonal/>
    </border>
    <border>
      <left style="medium">
        <color indexed="64"/>
      </left>
      <right style="thin">
        <color indexed="64"/>
      </right>
      <top style="thin">
        <color theme="0" tint="-0.499984740745262"/>
      </top>
      <bottom style="medium">
        <color indexed="64"/>
      </bottom>
      <diagonal/>
    </border>
    <border>
      <left style="medium">
        <color indexed="64"/>
      </left>
      <right/>
      <top style="thin">
        <color indexed="64"/>
      </top>
      <bottom style="thin">
        <color theme="0" tint="-0.499984740745262"/>
      </bottom>
      <diagonal/>
    </border>
    <border>
      <left style="thin">
        <color indexed="55"/>
      </left>
      <right/>
      <top style="thin">
        <color indexed="64"/>
      </top>
      <bottom style="thin">
        <color theme="0" tint="-0.499984740745262"/>
      </bottom>
      <diagonal/>
    </border>
    <border>
      <left style="medium">
        <color indexed="64"/>
      </left>
      <right style="thin">
        <color indexed="64"/>
      </right>
      <top style="thin">
        <color indexed="64"/>
      </top>
      <bottom style="thin">
        <color theme="0" tint="-0.499984740745262"/>
      </bottom>
      <diagonal/>
    </border>
    <border>
      <left style="thin">
        <color indexed="64"/>
      </left>
      <right style="medium">
        <color indexed="64"/>
      </right>
      <top style="thin">
        <color indexed="64"/>
      </top>
      <bottom style="thin">
        <color theme="0" tint="-0.499984740745262"/>
      </bottom>
      <diagonal/>
    </border>
    <border>
      <left style="thin">
        <color indexed="64"/>
      </left>
      <right style="medium">
        <color indexed="64"/>
      </right>
      <top style="thin">
        <color indexed="55"/>
      </top>
      <bottom/>
      <diagonal/>
    </border>
    <border>
      <left style="thin">
        <color indexed="55"/>
      </left>
      <right/>
      <top style="thin">
        <color indexed="55"/>
      </top>
      <bottom/>
      <diagonal/>
    </border>
    <border>
      <left style="thin">
        <color indexed="64"/>
      </left>
      <right style="thin">
        <color indexed="64"/>
      </right>
      <top style="thin">
        <color indexed="64"/>
      </top>
      <bottom style="thin">
        <color indexed="55"/>
      </bottom>
      <diagonal/>
    </border>
    <border>
      <left style="thin">
        <color indexed="64"/>
      </left>
      <right style="medium">
        <color indexed="64"/>
      </right>
      <top style="thin">
        <color indexed="55"/>
      </top>
      <bottom style="thin">
        <color indexed="64"/>
      </bottom>
      <diagonal/>
    </border>
    <border>
      <left style="thin">
        <color indexed="55"/>
      </left>
      <right/>
      <top style="thin">
        <color indexed="55"/>
      </top>
      <bottom style="thin">
        <color indexed="64"/>
      </bottom>
      <diagonal/>
    </border>
    <border>
      <left style="medium">
        <color indexed="64"/>
      </left>
      <right style="thin">
        <color indexed="64"/>
      </right>
      <top/>
      <bottom style="thin">
        <color indexed="55"/>
      </bottom>
      <diagonal/>
    </border>
    <border>
      <left style="medium">
        <color indexed="64"/>
      </left>
      <right style="thin">
        <color indexed="64"/>
      </right>
      <top style="thin">
        <color indexed="55"/>
      </top>
      <bottom style="thin">
        <color indexed="55"/>
      </bottom>
      <diagonal/>
    </border>
    <border>
      <left style="medium">
        <color indexed="64"/>
      </left>
      <right style="thin">
        <color indexed="64"/>
      </right>
      <top style="thin">
        <color indexed="55"/>
      </top>
      <bottom style="thin">
        <color theme="0" tint="-0.499984740745262"/>
      </bottom>
      <diagonal/>
    </border>
    <border>
      <left style="medium">
        <color indexed="64"/>
      </left>
      <right style="thin">
        <color indexed="64"/>
      </right>
      <top style="thin">
        <color theme="0" tint="-0.499984740745262"/>
      </top>
      <bottom style="thin">
        <color indexed="55"/>
      </bottom>
      <diagonal/>
    </border>
    <border>
      <left style="medium">
        <color indexed="64"/>
      </left>
      <right style="thin">
        <color indexed="64"/>
      </right>
      <top style="thin">
        <color indexed="55"/>
      </top>
      <bottom/>
      <diagonal/>
    </border>
    <border>
      <left style="medium">
        <color indexed="64"/>
      </left>
      <right style="thin">
        <color indexed="64"/>
      </right>
      <top style="thin">
        <color indexed="64"/>
      </top>
      <bottom style="thin">
        <color indexed="55"/>
      </bottom>
      <diagonal/>
    </border>
    <border>
      <left style="medium">
        <color indexed="64"/>
      </left>
      <right style="thin">
        <color indexed="64"/>
      </right>
      <top style="thin">
        <color indexed="55"/>
      </top>
      <bottom style="thin">
        <color indexed="64"/>
      </bottom>
      <diagonal/>
    </border>
    <border>
      <left style="medium">
        <color indexed="64"/>
      </left>
      <right style="thin">
        <color indexed="64"/>
      </right>
      <top style="thin">
        <color indexed="55"/>
      </top>
      <bottom style="medium">
        <color indexed="64"/>
      </bottom>
      <diagonal/>
    </border>
    <border>
      <left/>
      <right style="medium">
        <color indexed="64"/>
      </right>
      <top/>
      <bottom style="thin">
        <color indexed="55"/>
      </bottom>
      <diagonal/>
    </border>
    <border>
      <left/>
      <right style="medium">
        <color indexed="64"/>
      </right>
      <top style="thin">
        <color indexed="55"/>
      </top>
      <bottom style="thin">
        <color indexed="55"/>
      </bottom>
      <diagonal/>
    </border>
    <border>
      <left/>
      <right style="medium">
        <color indexed="64"/>
      </right>
      <top style="thin">
        <color indexed="55"/>
      </top>
      <bottom style="thin">
        <color theme="0" tint="-0.499984740745262"/>
      </bottom>
      <diagonal/>
    </border>
    <border>
      <left/>
      <right style="medium">
        <color indexed="64"/>
      </right>
      <top style="thin">
        <color theme="0" tint="-0.499984740745262"/>
      </top>
      <bottom style="thin">
        <color theme="1"/>
      </bottom>
      <diagonal/>
    </border>
    <border>
      <left/>
      <right style="medium">
        <color indexed="64"/>
      </right>
      <top style="thin">
        <color indexed="64"/>
      </top>
      <bottom style="thin">
        <color indexed="55"/>
      </bottom>
      <diagonal/>
    </border>
    <border>
      <left/>
      <right style="medium">
        <color indexed="64"/>
      </right>
      <top style="thin">
        <color indexed="55"/>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55"/>
      </top>
      <bottom style="medium">
        <color indexed="64"/>
      </bottom>
      <diagonal/>
    </border>
    <border>
      <left style="medium">
        <color indexed="64"/>
      </left>
      <right/>
      <top style="medium">
        <color indexed="64"/>
      </top>
      <bottom/>
      <diagonal/>
    </border>
    <border>
      <left style="medium">
        <color indexed="64"/>
      </left>
      <right style="medium">
        <color indexed="64"/>
      </right>
      <top/>
      <bottom style="thin">
        <color theme="0" tint="-0.499984740745262"/>
      </bottom>
      <diagonal/>
    </border>
    <border>
      <left style="medium">
        <color indexed="64"/>
      </left>
      <right style="thin">
        <color indexed="55"/>
      </right>
      <top style="thin">
        <color indexed="55"/>
      </top>
      <bottom style="thin">
        <color indexed="64"/>
      </bottom>
      <diagonal/>
    </border>
    <border>
      <left style="medium">
        <color indexed="64"/>
      </left>
      <right style="thin">
        <color indexed="55"/>
      </right>
      <top/>
      <bottom style="thin">
        <color indexed="64"/>
      </bottom>
      <diagonal/>
    </border>
    <border>
      <left style="medium">
        <color indexed="64"/>
      </left>
      <right style="thin">
        <color indexed="64"/>
      </right>
      <top style="thin">
        <color theme="1"/>
      </top>
      <bottom/>
      <diagonal/>
    </border>
    <border>
      <left style="thin">
        <color indexed="64"/>
      </left>
      <right style="thin">
        <color indexed="64"/>
      </right>
      <top/>
      <bottom style="medium">
        <color indexed="64"/>
      </bottom>
      <diagonal/>
    </border>
    <border>
      <left style="thin">
        <color indexed="64"/>
      </left>
      <right style="medium">
        <color indexed="64"/>
      </right>
      <top style="thin">
        <color indexed="55"/>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55"/>
      </left>
      <right style="thin">
        <color indexed="55"/>
      </right>
      <top/>
      <bottom style="thin">
        <color indexed="64"/>
      </bottom>
      <diagonal/>
    </border>
    <border>
      <left style="medium">
        <color indexed="64"/>
      </left>
      <right style="thin">
        <color indexed="64"/>
      </right>
      <top style="thin">
        <color theme="0" tint="-0.499984740745262"/>
      </top>
      <bottom style="thin">
        <color indexed="64"/>
      </bottom>
      <diagonal/>
    </border>
    <border>
      <left style="medium">
        <color indexed="64"/>
      </left>
      <right style="thin">
        <color indexed="55"/>
      </right>
      <top style="thin">
        <color indexed="64"/>
      </top>
      <bottom style="thin">
        <color indexed="55"/>
      </bottom>
      <diagonal/>
    </border>
    <border>
      <left style="medium">
        <color indexed="64"/>
      </left>
      <right style="thin">
        <color indexed="55"/>
      </right>
      <top/>
      <bottom/>
      <diagonal/>
    </border>
    <border>
      <left style="medium">
        <color indexed="64"/>
      </left>
      <right style="thin">
        <color indexed="64"/>
      </right>
      <top style="thin">
        <color theme="0" tint="-0.499984740745262"/>
      </top>
      <bottom style="thin">
        <color theme="1"/>
      </bottom>
      <diagonal/>
    </border>
    <border>
      <left style="medium">
        <color rgb="FFFFFFFF"/>
      </left>
      <right style="medium">
        <color rgb="FFFFFFFF"/>
      </right>
      <top style="medium">
        <color rgb="FFFFFFFF"/>
      </top>
      <bottom style="medium">
        <color rgb="FFFFFFFF"/>
      </bottom>
      <diagonal/>
    </border>
    <border>
      <left/>
      <right/>
      <top/>
      <bottom style="medium">
        <color rgb="FFFFFFFF"/>
      </bottom>
      <diagonal/>
    </border>
    <border>
      <left style="thin">
        <color indexed="64"/>
      </left>
      <right style="thin">
        <color indexed="64"/>
      </right>
      <top/>
      <bottom style="thin">
        <color theme="0" tint="-0.499984740745262"/>
      </bottom>
      <diagonal/>
    </border>
    <border>
      <left/>
      <right style="medium">
        <color indexed="64"/>
      </right>
      <top/>
      <bottom style="medium">
        <color indexed="64"/>
      </bottom>
      <diagonal/>
    </border>
    <border>
      <left style="medium">
        <color indexed="64"/>
      </left>
      <right/>
      <top/>
      <bottom style="medium">
        <color indexed="64"/>
      </bottom>
      <diagonal/>
    </border>
    <border>
      <left/>
      <right style="thin">
        <color indexed="64"/>
      </right>
      <top style="thin">
        <color indexed="64"/>
      </top>
      <bottom style="thin">
        <color indexed="55"/>
      </bottom>
      <diagonal/>
    </border>
    <border>
      <left/>
      <right style="thin">
        <color indexed="64"/>
      </right>
      <top style="thin">
        <color indexed="55"/>
      </top>
      <bottom style="thin">
        <color indexed="55"/>
      </bottom>
      <diagonal/>
    </border>
    <border>
      <left/>
      <right style="thin">
        <color indexed="64"/>
      </right>
      <top style="thin">
        <color indexed="55"/>
      </top>
      <bottom style="thin">
        <color indexed="64"/>
      </bottom>
      <diagonal/>
    </border>
    <border>
      <left style="medium">
        <color indexed="64"/>
      </left>
      <right style="thin">
        <color indexed="55"/>
      </right>
      <top style="thin">
        <color theme="0" tint="-0.499984740745262"/>
      </top>
      <bottom style="thin">
        <color indexed="64"/>
      </bottom>
      <diagonal/>
    </border>
    <border>
      <left style="medium">
        <color indexed="64"/>
      </left>
      <right style="thin">
        <color indexed="55"/>
      </right>
      <top style="thin">
        <color indexed="64"/>
      </top>
      <bottom style="thin">
        <color theme="0" tint="-0.499984740745262"/>
      </bottom>
      <diagonal/>
    </border>
    <border>
      <left style="thin">
        <color indexed="64"/>
      </left>
      <right/>
      <top style="medium">
        <color indexed="64"/>
      </top>
      <bottom/>
      <diagonal/>
    </border>
  </borders>
  <cellStyleXfs count="13">
    <xf numFmtId="0" fontId="0" fillId="0" borderId="0"/>
    <xf numFmtId="0" fontId="2" fillId="0" borderId="0"/>
    <xf numFmtId="0" fontId="27" fillId="0" borderId="0"/>
    <xf numFmtId="0" fontId="2" fillId="0" borderId="0"/>
    <xf numFmtId="0" fontId="3" fillId="0" borderId="0"/>
    <xf numFmtId="0" fontId="24" fillId="0" borderId="0"/>
    <xf numFmtId="0" fontId="3" fillId="0" borderId="0"/>
    <xf numFmtId="0" fontId="3" fillId="0" borderId="0"/>
    <xf numFmtId="0" fontId="5" fillId="0" borderId="0"/>
    <xf numFmtId="0" fontId="5" fillId="0" borderId="0"/>
    <xf numFmtId="0" fontId="35" fillId="0" borderId="0" applyNumberFormat="0" applyFill="0" applyBorder="0" applyAlignment="0" applyProtection="0"/>
    <xf numFmtId="0" fontId="1" fillId="0" borderId="0"/>
    <xf numFmtId="9" fontId="45" fillId="0" borderId="0" applyFont="0" applyFill="0" applyBorder="0" applyAlignment="0" applyProtection="0"/>
  </cellStyleXfs>
  <cellXfs count="447">
    <xf numFmtId="0" fontId="0" fillId="0" borderId="0" xfId="0"/>
    <xf numFmtId="0" fontId="4" fillId="0" borderId="0" xfId="0" applyFont="1"/>
    <xf numFmtId="2" fontId="0" fillId="0" borderId="0" xfId="0" applyNumberFormat="1"/>
    <xf numFmtId="1" fontId="0" fillId="0" borderId="0" xfId="0" applyNumberFormat="1"/>
    <xf numFmtId="164" fontId="0" fillId="0" borderId="0" xfId="0" applyNumberFormat="1"/>
    <xf numFmtId="0" fontId="0" fillId="0" borderId="0" xfId="0" applyAlignment="1">
      <alignment horizontal="center" vertical="top" wrapText="1"/>
    </xf>
    <xf numFmtId="0" fontId="0" fillId="0" borderId="0" xfId="0" applyAlignment="1">
      <alignment vertical="top" wrapText="1"/>
    </xf>
    <xf numFmtId="0" fontId="3" fillId="0" borderId="0" xfId="0" applyFont="1"/>
    <xf numFmtId="0" fontId="8" fillId="0" borderId="0" xfId="0" applyFont="1"/>
    <xf numFmtId="0" fontId="10" fillId="0" borderId="0" xfId="0" applyFont="1"/>
    <xf numFmtId="0" fontId="7" fillId="0" borderId="0" xfId="0" applyFont="1" applyAlignment="1">
      <alignment horizontal="center" vertical="center" textRotation="90"/>
    </xf>
    <xf numFmtId="0" fontId="7" fillId="0" borderId="0" xfId="0" applyFont="1" applyAlignment="1">
      <alignment horizontal="center" vertical="center" textRotation="90" wrapText="1"/>
    </xf>
    <xf numFmtId="0" fontId="9" fillId="0" borderId="0" xfId="0" applyFont="1" applyAlignment="1">
      <alignment horizontal="center" vertical="center" textRotation="90" wrapText="1"/>
    </xf>
    <xf numFmtId="0" fontId="10" fillId="0" borderId="0" xfId="0" applyFont="1" applyAlignment="1">
      <alignment textRotation="90"/>
    </xf>
    <xf numFmtId="0" fontId="7" fillId="0" borderId="0" xfId="0" applyFont="1" applyAlignment="1">
      <alignment vertical="center"/>
    </xf>
    <xf numFmtId="0" fontId="8" fillId="0" borderId="0" xfId="0" applyFont="1" applyAlignment="1">
      <alignment textRotation="90"/>
    </xf>
    <xf numFmtId="0" fontId="7" fillId="0" borderId="0" xfId="0" applyFont="1" applyAlignment="1">
      <alignment horizontal="center" vertical="center"/>
    </xf>
    <xf numFmtId="164" fontId="9" fillId="0" borderId="0" xfId="0" applyNumberFormat="1" applyFont="1" applyAlignment="1">
      <alignment horizontal="center" vertical="top" textRotation="90"/>
    </xf>
    <xf numFmtId="0" fontId="7" fillId="0" borderId="0" xfId="0" applyFont="1" applyAlignment="1">
      <alignment horizontal="right" textRotation="90" wrapText="1"/>
    </xf>
    <xf numFmtId="164" fontId="9" fillId="0" borderId="0" xfId="0" applyNumberFormat="1" applyFont="1" applyAlignment="1">
      <alignment horizontal="center" textRotation="90"/>
    </xf>
    <xf numFmtId="0" fontId="11" fillId="0" borderId="0" xfId="0" applyFont="1" applyAlignment="1">
      <alignment textRotation="90"/>
    </xf>
    <xf numFmtId="0" fontId="5" fillId="0" borderId="0" xfId="0" applyFont="1"/>
    <xf numFmtId="0" fontId="13" fillId="0" borderId="0" xfId="0" applyFont="1"/>
    <xf numFmtId="0" fontId="12" fillId="0" borderId="0" xfId="0" applyFont="1"/>
    <xf numFmtId="0" fontId="10" fillId="10" borderId="0" xfId="0" applyFont="1" applyFill="1"/>
    <xf numFmtId="0" fontId="10" fillId="10" borderId="0" xfId="0" applyFont="1" applyFill="1" applyAlignment="1">
      <alignment textRotation="90"/>
    </xf>
    <xf numFmtId="2" fontId="5" fillId="0" borderId="0" xfId="0" applyNumberFormat="1" applyFont="1"/>
    <xf numFmtId="0" fontId="16" fillId="0" borderId="0" xfId="0" applyFont="1"/>
    <xf numFmtId="0" fontId="17" fillId="0" borderId="0" xfId="0" applyFont="1"/>
    <xf numFmtId="0" fontId="10" fillId="10" borderId="14" xfId="0" applyFont="1" applyFill="1" applyBorder="1"/>
    <xf numFmtId="0" fontId="7" fillId="0" borderId="19" xfId="0" applyFont="1" applyBorder="1" applyAlignment="1">
      <alignment horizontal="center" vertical="center" wrapText="1"/>
    </xf>
    <xf numFmtId="0" fontId="5" fillId="0" borderId="0" xfId="0" applyFont="1" applyAlignment="1">
      <alignment horizontal="center"/>
    </xf>
    <xf numFmtId="0" fontId="15" fillId="11" borderId="0" xfId="0" applyFont="1" applyFill="1"/>
    <xf numFmtId="0" fontId="0" fillId="11" borderId="0" xfId="0" applyFill="1"/>
    <xf numFmtId="0" fontId="18" fillId="11" borderId="0" xfId="0" applyFont="1" applyFill="1"/>
    <xf numFmtId="2" fontId="9" fillId="0" borderId="0" xfId="0" applyNumberFormat="1" applyFont="1" applyAlignment="1">
      <alignment horizontal="right" vertical="center"/>
    </xf>
    <xf numFmtId="164" fontId="19" fillId="0" borderId="20" xfId="0" applyNumberFormat="1" applyFont="1" applyBorder="1" applyAlignment="1">
      <alignment horizontal="left" vertical="center"/>
    </xf>
    <xf numFmtId="164" fontId="6" fillId="0" borderId="22" xfId="0" applyNumberFormat="1" applyFont="1" applyBorder="1" applyAlignment="1">
      <alignment horizontal="left" vertical="center"/>
    </xf>
    <xf numFmtId="164" fontId="6" fillId="0" borderId="21" xfId="0" applyNumberFormat="1" applyFont="1" applyBorder="1" applyAlignment="1">
      <alignment horizontal="left" vertical="center"/>
    </xf>
    <xf numFmtId="164" fontId="6" fillId="0" borderId="23" xfId="0" applyNumberFormat="1" applyFont="1" applyBorder="1" applyAlignment="1">
      <alignment horizontal="left" vertical="center"/>
    </xf>
    <xf numFmtId="0" fontId="4" fillId="0" borderId="25" xfId="0" applyFont="1" applyBorder="1" applyAlignment="1">
      <alignment horizontal="center" vertical="center" textRotation="90"/>
    </xf>
    <xf numFmtId="0" fontId="4" fillId="0" borderId="26" xfId="0" applyFont="1" applyBorder="1" applyAlignment="1">
      <alignment horizontal="center" vertical="center"/>
    </xf>
    <xf numFmtId="0" fontId="8" fillId="0" borderId="0" xfId="0" applyFont="1" applyAlignment="1">
      <alignment horizontal="left"/>
    </xf>
    <xf numFmtId="0" fontId="0" fillId="0" borderId="0" xfId="0" applyAlignment="1">
      <alignment wrapText="1"/>
    </xf>
    <xf numFmtId="1" fontId="9" fillId="0" borderId="24" xfId="0" applyNumberFormat="1" applyFont="1" applyBorder="1" applyAlignment="1">
      <alignment horizontal="right" vertical="center"/>
    </xf>
    <xf numFmtId="2" fontId="9" fillId="0" borderId="16" xfId="0" applyNumberFormat="1" applyFont="1" applyBorder="1" applyAlignment="1">
      <alignment horizontal="right" vertical="center"/>
    </xf>
    <xf numFmtId="2" fontId="9" fillId="0" borderId="37" xfId="0" applyNumberFormat="1" applyFont="1" applyBorder="1" applyAlignment="1">
      <alignment horizontal="right" vertical="center"/>
    </xf>
    <xf numFmtId="0" fontId="7" fillId="10" borderId="0" xfId="0" applyFont="1" applyFill="1" applyAlignment="1">
      <alignment vertical="center" wrapText="1"/>
    </xf>
    <xf numFmtId="0" fontId="3" fillId="0" borderId="0" xfId="0" applyFont="1" applyAlignment="1">
      <alignment textRotation="90"/>
    </xf>
    <xf numFmtId="0" fontId="3" fillId="0" borderId="0" xfId="0" applyFont="1" applyAlignment="1">
      <alignment horizontal="right"/>
    </xf>
    <xf numFmtId="0" fontId="3" fillId="10" borderId="0" xfId="0" applyFont="1" applyFill="1"/>
    <xf numFmtId="0" fontId="3" fillId="10" borderId="13" xfId="0" applyFont="1" applyFill="1" applyBorder="1"/>
    <xf numFmtId="0" fontId="3" fillId="10" borderId="14" xfId="0" applyFont="1" applyFill="1" applyBorder="1"/>
    <xf numFmtId="0" fontId="3" fillId="10" borderId="0" xfId="0" applyFont="1" applyFill="1" applyAlignment="1">
      <alignment textRotation="90"/>
    </xf>
    <xf numFmtId="0" fontId="3" fillId="10" borderId="13" xfId="0" applyFont="1" applyFill="1" applyBorder="1" applyAlignment="1">
      <alignment textRotation="90"/>
    </xf>
    <xf numFmtId="0" fontId="3" fillId="10" borderId="14" xfId="0" applyFont="1" applyFill="1" applyBorder="1" applyAlignment="1">
      <alignment textRotation="90"/>
    </xf>
    <xf numFmtId="0" fontId="3" fillId="0" borderId="0" xfId="0" applyFont="1" applyAlignment="1">
      <alignment horizontal="left"/>
    </xf>
    <xf numFmtId="0" fontId="0" fillId="0" borderId="0" xfId="0" applyAlignment="1">
      <alignment horizontal="center" wrapText="1"/>
    </xf>
    <xf numFmtId="164" fontId="6" fillId="0" borderId="19" xfId="0" applyNumberFormat="1" applyFont="1" applyBorder="1" applyAlignment="1">
      <alignment horizontal="left" vertical="center"/>
    </xf>
    <xf numFmtId="0" fontId="5" fillId="12" borderId="0" xfId="0" applyFont="1" applyFill="1" applyAlignment="1">
      <alignment horizontal="center"/>
    </xf>
    <xf numFmtId="1" fontId="5" fillId="12" borderId="0" xfId="0" applyNumberFormat="1" applyFont="1" applyFill="1"/>
    <xf numFmtId="2" fontId="5" fillId="12" borderId="0" xfId="0" applyNumberFormat="1" applyFont="1" applyFill="1"/>
    <xf numFmtId="0" fontId="5" fillId="12" borderId="0" xfId="0" applyFont="1" applyFill="1"/>
    <xf numFmtId="1" fontId="5" fillId="0" borderId="0" xfId="0" applyNumberFormat="1" applyFont="1"/>
    <xf numFmtId="0" fontId="14" fillId="12" borderId="0" xfId="0" applyFont="1" applyFill="1" applyAlignment="1">
      <alignment horizontal="left" textRotation="90" wrapText="1"/>
    </xf>
    <xf numFmtId="0" fontId="14" fillId="0" borderId="0" xfId="0" applyFont="1" applyAlignment="1">
      <alignment horizontal="left" textRotation="90" wrapText="1"/>
    </xf>
    <xf numFmtId="0" fontId="14" fillId="0" borderId="0" xfId="0" applyFont="1" applyAlignment="1">
      <alignment horizontal="left" wrapText="1"/>
    </xf>
    <xf numFmtId="0" fontId="5" fillId="0" borderId="0" xfId="0" applyFont="1" applyAlignment="1">
      <alignment horizontal="left" textRotation="90" wrapText="1"/>
    </xf>
    <xf numFmtId="0" fontId="14" fillId="12" borderId="0" xfId="0" applyFont="1" applyFill="1" applyAlignment="1">
      <alignment horizontal="right" textRotation="90" wrapText="1"/>
    </xf>
    <xf numFmtId="0" fontId="14" fillId="0" borderId="0" xfId="0" applyFont="1" applyAlignment="1">
      <alignment horizontal="right" textRotation="90" wrapText="1"/>
    </xf>
    <xf numFmtId="0" fontId="14" fillId="4" borderId="6" xfId="0" applyFont="1" applyFill="1" applyBorder="1"/>
    <xf numFmtId="0" fontId="14" fillId="4" borderId="7" xfId="0" applyFont="1" applyFill="1" applyBorder="1"/>
    <xf numFmtId="0" fontId="14" fillId="4" borderId="12" xfId="0" applyFont="1" applyFill="1" applyBorder="1"/>
    <xf numFmtId="0" fontId="5" fillId="3" borderId="4" xfId="0" applyFont="1" applyFill="1" applyBorder="1"/>
    <xf numFmtId="0" fontId="5" fillId="3" borderId="8" xfId="0" applyFont="1" applyFill="1" applyBorder="1"/>
    <xf numFmtId="0" fontId="5" fillId="3" borderId="14" xfId="0" applyFont="1" applyFill="1" applyBorder="1"/>
    <xf numFmtId="1" fontId="5" fillId="7" borderId="14" xfId="0" applyNumberFormat="1" applyFont="1" applyFill="1" applyBorder="1"/>
    <xf numFmtId="2" fontId="5" fillId="7" borderId="14" xfId="0" applyNumberFormat="1" applyFont="1" applyFill="1" applyBorder="1"/>
    <xf numFmtId="0" fontId="5" fillId="5" borderId="4" xfId="0" applyFont="1" applyFill="1" applyBorder="1"/>
    <xf numFmtId="2" fontId="5" fillId="7" borderId="4" xfId="0" applyNumberFormat="1" applyFont="1" applyFill="1" applyBorder="1"/>
    <xf numFmtId="2" fontId="5" fillId="7" borderId="8" xfId="0" applyNumberFormat="1" applyFont="1" applyFill="1" applyBorder="1"/>
    <xf numFmtId="2" fontId="5" fillId="5" borderId="0" xfId="0" applyNumberFormat="1" applyFont="1" applyFill="1"/>
    <xf numFmtId="2" fontId="5" fillId="5" borderId="11" xfId="0" applyNumberFormat="1" applyFont="1" applyFill="1" applyBorder="1"/>
    <xf numFmtId="0" fontId="5" fillId="0" borderId="1" xfId="0" applyFont="1" applyBorder="1"/>
    <xf numFmtId="2" fontId="5" fillId="5" borderId="14" xfId="0" applyNumberFormat="1" applyFont="1" applyFill="1" applyBorder="1"/>
    <xf numFmtId="2" fontId="5" fillId="6" borderId="4" xfId="0" applyNumberFormat="1" applyFont="1" applyFill="1" applyBorder="1"/>
    <xf numFmtId="2" fontId="5" fillId="6" borderId="14" xfId="0" applyNumberFormat="1" applyFont="1" applyFill="1" applyBorder="1"/>
    <xf numFmtId="2" fontId="5" fillId="6" borderId="0" xfId="0" applyNumberFormat="1" applyFont="1" applyFill="1"/>
    <xf numFmtId="0" fontId="5" fillId="3" borderId="10" xfId="0" applyFont="1" applyFill="1" applyBorder="1"/>
    <xf numFmtId="0" fontId="5" fillId="3" borderId="11" xfId="0" applyFont="1" applyFill="1" applyBorder="1"/>
    <xf numFmtId="0" fontId="5" fillId="3" borderId="0" xfId="0" quotePrefix="1" applyFont="1" applyFill="1"/>
    <xf numFmtId="1" fontId="5" fillId="7" borderId="0" xfId="0" applyNumberFormat="1" applyFont="1" applyFill="1"/>
    <xf numFmtId="2" fontId="5" fillId="7" borderId="0" xfId="0" applyNumberFormat="1" applyFont="1" applyFill="1"/>
    <xf numFmtId="0" fontId="5" fillId="5" borderId="10" xfId="0" applyFont="1" applyFill="1" applyBorder="1"/>
    <xf numFmtId="2" fontId="5" fillId="7" borderId="10" xfId="0" applyNumberFormat="1" applyFont="1" applyFill="1" applyBorder="1"/>
    <xf numFmtId="2" fontId="5" fillId="7" borderId="11" xfId="0" applyNumberFormat="1" applyFont="1" applyFill="1" applyBorder="1"/>
    <xf numFmtId="0" fontId="5" fillId="0" borderId="2" xfId="0" applyFont="1" applyBorder="1"/>
    <xf numFmtId="2" fontId="5" fillId="6" borderId="10" xfId="0" applyNumberFormat="1" applyFont="1" applyFill="1" applyBorder="1"/>
    <xf numFmtId="0" fontId="5" fillId="0" borderId="0" xfId="0" applyFont="1" applyAlignment="1">
      <alignment horizontal="center" vertical="top" wrapText="1"/>
    </xf>
    <xf numFmtId="0" fontId="5" fillId="2" borderId="6" xfId="0" applyFont="1" applyFill="1" applyBorder="1" applyAlignment="1">
      <alignment horizontal="right"/>
    </xf>
    <xf numFmtId="0" fontId="5" fillId="2" borderId="12" xfId="0" applyFont="1" applyFill="1" applyBorder="1" applyAlignment="1">
      <alignment horizontal="right"/>
    </xf>
    <xf numFmtId="0" fontId="5" fillId="2" borderId="7" xfId="0" applyFont="1" applyFill="1" applyBorder="1"/>
    <xf numFmtId="0" fontId="14" fillId="0" borderId="0" xfId="0" applyFont="1"/>
    <xf numFmtId="0" fontId="5" fillId="2" borderId="4" xfId="0" applyFont="1" applyFill="1" applyBorder="1" applyAlignment="1">
      <alignment horizontal="right" vertical="top" wrapText="1"/>
    </xf>
    <xf numFmtId="0" fontId="5" fillId="2" borderId="14" xfId="0" applyFont="1" applyFill="1" applyBorder="1" applyAlignment="1">
      <alignment horizontal="right" vertical="top" wrapText="1"/>
    </xf>
    <xf numFmtId="0" fontId="5" fillId="2" borderId="8" xfId="0" applyFont="1" applyFill="1" applyBorder="1" applyAlignment="1">
      <alignment horizontal="center"/>
    </xf>
    <xf numFmtId="0" fontId="5" fillId="2" borderId="5" xfId="0" applyFont="1" applyFill="1" applyBorder="1" applyAlignment="1">
      <alignment horizontal="right"/>
    </xf>
    <xf numFmtId="0" fontId="5" fillId="2" borderId="13" xfId="0" applyFont="1" applyFill="1" applyBorder="1" applyAlignment="1">
      <alignment horizontal="right"/>
    </xf>
    <xf numFmtId="0" fontId="5" fillId="2" borderId="9" xfId="0" applyFont="1" applyFill="1" applyBorder="1" applyAlignment="1">
      <alignment horizontal="center"/>
    </xf>
    <xf numFmtId="1" fontId="5" fillId="7" borderId="4" xfId="0" applyNumberFormat="1" applyFont="1" applyFill="1" applyBorder="1"/>
    <xf numFmtId="1" fontId="5" fillId="7" borderId="10" xfId="0" applyNumberFormat="1" applyFont="1" applyFill="1" applyBorder="1"/>
    <xf numFmtId="0" fontId="5" fillId="3" borderId="1" xfId="0" applyFont="1" applyFill="1" applyBorder="1"/>
    <xf numFmtId="0" fontId="5" fillId="3" borderId="2" xfId="0" applyFont="1" applyFill="1" applyBorder="1"/>
    <xf numFmtId="0" fontId="14" fillId="0" borderId="15" xfId="0" applyFont="1" applyBorder="1" applyAlignment="1">
      <alignment horizontal="center" textRotation="90" wrapText="1"/>
    </xf>
    <xf numFmtId="0" fontId="14" fillId="4" borderId="15" xfId="0" applyFont="1" applyFill="1" applyBorder="1" applyAlignment="1">
      <alignment horizontal="center" textRotation="90" wrapText="1"/>
    </xf>
    <xf numFmtId="0" fontId="14" fillId="4" borderId="12" xfId="0" applyFont="1" applyFill="1" applyBorder="1" applyAlignment="1">
      <alignment horizontal="center" textRotation="90" wrapText="1"/>
    </xf>
    <xf numFmtId="0" fontId="14" fillId="4" borderId="6" xfId="0" applyFont="1" applyFill="1" applyBorder="1" applyAlignment="1">
      <alignment horizontal="center" textRotation="90" wrapText="1"/>
    </xf>
    <xf numFmtId="0" fontId="14" fillId="4" borderId="7" xfId="0" applyFont="1" applyFill="1" applyBorder="1" applyAlignment="1">
      <alignment horizontal="center" textRotation="90" wrapText="1"/>
    </xf>
    <xf numFmtId="0" fontId="14" fillId="4" borderId="1" xfId="0" applyFont="1" applyFill="1" applyBorder="1" applyAlignment="1">
      <alignment horizontal="center" textRotation="90" wrapText="1"/>
    </xf>
    <xf numFmtId="0" fontId="14" fillId="4" borderId="14" xfId="0" applyFont="1" applyFill="1" applyBorder="1" applyAlignment="1">
      <alignment horizontal="center" textRotation="90" wrapText="1"/>
    </xf>
    <xf numFmtId="0" fontId="14" fillId="0" borderId="15" xfId="0" applyFont="1" applyBorder="1" applyAlignment="1">
      <alignment horizontal="center" textRotation="90"/>
    </xf>
    <xf numFmtId="0" fontId="23" fillId="0" borderId="0" xfId="0" applyFont="1"/>
    <xf numFmtId="0" fontId="4" fillId="0" borderId="0" xfId="0" applyFont="1" applyAlignment="1">
      <alignment horizontal="left" wrapText="1"/>
    </xf>
    <xf numFmtId="0" fontId="4" fillId="0" borderId="0" xfId="0" applyFont="1" applyAlignment="1">
      <alignment horizontal="left"/>
    </xf>
    <xf numFmtId="0" fontId="0" fillId="15" borderId="0" xfId="0" applyFill="1"/>
    <xf numFmtId="0" fontId="5" fillId="8" borderId="0" xfId="0" applyFont="1" applyFill="1"/>
    <xf numFmtId="0" fontId="5" fillId="9" borderId="0" xfId="0" applyFont="1" applyFill="1"/>
    <xf numFmtId="0" fontId="3" fillId="0" borderId="24" xfId="0" applyFont="1" applyBorder="1"/>
    <xf numFmtId="0" fontId="5" fillId="16" borderId="0" xfId="0" applyFont="1" applyFill="1" applyProtection="1">
      <protection locked="0"/>
    </xf>
    <xf numFmtId="2" fontId="5" fillId="16" borderId="0" xfId="0" applyNumberFormat="1" applyFont="1" applyFill="1" applyProtection="1">
      <protection locked="0"/>
    </xf>
    <xf numFmtId="0" fontId="22" fillId="0" borderId="0" xfId="0" applyFont="1" applyProtection="1">
      <protection locked="0"/>
    </xf>
    <xf numFmtId="0" fontId="25" fillId="0" borderId="0" xfId="1" applyFont="1" applyAlignment="1">
      <alignment horizontal="left"/>
    </xf>
    <xf numFmtId="0" fontId="25" fillId="0" borderId="0" xfId="1" applyFont="1"/>
    <xf numFmtId="0" fontId="25" fillId="0" borderId="0" xfId="1" applyFont="1" applyAlignment="1">
      <alignment wrapText="1"/>
    </xf>
    <xf numFmtId="0" fontId="26" fillId="0" borderId="0" xfId="1" applyFont="1"/>
    <xf numFmtId="0" fontId="31" fillId="0" borderId="55" xfId="0" applyFont="1" applyBorder="1"/>
    <xf numFmtId="0" fontId="5" fillId="0" borderId="64" xfId="0" applyFont="1" applyBorder="1"/>
    <xf numFmtId="0" fontId="4" fillId="0" borderId="55" xfId="0" applyFont="1" applyBorder="1"/>
    <xf numFmtId="0" fontId="4" fillId="0" borderId="56" xfId="0" applyFont="1" applyBorder="1"/>
    <xf numFmtId="0" fontId="5" fillId="0" borderId="56" xfId="0" applyFont="1" applyBorder="1"/>
    <xf numFmtId="0" fontId="5" fillId="0" borderId="65" xfId="0" applyFont="1" applyBorder="1"/>
    <xf numFmtId="0" fontId="28" fillId="0" borderId="0" xfId="0" applyFont="1"/>
    <xf numFmtId="0" fontId="5" fillId="5" borderId="0" xfId="0" applyFont="1" applyFill="1"/>
    <xf numFmtId="0" fontId="26" fillId="0" borderId="43" xfId="1" applyFont="1" applyBorder="1" applyAlignment="1">
      <alignment horizontal="left" vertical="center"/>
    </xf>
    <xf numFmtId="0" fontId="26" fillId="0" borderId="3" xfId="1" applyFont="1" applyBorder="1" applyAlignment="1">
      <alignment vertical="center" wrapText="1"/>
    </xf>
    <xf numFmtId="0" fontId="26" fillId="0" borderId="38" xfId="1" applyFont="1" applyBorder="1" applyAlignment="1">
      <alignment vertical="center" wrapText="1"/>
    </xf>
    <xf numFmtId="0" fontId="26" fillId="0" borderId="45" xfId="1" applyFont="1" applyBorder="1" applyAlignment="1">
      <alignment vertical="center" wrapText="1"/>
    </xf>
    <xf numFmtId="0" fontId="26" fillId="0" borderId="63" xfId="1" applyFont="1" applyBorder="1" applyAlignment="1">
      <alignment vertical="center" wrapText="1"/>
    </xf>
    <xf numFmtId="164" fontId="3" fillId="0" borderId="0" xfId="0" applyNumberFormat="1" applyFont="1"/>
    <xf numFmtId="165" fontId="0" fillId="0" borderId="0" xfId="0" applyNumberFormat="1" applyAlignment="1">
      <alignment horizontal="center" vertical="top" wrapText="1"/>
    </xf>
    <xf numFmtId="0" fontId="15" fillId="15" borderId="0" xfId="0" applyFont="1" applyFill="1"/>
    <xf numFmtId="2" fontId="0" fillId="15" borderId="0" xfId="0" applyNumberFormat="1" applyFill="1"/>
    <xf numFmtId="1" fontId="0" fillId="15" borderId="0" xfId="0" applyNumberFormat="1" applyFill="1"/>
    <xf numFmtId="0" fontId="18" fillId="15" borderId="0" xfId="0" applyFont="1" applyFill="1"/>
    <xf numFmtId="0" fontId="25" fillId="14" borderId="0" xfId="1" applyFont="1" applyFill="1" applyAlignment="1">
      <alignment horizontal="left"/>
    </xf>
    <xf numFmtId="0" fontId="25" fillId="14" borderId="0" xfId="1" applyFont="1" applyFill="1"/>
    <xf numFmtId="0" fontId="25" fillId="14" borderId="0" xfId="1" applyFont="1" applyFill="1" applyAlignment="1">
      <alignment wrapText="1"/>
    </xf>
    <xf numFmtId="0" fontId="0" fillId="0" borderId="0" xfId="0" applyProtection="1">
      <protection locked="0"/>
    </xf>
    <xf numFmtId="165" fontId="5" fillId="0" borderId="2" xfId="0" applyNumberFormat="1" applyFont="1" applyBorder="1"/>
    <xf numFmtId="0" fontId="5" fillId="17" borderId="0" xfId="0" applyFont="1" applyFill="1"/>
    <xf numFmtId="0" fontId="5" fillId="17" borderId="0" xfId="0" applyFont="1" applyFill="1" applyProtection="1">
      <protection locked="0"/>
    </xf>
    <xf numFmtId="2" fontId="5" fillId="17" borderId="0" xfId="0" applyNumberFormat="1" applyFont="1" applyFill="1" applyProtection="1">
      <protection locked="0"/>
    </xf>
    <xf numFmtId="0" fontId="5" fillId="18" borderId="0" xfId="0" applyFont="1" applyFill="1"/>
    <xf numFmtId="0" fontId="5" fillId="19" borderId="0" xfId="0" applyFont="1" applyFill="1"/>
    <xf numFmtId="2" fontId="5" fillId="17" borderId="0" xfId="0" applyNumberFormat="1" applyFont="1" applyFill="1"/>
    <xf numFmtId="2" fontId="5" fillId="18" borderId="0" xfId="0" applyNumberFormat="1" applyFont="1" applyFill="1"/>
    <xf numFmtId="2" fontId="5" fillId="19" borderId="0" xfId="0" applyNumberFormat="1" applyFont="1" applyFill="1"/>
    <xf numFmtId="1" fontId="5" fillId="18" borderId="0" xfId="0" applyNumberFormat="1" applyFont="1" applyFill="1"/>
    <xf numFmtId="1" fontId="5" fillId="19" borderId="0" xfId="0" applyNumberFormat="1" applyFont="1" applyFill="1"/>
    <xf numFmtId="0" fontId="30" fillId="0" borderId="0" xfId="0" applyFont="1"/>
    <xf numFmtId="0" fontId="29" fillId="0" borderId="0" xfId="0" applyFont="1" applyAlignment="1">
      <alignment horizontal="left" vertical="center" wrapText="1"/>
    </xf>
    <xf numFmtId="0" fontId="26" fillId="0" borderId="0" xfId="1" applyFont="1" applyAlignment="1">
      <alignment horizontal="left" wrapText="1"/>
    </xf>
    <xf numFmtId="17" fontId="26" fillId="0" borderId="0" xfId="1" quotePrefix="1" applyNumberFormat="1" applyFont="1" applyAlignment="1" applyProtection="1">
      <alignment horizontal="left" wrapText="1"/>
      <protection locked="0"/>
    </xf>
    <xf numFmtId="0" fontId="29" fillId="0" borderId="0" xfId="0" applyFont="1" applyAlignment="1">
      <alignment vertical="center" wrapText="1"/>
    </xf>
    <xf numFmtId="0" fontId="26" fillId="0" borderId="0" xfId="1" applyFont="1" applyAlignment="1" applyProtection="1">
      <alignment wrapText="1"/>
      <protection locked="0"/>
    </xf>
    <xf numFmtId="0" fontId="0" fillId="0" borderId="0" xfId="0" applyAlignment="1" applyProtection="1">
      <alignment wrapText="1"/>
      <protection locked="0"/>
    </xf>
    <xf numFmtId="164" fontId="19" fillId="0" borderId="0" xfId="0" applyNumberFormat="1" applyFont="1" applyAlignment="1">
      <alignment horizontal="left" vertical="center"/>
    </xf>
    <xf numFmtId="164" fontId="6" fillId="0" borderId="0" xfId="0" applyNumberFormat="1" applyFont="1" applyAlignment="1">
      <alignment horizontal="left" vertical="center"/>
    </xf>
    <xf numFmtId="164" fontId="6" fillId="0" borderId="13" xfId="0" applyNumberFormat="1" applyFont="1" applyBorder="1" applyAlignment="1">
      <alignment horizontal="left" vertical="center"/>
    </xf>
    <xf numFmtId="0" fontId="14" fillId="21" borderId="12" xfId="0" applyFont="1" applyFill="1" applyBorder="1" applyAlignment="1">
      <alignment horizontal="center" textRotation="90" wrapText="1"/>
    </xf>
    <xf numFmtId="2" fontId="5" fillId="6" borderId="0" xfId="0" quotePrefix="1" applyNumberFormat="1" applyFont="1" applyFill="1"/>
    <xf numFmtId="0" fontId="3" fillId="0" borderId="0" xfId="0" quotePrefix="1" applyFont="1"/>
    <xf numFmtId="0" fontId="4" fillId="0" borderId="2" xfId="0" applyFont="1" applyBorder="1" applyAlignment="1">
      <alignment horizontal="center" vertical="center"/>
    </xf>
    <xf numFmtId="164" fontId="6" fillId="0" borderId="67" xfId="0" applyNumberFormat="1" applyFont="1" applyBorder="1" applyAlignment="1">
      <alignment horizontal="left" vertical="center"/>
    </xf>
    <xf numFmtId="0" fontId="8" fillId="0" borderId="24" xfId="0" applyFont="1" applyBorder="1" applyAlignment="1">
      <alignment horizontal="right"/>
    </xf>
    <xf numFmtId="0" fontId="3" fillId="21" borderId="0" xfId="0" applyFont="1" applyFill="1"/>
    <xf numFmtId="2" fontId="3" fillId="21" borderId="0" xfId="0" applyNumberFormat="1" applyFont="1" applyFill="1"/>
    <xf numFmtId="0" fontId="5" fillId="16" borderId="0" xfId="0" applyFont="1" applyFill="1"/>
    <xf numFmtId="0" fontId="14" fillId="12" borderId="0" xfId="0" applyFont="1" applyFill="1" applyAlignment="1">
      <alignment horizontal="center" textRotation="90" wrapText="1"/>
    </xf>
    <xf numFmtId="164" fontId="6" fillId="0" borderId="73" xfId="0" applyNumberFormat="1" applyFont="1" applyBorder="1" applyAlignment="1">
      <alignment horizontal="left" vertical="center"/>
    </xf>
    <xf numFmtId="3" fontId="19" fillId="0" borderId="27" xfId="0" applyNumberFormat="1" applyFont="1" applyBorder="1" applyAlignment="1">
      <alignment horizontal="right" vertical="center"/>
    </xf>
    <xf numFmtId="164" fontId="6" fillId="0" borderId="75" xfId="0" applyNumberFormat="1" applyFont="1" applyBorder="1" applyAlignment="1">
      <alignment horizontal="left" vertical="center"/>
    </xf>
    <xf numFmtId="1" fontId="6" fillId="0" borderId="13" xfId="0" applyNumberFormat="1" applyFont="1" applyBorder="1" applyAlignment="1">
      <alignment horizontal="left" vertical="center"/>
    </xf>
    <xf numFmtId="0" fontId="5" fillId="22" borderId="11" xfId="0" applyFont="1" applyFill="1" applyBorder="1"/>
    <xf numFmtId="0" fontId="5" fillId="15" borderId="11" xfId="0" applyFont="1" applyFill="1" applyBorder="1"/>
    <xf numFmtId="164" fontId="6" fillId="0" borderId="76" xfId="0" applyNumberFormat="1" applyFont="1" applyBorder="1" applyAlignment="1">
      <alignment horizontal="left" vertical="center"/>
    </xf>
    <xf numFmtId="0" fontId="10" fillId="10" borderId="66" xfId="0" applyFont="1" applyFill="1" applyBorder="1"/>
    <xf numFmtId="0" fontId="37" fillId="0" borderId="0" xfId="0" applyFont="1"/>
    <xf numFmtId="2" fontId="9" fillId="0" borderId="58" xfId="0" applyNumberFormat="1" applyFont="1" applyBorder="1" applyAlignment="1">
      <alignment horizontal="right" vertical="center"/>
    </xf>
    <xf numFmtId="0" fontId="3" fillId="10" borderId="10" xfId="0" applyFont="1" applyFill="1" applyBorder="1"/>
    <xf numFmtId="0" fontId="3" fillId="10" borderId="10" xfId="0" applyFont="1" applyFill="1" applyBorder="1" applyAlignment="1">
      <alignment textRotation="90"/>
    </xf>
    <xf numFmtId="0" fontId="3" fillId="10" borderId="11" xfId="0" applyFont="1" applyFill="1" applyBorder="1"/>
    <xf numFmtId="0" fontId="3" fillId="10" borderId="9" xfId="0" applyFont="1" applyFill="1" applyBorder="1"/>
    <xf numFmtId="164" fontId="6" fillId="0" borderId="81" xfId="0" applyNumberFormat="1" applyFont="1" applyBorder="1" applyAlignment="1">
      <alignment horizontal="left" vertical="center"/>
    </xf>
    <xf numFmtId="1" fontId="6" fillId="0" borderId="70" xfId="0" quotePrefix="1" applyNumberFormat="1" applyFont="1" applyBorder="1" applyAlignment="1">
      <alignment horizontal="left" vertical="center"/>
    </xf>
    <xf numFmtId="3" fontId="19" fillId="0" borderId="82" xfId="0" applyNumberFormat="1" applyFont="1" applyBorder="1" applyAlignment="1">
      <alignment horizontal="right" vertical="center"/>
    </xf>
    <xf numFmtId="164" fontId="6" fillId="0" borderId="86" xfId="0" applyNumberFormat="1" applyFont="1" applyBorder="1" applyAlignment="1">
      <alignment horizontal="left" vertical="center"/>
    </xf>
    <xf numFmtId="1" fontId="6" fillId="0" borderId="87" xfId="0" quotePrefix="1" applyNumberFormat="1" applyFont="1" applyBorder="1" applyAlignment="1">
      <alignment horizontal="left" vertical="center"/>
    </xf>
    <xf numFmtId="1" fontId="6" fillId="0" borderId="0" xfId="0" quotePrefix="1" applyNumberFormat="1" applyFont="1" applyAlignment="1">
      <alignment horizontal="left" vertical="center"/>
    </xf>
    <xf numFmtId="1" fontId="6" fillId="0" borderId="89" xfId="0" applyNumberFormat="1" applyFont="1" applyBorder="1" applyAlignment="1">
      <alignment horizontal="left" vertical="center"/>
    </xf>
    <xf numFmtId="164" fontId="19" fillId="0" borderId="90" xfId="0" applyNumberFormat="1" applyFont="1" applyBorder="1" applyAlignment="1">
      <alignment horizontal="left" vertical="center"/>
    </xf>
    <xf numFmtId="0" fontId="4" fillId="0" borderId="91" xfId="0" applyFont="1" applyBorder="1" applyAlignment="1">
      <alignment horizontal="center" vertical="center" textRotation="90"/>
    </xf>
    <xf numFmtId="164" fontId="6" fillId="0" borderId="70" xfId="0" applyNumberFormat="1" applyFont="1" applyBorder="1" applyAlignment="1">
      <alignment horizontal="left" vertical="center"/>
    </xf>
    <xf numFmtId="164" fontId="6" fillId="0" borderId="86" xfId="0" applyNumberFormat="1" applyFont="1" applyBorder="1" applyAlignment="1">
      <alignment horizontal="left" vertical="center" wrapText="1"/>
    </xf>
    <xf numFmtId="164" fontId="6" fillId="0" borderId="80" xfId="0" applyNumberFormat="1" applyFont="1" applyBorder="1" applyAlignment="1">
      <alignment horizontal="left" vertical="center" wrapText="1"/>
    </xf>
    <xf numFmtId="0" fontId="5" fillId="23" borderId="11" xfId="0" applyFont="1" applyFill="1" applyBorder="1"/>
    <xf numFmtId="164" fontId="6" fillId="0" borderId="94" xfId="0" applyNumberFormat="1" applyFont="1" applyBorder="1" applyAlignment="1">
      <alignment horizontal="left" vertical="center"/>
    </xf>
    <xf numFmtId="164" fontId="6" fillId="0" borderId="97" xfId="0" applyNumberFormat="1" applyFont="1" applyBorder="1" applyAlignment="1">
      <alignment horizontal="left" vertical="center"/>
    </xf>
    <xf numFmtId="164" fontId="6" fillId="0" borderId="81" xfId="0" applyNumberFormat="1" applyFont="1" applyBorder="1" applyAlignment="1">
      <alignment horizontal="left" vertical="center" wrapText="1"/>
    </xf>
    <xf numFmtId="164" fontId="6" fillId="0" borderId="105" xfId="0" applyNumberFormat="1" applyFont="1" applyBorder="1" applyAlignment="1">
      <alignment horizontal="left" vertical="center"/>
    </xf>
    <xf numFmtId="0" fontId="4" fillId="0" borderId="107" xfId="0" applyFont="1" applyBorder="1" applyAlignment="1">
      <alignment horizontal="center" vertical="center"/>
    </xf>
    <xf numFmtId="0" fontId="10" fillId="10" borderId="14" xfId="0" applyFont="1" applyFill="1" applyBorder="1" applyAlignment="1">
      <alignment textRotation="90"/>
    </xf>
    <xf numFmtId="0" fontId="4" fillId="0" borderId="3" xfId="0" applyFont="1" applyBorder="1" applyAlignment="1">
      <alignment horizontal="center" vertical="center"/>
    </xf>
    <xf numFmtId="164" fontId="6" fillId="0" borderId="108" xfId="0" applyNumberFormat="1" applyFont="1" applyBorder="1" applyAlignment="1">
      <alignment horizontal="left" vertical="center"/>
    </xf>
    <xf numFmtId="0" fontId="10" fillId="10" borderId="13" xfId="0" applyFont="1" applyFill="1" applyBorder="1" applyAlignment="1">
      <alignment textRotation="90"/>
    </xf>
    <xf numFmtId="0" fontId="10" fillId="10" borderId="13" xfId="0" applyFont="1" applyFill="1" applyBorder="1"/>
    <xf numFmtId="164" fontId="6" fillId="0" borderId="80" xfId="0" applyNumberFormat="1" applyFont="1" applyBorder="1" applyAlignment="1">
      <alignment horizontal="left" vertical="center"/>
    </xf>
    <xf numFmtId="0" fontId="10" fillId="10" borderId="11" xfId="0" applyFont="1" applyFill="1" applyBorder="1"/>
    <xf numFmtId="0" fontId="10" fillId="10" borderId="79" xfId="0" applyFont="1" applyFill="1" applyBorder="1"/>
    <xf numFmtId="0" fontId="10" fillId="10" borderId="8" xfId="0" applyFont="1" applyFill="1" applyBorder="1"/>
    <xf numFmtId="0" fontId="10" fillId="10" borderId="9" xfId="0" applyFont="1" applyFill="1" applyBorder="1"/>
    <xf numFmtId="0" fontId="10" fillId="10" borderId="124" xfId="0" applyFont="1" applyFill="1" applyBorder="1" applyAlignment="1">
      <alignment textRotation="90"/>
    </xf>
    <xf numFmtId="0" fontId="10" fillId="10" borderId="17" xfId="0" applyFont="1" applyFill="1" applyBorder="1" applyAlignment="1">
      <alignment textRotation="90"/>
    </xf>
    <xf numFmtId="0" fontId="10" fillId="10" borderId="17" xfId="0" applyFont="1" applyFill="1" applyBorder="1"/>
    <xf numFmtId="0" fontId="10" fillId="10" borderId="125" xfId="0" applyFont="1" applyFill="1" applyBorder="1"/>
    <xf numFmtId="1" fontId="6" fillId="0" borderId="95" xfId="0" applyNumberFormat="1" applyFont="1" applyBorder="1" applyAlignment="1">
      <alignment horizontal="left" vertical="center"/>
    </xf>
    <xf numFmtId="1" fontId="26" fillId="0" borderId="3" xfId="1" applyNumberFormat="1" applyFont="1" applyBorder="1" applyAlignment="1">
      <alignment horizontal="left" vertical="center" wrapText="1"/>
    </xf>
    <xf numFmtId="0" fontId="26" fillId="14" borderId="0" xfId="1" applyFont="1" applyFill="1"/>
    <xf numFmtId="0" fontId="26" fillId="0" borderId="45" xfId="1" applyFont="1" applyBorder="1" applyAlignment="1">
      <alignment horizontal="left" vertical="top" wrapText="1"/>
    </xf>
    <xf numFmtId="0" fontId="5" fillId="16" borderId="0" xfId="0" applyFont="1" applyFill="1" applyAlignment="1" applyProtection="1">
      <alignment horizontal="right" vertical="center"/>
      <protection locked="0"/>
    </xf>
    <xf numFmtId="0" fontId="5" fillId="25" borderId="11" xfId="0" applyFont="1" applyFill="1" applyBorder="1"/>
    <xf numFmtId="0" fontId="5" fillId="26" borderId="11" xfId="0" applyFont="1" applyFill="1" applyBorder="1"/>
    <xf numFmtId="0" fontId="5" fillId="17" borderId="11" xfId="0" applyFont="1" applyFill="1" applyBorder="1"/>
    <xf numFmtId="0" fontId="5" fillId="23" borderId="9" xfId="0" applyFont="1" applyFill="1" applyBorder="1"/>
    <xf numFmtId="164" fontId="6" fillId="0" borderId="89" xfId="0" applyNumberFormat="1" applyFont="1" applyBorder="1" applyAlignment="1">
      <alignment horizontal="left" vertical="center"/>
    </xf>
    <xf numFmtId="0" fontId="5" fillId="24" borderId="0" xfId="0" applyFont="1" applyFill="1"/>
    <xf numFmtId="1" fontId="6" fillId="0" borderId="13" xfId="0" quotePrefix="1" applyNumberFormat="1" applyFont="1" applyBorder="1" applyAlignment="1">
      <alignment horizontal="left" vertical="center"/>
    </xf>
    <xf numFmtId="0" fontId="3" fillId="0" borderId="13" xfId="0" applyFont="1" applyBorder="1"/>
    <xf numFmtId="0" fontId="3" fillId="0" borderId="9" xfId="0" applyFont="1" applyBorder="1"/>
    <xf numFmtId="164" fontId="5" fillId="0" borderId="0" xfId="0" applyNumberFormat="1" applyFont="1"/>
    <xf numFmtId="1" fontId="4" fillId="0" borderId="0" xfId="0" applyNumberFormat="1" applyFont="1"/>
    <xf numFmtId="164" fontId="6" fillId="0" borderId="101" xfId="0" quotePrefix="1" applyNumberFormat="1" applyFont="1" applyBorder="1" applyAlignment="1">
      <alignment horizontal="left" vertical="center"/>
    </xf>
    <xf numFmtId="1" fontId="6" fillId="0" borderId="95" xfId="0" quotePrefix="1" applyNumberFormat="1" applyFont="1" applyBorder="1" applyAlignment="1">
      <alignment horizontal="left" vertical="center"/>
    </xf>
    <xf numFmtId="164" fontId="6" fillId="0" borderId="128" xfId="0" applyNumberFormat="1" applyFont="1" applyBorder="1" applyAlignment="1">
      <alignment horizontal="left" vertical="center"/>
    </xf>
    <xf numFmtId="164" fontId="5" fillId="16" borderId="0" xfId="0" applyNumberFormat="1" applyFont="1" applyFill="1" applyProtection="1">
      <protection locked="0"/>
    </xf>
    <xf numFmtId="0" fontId="5" fillId="27" borderId="11" xfId="0" applyFont="1" applyFill="1" applyBorder="1"/>
    <xf numFmtId="3" fontId="19" fillId="0" borderId="129" xfId="0" applyNumberFormat="1" applyFont="1" applyBorder="1" applyAlignment="1">
      <alignment horizontal="right" vertical="center"/>
    </xf>
    <xf numFmtId="164" fontId="6" fillId="0" borderId="70" xfId="0" quotePrefix="1" applyNumberFormat="1" applyFont="1" applyBorder="1" applyAlignment="1">
      <alignment horizontal="left" vertical="center"/>
    </xf>
    <xf numFmtId="164" fontId="6" fillId="0" borderId="13" xfId="0" quotePrefix="1" applyNumberFormat="1" applyFont="1" applyBorder="1" applyAlignment="1">
      <alignment horizontal="left" vertical="center"/>
    </xf>
    <xf numFmtId="1" fontId="6" fillId="0" borderId="39" xfId="0" quotePrefix="1" applyNumberFormat="1" applyFont="1" applyBorder="1" applyAlignment="1">
      <alignment horizontal="left" vertical="center"/>
    </xf>
    <xf numFmtId="3" fontId="19" fillId="0" borderId="130" xfId="0" applyNumberFormat="1" applyFont="1" applyBorder="1" applyAlignment="1">
      <alignment horizontal="right" vertical="center"/>
    </xf>
    <xf numFmtId="0" fontId="3" fillId="0" borderId="17" xfId="0" applyFont="1" applyBorder="1" applyAlignment="1">
      <alignment textRotation="90"/>
    </xf>
    <xf numFmtId="0" fontId="3" fillId="0" borderId="17" xfId="0" applyFont="1" applyBorder="1"/>
    <xf numFmtId="0" fontId="3" fillId="0" borderId="13" xfId="0" applyFont="1" applyBorder="1" applyAlignment="1">
      <alignment textRotation="90"/>
    </xf>
    <xf numFmtId="4" fontId="19" fillId="0" borderId="83" xfId="0" applyNumberFormat="1" applyFont="1" applyBorder="1" applyAlignment="1">
      <alignment horizontal="right" vertical="center"/>
    </xf>
    <xf numFmtId="4" fontId="19" fillId="0" borderId="84" xfId="0" applyNumberFormat="1" applyFont="1" applyBorder="1" applyAlignment="1">
      <alignment horizontal="right" vertical="center"/>
    </xf>
    <xf numFmtId="4" fontId="19" fillId="0" borderId="85" xfId="0" applyNumberFormat="1" applyFont="1" applyBorder="1" applyAlignment="1">
      <alignment horizontal="right" vertical="center"/>
    </xf>
    <xf numFmtId="4" fontId="19" fillId="0" borderId="88" xfId="0" applyNumberFormat="1" applyFont="1" applyBorder="1" applyAlignment="1">
      <alignment horizontal="right" vertical="center"/>
    </xf>
    <xf numFmtId="4" fontId="19" fillId="0" borderId="71" xfId="0" applyNumberFormat="1" applyFont="1" applyBorder="1" applyAlignment="1">
      <alignment horizontal="right" vertical="center"/>
    </xf>
    <xf numFmtId="4" fontId="19" fillId="0" borderId="78" xfId="0" applyNumberFormat="1" applyFont="1" applyBorder="1" applyAlignment="1">
      <alignment horizontal="right" vertical="center"/>
    </xf>
    <xf numFmtId="4" fontId="19" fillId="0" borderId="16" xfId="0" applyNumberFormat="1" applyFont="1" applyBorder="1" applyAlignment="1">
      <alignment horizontal="right" vertical="center"/>
    </xf>
    <xf numFmtId="4" fontId="19" fillId="0" borderId="37" xfId="0" applyNumberFormat="1" applyFont="1" applyBorder="1" applyAlignment="1">
      <alignment horizontal="right" vertical="center"/>
    </xf>
    <xf numFmtId="4" fontId="19" fillId="0" borderId="92" xfId="0" applyNumberFormat="1" applyFont="1" applyBorder="1" applyAlignment="1">
      <alignment horizontal="right" vertical="center"/>
    </xf>
    <xf numFmtId="4" fontId="19" fillId="0" borderId="72" xfId="0" applyNumberFormat="1" applyFont="1" applyBorder="1" applyAlignment="1">
      <alignment horizontal="right" vertical="center"/>
    </xf>
    <xf numFmtId="4" fontId="19" fillId="0" borderId="18" xfId="0" applyNumberFormat="1" applyFont="1" applyBorder="1" applyAlignment="1">
      <alignment horizontal="right" vertical="center"/>
    </xf>
    <xf numFmtId="4" fontId="19" fillId="0" borderId="40" xfId="0" applyNumberFormat="1" applyFont="1" applyBorder="1" applyAlignment="1">
      <alignment horizontal="right" vertical="center"/>
    </xf>
    <xf numFmtId="4" fontId="19" fillId="0" borderId="43" xfId="0" applyNumberFormat="1" applyFont="1" applyBorder="1" applyAlignment="1">
      <alignment horizontal="right" vertical="center"/>
    </xf>
    <xf numFmtId="4" fontId="19" fillId="0" borderId="74" xfId="0" applyNumberFormat="1" applyFont="1" applyBorder="1" applyAlignment="1">
      <alignment horizontal="right" vertical="center"/>
    </xf>
    <xf numFmtId="4" fontId="19" fillId="0" borderId="93" xfId="0" applyNumberFormat="1" applyFont="1" applyBorder="1" applyAlignment="1">
      <alignment horizontal="right" vertical="center"/>
    </xf>
    <xf numFmtId="4" fontId="19" fillId="0" borderId="42" xfId="0" applyNumberFormat="1" applyFont="1" applyBorder="1" applyAlignment="1">
      <alignment horizontal="right" vertical="center"/>
    </xf>
    <xf numFmtId="4" fontId="19" fillId="0" borderId="102" xfId="0" applyNumberFormat="1" applyFont="1" applyBorder="1" applyAlignment="1">
      <alignment horizontal="right" vertical="center"/>
    </xf>
    <xf numFmtId="4" fontId="19" fillId="0" borderId="103" xfId="0" applyNumberFormat="1" applyFont="1" applyBorder="1" applyAlignment="1">
      <alignment horizontal="right" vertical="center"/>
    </xf>
    <xf numFmtId="4" fontId="19" fillId="0" borderId="96" xfId="0" applyNumberFormat="1" applyFont="1" applyBorder="1" applyAlignment="1">
      <alignment horizontal="right" vertical="center"/>
    </xf>
    <xf numFmtId="4" fontId="19" fillId="0" borderId="100" xfId="0" applyNumberFormat="1" applyFont="1" applyBorder="1" applyAlignment="1">
      <alignment horizontal="right" vertical="center"/>
    </xf>
    <xf numFmtId="4" fontId="19" fillId="0" borderId="19" xfId="0" applyNumberFormat="1" applyFont="1" applyBorder="1" applyAlignment="1">
      <alignment horizontal="right" vertical="center"/>
    </xf>
    <xf numFmtId="4" fontId="19" fillId="0" borderId="97" xfId="0" applyNumberFormat="1" applyFont="1" applyBorder="1" applyAlignment="1">
      <alignment horizontal="right" vertical="center"/>
    </xf>
    <xf numFmtId="4" fontId="19" fillId="0" borderId="98" xfId="0" applyNumberFormat="1" applyFont="1" applyBorder="1" applyAlignment="1">
      <alignment horizontal="right" vertical="center"/>
    </xf>
    <xf numFmtId="4" fontId="19" fillId="0" borderId="21" xfId="0" applyNumberFormat="1" applyFont="1" applyBorder="1" applyAlignment="1">
      <alignment horizontal="right" vertical="center"/>
    </xf>
    <xf numFmtId="4" fontId="19" fillId="0" borderId="67" xfId="0" applyNumberFormat="1" applyFont="1" applyBorder="1" applyAlignment="1">
      <alignment horizontal="right" vertical="center"/>
    </xf>
    <xf numFmtId="4" fontId="19" fillId="0" borderId="73" xfId="0" applyNumberFormat="1" applyFont="1" applyBorder="1" applyAlignment="1">
      <alignment horizontal="right" vertical="center"/>
    </xf>
    <xf numFmtId="4" fontId="19" fillId="0" borderId="38" xfId="0" applyNumberFormat="1" applyFont="1" applyBorder="1" applyAlignment="1">
      <alignment horizontal="right" vertical="center"/>
    </xf>
    <xf numFmtId="4" fontId="19" fillId="0" borderId="104" xfId="0" applyNumberFormat="1" applyFont="1" applyBorder="1" applyAlignment="1">
      <alignment horizontal="right" vertical="center"/>
    </xf>
    <xf numFmtId="4" fontId="19" fillId="0" borderId="80" xfId="0" applyNumberFormat="1" applyFont="1" applyBorder="1" applyAlignment="1">
      <alignment horizontal="right" vertical="center"/>
    </xf>
    <xf numFmtId="4" fontId="19" fillId="0" borderId="94" xfId="0" applyNumberFormat="1" applyFont="1" applyBorder="1" applyAlignment="1">
      <alignment horizontal="right" vertical="center"/>
    </xf>
    <xf numFmtId="4" fontId="19" fillId="0" borderId="63" xfId="0" applyNumberFormat="1" applyFont="1" applyBorder="1" applyAlignment="1">
      <alignment horizontal="right" vertical="center"/>
    </xf>
    <xf numFmtId="4" fontId="19" fillId="0" borderId="99" xfId="0" applyNumberFormat="1" applyFont="1" applyBorder="1" applyAlignment="1">
      <alignment horizontal="right" vertical="center"/>
    </xf>
    <xf numFmtId="0" fontId="4" fillId="0" borderId="132" xfId="0" applyFont="1" applyBorder="1" applyAlignment="1">
      <alignment horizontal="center" vertical="center"/>
    </xf>
    <xf numFmtId="164" fontId="6" fillId="0" borderId="133" xfId="0" applyNumberFormat="1" applyFont="1" applyBorder="1" applyAlignment="1">
      <alignment horizontal="left" vertical="center"/>
    </xf>
    <xf numFmtId="0" fontId="10" fillId="10" borderId="25" xfId="0" applyFont="1" applyFill="1" applyBorder="1"/>
    <xf numFmtId="0" fontId="10" fillId="10" borderId="91" xfId="0" applyFont="1" applyFill="1" applyBorder="1"/>
    <xf numFmtId="0" fontId="3" fillId="14" borderId="0" xfId="0" applyFont="1" applyFill="1"/>
    <xf numFmtId="0" fontId="38" fillId="14" borderId="0" xfId="0" applyFont="1" applyFill="1"/>
    <xf numFmtId="0" fontId="39" fillId="0" borderId="0" xfId="0" applyFont="1"/>
    <xf numFmtId="0" fontId="42" fillId="0" borderId="0" xfId="0" applyFont="1"/>
    <xf numFmtId="0" fontId="43" fillId="0" borderId="0" xfId="0" applyFont="1"/>
    <xf numFmtId="0" fontId="41" fillId="0" borderId="0" xfId="0" applyFont="1" applyAlignment="1">
      <alignment textRotation="90"/>
    </xf>
    <xf numFmtId="164" fontId="6" fillId="0" borderId="104" xfId="0" applyNumberFormat="1" applyFont="1" applyBorder="1" applyAlignment="1">
      <alignment horizontal="left" vertical="center"/>
    </xf>
    <xf numFmtId="164" fontId="6" fillId="0" borderId="38" xfId="0" applyNumberFormat="1" applyFont="1" applyBorder="1" applyAlignment="1">
      <alignment horizontal="left" vertical="center"/>
    </xf>
    <xf numFmtId="164" fontId="6" fillId="0" borderId="99" xfId="0" applyNumberFormat="1" applyFont="1" applyBorder="1" applyAlignment="1">
      <alignment horizontal="left" vertical="center"/>
    </xf>
    <xf numFmtId="0" fontId="25" fillId="14" borderId="19" xfId="1" applyFont="1" applyFill="1" applyBorder="1"/>
    <xf numFmtId="0" fontId="26" fillId="0" borderId="137" xfId="1" applyFont="1" applyBorder="1" applyAlignment="1">
      <alignment horizontal="left" vertical="center"/>
    </xf>
    <xf numFmtId="0" fontId="36" fillId="0" borderId="0" xfId="1" applyFont="1"/>
    <xf numFmtId="0" fontId="44" fillId="0" borderId="0" xfId="0" applyFont="1"/>
    <xf numFmtId="3" fontId="19" fillId="0" borderId="141" xfId="0" applyNumberFormat="1" applyFont="1" applyBorder="1" applyAlignment="1">
      <alignment horizontal="right" vertical="center"/>
    </xf>
    <xf numFmtId="3" fontId="19" fillId="0" borderId="140" xfId="0" applyNumberFormat="1" applyFont="1" applyBorder="1" applyAlignment="1">
      <alignment horizontal="right" vertical="center"/>
    </xf>
    <xf numFmtId="0" fontId="34" fillId="14" borderId="45" xfId="8" applyFont="1" applyFill="1" applyBorder="1" applyAlignment="1">
      <alignment vertical="center" wrapText="1"/>
    </xf>
    <xf numFmtId="0" fontId="34" fillId="0" borderId="3" xfId="1" applyFont="1" applyBorder="1" applyAlignment="1">
      <alignment vertical="center" wrapText="1"/>
    </xf>
    <xf numFmtId="1" fontId="34" fillId="0" borderId="3" xfId="1" applyNumberFormat="1" applyFont="1" applyBorder="1" applyAlignment="1">
      <alignment horizontal="left" vertical="center" wrapText="1"/>
    </xf>
    <xf numFmtId="0" fontId="34" fillId="0" borderId="45" xfId="1" applyFont="1" applyBorder="1" applyAlignment="1">
      <alignment vertical="center" wrapText="1"/>
    </xf>
    <xf numFmtId="1" fontId="26" fillId="0" borderId="15" xfId="1" applyNumberFormat="1" applyFont="1" applyBorder="1" applyAlignment="1">
      <alignment horizontal="left" vertical="center" wrapText="1"/>
    </xf>
    <xf numFmtId="9" fontId="3" fillId="0" borderId="0" xfId="12" applyFont="1" applyBorder="1"/>
    <xf numFmtId="0" fontId="4" fillId="0" borderId="139"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92" xfId="0" applyFont="1" applyBorder="1" applyAlignment="1">
      <alignment horizontal="center" vertical="center"/>
    </xf>
    <xf numFmtId="0" fontId="4" fillId="0" borderId="92" xfId="0" applyFont="1" applyBorder="1" applyAlignment="1">
      <alignment horizontal="center" vertical="center" wrapText="1"/>
    </xf>
    <xf numFmtId="0" fontId="4" fillId="0" borderId="142" xfId="0" applyFont="1" applyBorder="1" applyAlignment="1">
      <alignment horizontal="center" vertical="center" wrapText="1"/>
    </xf>
    <xf numFmtId="0" fontId="4" fillId="0" borderId="131" xfId="0" applyFont="1" applyBorder="1" applyAlignment="1">
      <alignment horizontal="center" vertical="center" wrapText="1"/>
    </xf>
    <xf numFmtId="0" fontId="4" fillId="0" borderId="78" xfId="0" applyFont="1" applyBorder="1" applyAlignment="1">
      <alignment horizontal="center" vertical="center" wrapText="1"/>
    </xf>
    <xf numFmtId="0" fontId="4" fillId="0" borderId="103" xfId="0" applyFont="1" applyBorder="1" applyAlignment="1">
      <alignment horizontal="center" vertical="center" wrapText="1"/>
    </xf>
    <xf numFmtId="0" fontId="4" fillId="0" borderId="100" xfId="0" applyFont="1" applyBorder="1" applyAlignment="1">
      <alignment horizontal="center" vertical="center" wrapText="1"/>
    </xf>
    <xf numFmtId="0" fontId="4" fillId="0" borderId="42" xfId="0" applyFont="1" applyBorder="1" applyAlignment="1">
      <alignment horizontal="center" vertical="center"/>
    </xf>
    <xf numFmtId="0" fontId="4" fillId="0" borderId="42" xfId="0" applyFont="1" applyBorder="1" applyAlignment="1">
      <alignment horizontal="center" vertical="center" wrapText="1"/>
    </xf>
    <xf numFmtId="0" fontId="26" fillId="0" borderId="54" xfId="1" applyFont="1" applyBorder="1" applyAlignment="1">
      <alignment vertical="center" wrapText="1"/>
    </xf>
    <xf numFmtId="0" fontId="26" fillId="0" borderId="136" xfId="1" applyFont="1" applyBorder="1" applyAlignment="1">
      <alignment vertical="center" wrapText="1"/>
    </xf>
    <xf numFmtId="0" fontId="46" fillId="28" borderId="143" xfId="0" applyFont="1" applyFill="1" applyBorder="1" applyAlignment="1">
      <alignment horizontal="left" vertical="center" wrapText="1" readingOrder="1"/>
    </xf>
    <xf numFmtId="0" fontId="0" fillId="0" borderId="0" xfId="0" applyAlignment="1">
      <alignment vertical="center" readingOrder="1"/>
    </xf>
    <xf numFmtId="0" fontId="46" fillId="29" borderId="143" xfId="0" applyFont="1" applyFill="1" applyBorder="1" applyAlignment="1">
      <alignment horizontal="left" vertical="center" wrapText="1" readingOrder="1"/>
    </xf>
    <xf numFmtId="0" fontId="46" fillId="30" borderId="143" xfId="0" applyFont="1" applyFill="1" applyBorder="1" applyAlignment="1">
      <alignment horizontal="left" vertical="center" wrapText="1" readingOrder="1"/>
    </xf>
    <xf numFmtId="0" fontId="3" fillId="0" borderId="0" xfId="0" applyFont="1" applyAlignment="1">
      <alignment vertical="top"/>
    </xf>
    <xf numFmtId="0" fontId="39" fillId="0" borderId="0" xfId="0" applyFont="1" applyAlignment="1">
      <alignment horizontal="left" vertical="top"/>
    </xf>
    <xf numFmtId="0" fontId="4" fillId="0" borderId="145" xfId="0" applyFont="1" applyBorder="1" applyAlignment="1">
      <alignment horizontal="center" vertical="center"/>
    </xf>
    <xf numFmtId="0" fontId="40" fillId="0" borderId="0" xfId="0" applyFont="1" applyAlignment="1" applyProtection="1">
      <alignment vertical="top"/>
      <protection locked="0"/>
    </xf>
    <xf numFmtId="0" fontId="48" fillId="0" borderId="0" xfId="0" applyFont="1" applyAlignment="1" applyProtection="1">
      <alignment horizontal="left" vertical="center"/>
      <protection locked="0"/>
    </xf>
    <xf numFmtId="164" fontId="5" fillId="12" borderId="0" xfId="0" applyNumberFormat="1" applyFont="1" applyFill="1"/>
    <xf numFmtId="1" fontId="5" fillId="16" borderId="0" xfId="0" applyNumberFormat="1" applyFont="1" applyFill="1" applyProtection="1">
      <protection locked="0"/>
    </xf>
    <xf numFmtId="4" fontId="19" fillId="0" borderId="28" xfId="0" applyNumberFormat="1" applyFont="1" applyBorder="1" applyAlignment="1">
      <alignment horizontal="right" vertical="center"/>
    </xf>
    <xf numFmtId="4" fontId="19" fillId="0" borderId="29" xfId="0" applyNumberFormat="1" applyFont="1" applyBorder="1" applyAlignment="1">
      <alignment horizontal="right" vertical="center"/>
    </xf>
    <xf numFmtId="4" fontId="19" fillId="0" borderId="30" xfId="0" applyNumberFormat="1" applyFont="1" applyBorder="1" applyAlignment="1">
      <alignment horizontal="right" vertical="center"/>
    </xf>
    <xf numFmtId="4" fontId="19" fillId="0" borderId="110" xfId="0" applyNumberFormat="1" applyFont="1" applyBorder="1" applyAlignment="1">
      <alignment horizontal="right" vertical="center"/>
    </xf>
    <xf numFmtId="4" fontId="19" fillId="0" borderId="31" xfId="0" applyNumberFormat="1" applyFont="1" applyBorder="1" applyAlignment="1">
      <alignment horizontal="right" vertical="center"/>
    </xf>
    <xf numFmtId="4" fontId="19" fillId="0" borderId="32" xfId="0" applyNumberFormat="1" applyFont="1" applyBorder="1" applyAlignment="1">
      <alignment horizontal="right" vertical="center"/>
    </xf>
    <xf numFmtId="4" fontId="19" fillId="0" borderId="111" xfId="0" applyNumberFormat="1" applyFont="1" applyBorder="1" applyAlignment="1">
      <alignment horizontal="right" vertical="center"/>
    </xf>
    <xf numFmtId="4" fontId="19" fillId="0" borderId="68" xfId="0" applyNumberFormat="1" applyFont="1" applyBorder="1" applyAlignment="1">
      <alignment horizontal="right" vertical="center"/>
    </xf>
    <xf numFmtId="4" fontId="19" fillId="0" borderId="69" xfId="0" applyNumberFormat="1" applyFont="1" applyBorder="1" applyAlignment="1">
      <alignment horizontal="right" vertical="center"/>
    </xf>
    <xf numFmtId="4" fontId="19" fillId="0" borderId="112" xfId="0" applyNumberFormat="1" applyFont="1" applyBorder="1" applyAlignment="1">
      <alignment horizontal="right" vertical="center"/>
    </xf>
    <xf numFmtId="4" fontId="19" fillId="0" borderId="138" xfId="0" applyNumberFormat="1" applyFont="1" applyBorder="1" applyAlignment="1">
      <alignment horizontal="right" vertical="center"/>
    </xf>
    <xf numFmtId="4" fontId="19" fillId="0" borderId="113" xfId="0" applyNumberFormat="1" applyFont="1" applyBorder="1" applyAlignment="1">
      <alignment horizontal="right" vertical="center"/>
    </xf>
    <xf numFmtId="4" fontId="19" fillId="0" borderId="106" xfId="0" applyNumberFormat="1" applyFont="1" applyBorder="1" applyAlignment="1">
      <alignment horizontal="right" vertical="center"/>
    </xf>
    <xf numFmtId="4" fontId="19" fillId="0" borderId="36" xfId="0" applyNumberFormat="1" applyFont="1" applyBorder="1" applyAlignment="1">
      <alignment horizontal="right" vertical="center"/>
    </xf>
    <xf numFmtId="4" fontId="19" fillId="0" borderId="114" xfId="0" applyNumberFormat="1" applyFont="1" applyBorder="1" applyAlignment="1">
      <alignment horizontal="right" vertical="center"/>
    </xf>
    <xf numFmtId="4" fontId="19" fillId="0" borderId="34" xfId="0" applyNumberFormat="1" applyFont="1" applyBorder="1" applyAlignment="1">
      <alignment horizontal="right" vertical="center"/>
    </xf>
    <xf numFmtId="4" fontId="19" fillId="0" borderId="35" xfId="0" applyNumberFormat="1" applyFont="1" applyBorder="1" applyAlignment="1">
      <alignment horizontal="right" vertical="center"/>
    </xf>
    <xf numFmtId="4" fontId="19" fillId="0" borderId="115" xfId="0" applyNumberFormat="1" applyFont="1" applyBorder="1" applyAlignment="1">
      <alignment horizontal="right" vertical="center"/>
    </xf>
    <xf numFmtId="4" fontId="19" fillId="0" borderId="109" xfId="0" applyNumberFormat="1" applyFont="1" applyBorder="1" applyAlignment="1">
      <alignment horizontal="right" vertical="center"/>
    </xf>
    <xf numFmtId="4" fontId="19" fillId="0" borderId="33" xfId="0" applyNumberFormat="1" applyFont="1" applyBorder="1" applyAlignment="1">
      <alignment horizontal="right" vertical="center"/>
    </xf>
    <xf numFmtId="4" fontId="19" fillId="0" borderId="116" xfId="0" applyNumberFormat="1" applyFont="1" applyBorder="1" applyAlignment="1">
      <alignment horizontal="right" vertical="center"/>
    </xf>
    <xf numFmtId="4" fontId="19" fillId="0" borderId="117" xfId="0" applyNumberFormat="1" applyFont="1" applyBorder="1" applyAlignment="1">
      <alignment horizontal="right" vertical="center"/>
    </xf>
    <xf numFmtId="4" fontId="19" fillId="0" borderId="90" xfId="0" applyNumberFormat="1" applyFont="1" applyBorder="1" applyAlignment="1">
      <alignment horizontal="right" vertical="center"/>
    </xf>
    <xf numFmtId="4" fontId="19" fillId="0" borderId="118" xfId="0" applyNumberFormat="1" applyFont="1" applyBorder="1" applyAlignment="1">
      <alignment horizontal="right" vertical="center"/>
    </xf>
    <xf numFmtId="4" fontId="19" fillId="0" borderId="119" xfId="0" applyNumberFormat="1" applyFont="1" applyBorder="1" applyAlignment="1">
      <alignment horizontal="right" vertical="center"/>
    </xf>
    <xf numFmtId="4" fontId="19" fillId="0" borderId="59" xfId="0" applyNumberFormat="1" applyFont="1" applyBorder="1" applyAlignment="1">
      <alignment horizontal="right" vertical="center"/>
    </xf>
    <xf numFmtId="4" fontId="19" fillId="0" borderId="120" xfId="0" applyNumberFormat="1" applyFont="1" applyBorder="1" applyAlignment="1">
      <alignment horizontal="right" vertical="center"/>
    </xf>
    <xf numFmtId="4" fontId="19" fillId="0" borderId="121" xfId="0" applyNumberFormat="1" applyFont="1" applyBorder="1" applyAlignment="1">
      <alignment horizontal="right" vertical="center"/>
    </xf>
    <xf numFmtId="4" fontId="19" fillId="0" borderId="122" xfId="0" applyNumberFormat="1" applyFont="1" applyBorder="1" applyAlignment="1">
      <alignment horizontal="right" vertical="center"/>
    </xf>
    <xf numFmtId="4" fontId="19" fillId="0" borderId="123" xfId="0" applyNumberFormat="1" applyFont="1" applyBorder="1" applyAlignment="1">
      <alignment horizontal="right" vertical="center"/>
    </xf>
    <xf numFmtId="4" fontId="19" fillId="0" borderId="126" xfId="0" applyNumberFormat="1" applyFont="1" applyBorder="1" applyAlignment="1">
      <alignment horizontal="right" vertical="center"/>
    </xf>
    <xf numFmtId="1" fontId="3" fillId="0" borderId="0" xfId="0" quotePrefix="1" applyNumberFormat="1" applyFont="1"/>
    <xf numFmtId="4" fontId="19" fillId="0" borderId="148" xfId="0" applyNumberFormat="1" applyFont="1" applyBorder="1" applyAlignment="1">
      <alignment horizontal="right" vertical="center"/>
    </xf>
    <xf numFmtId="4" fontId="19" fillId="0" borderId="149" xfId="0" applyNumberFormat="1" applyFont="1" applyBorder="1" applyAlignment="1">
      <alignment horizontal="right" vertical="center"/>
    </xf>
    <xf numFmtId="4" fontId="19" fillId="0" borderId="150" xfId="0" applyNumberFormat="1" applyFont="1" applyBorder="1" applyAlignment="1">
      <alignment horizontal="right" vertical="center"/>
    </xf>
    <xf numFmtId="3" fontId="19" fillId="0" borderId="151" xfId="0" applyNumberFormat="1" applyFont="1" applyBorder="1" applyAlignment="1">
      <alignment horizontal="right" vertical="center"/>
    </xf>
    <xf numFmtId="3" fontId="19" fillId="0" borderId="152" xfId="0" applyNumberFormat="1" applyFont="1" applyBorder="1" applyAlignment="1">
      <alignment horizontal="right" vertical="center"/>
    </xf>
    <xf numFmtId="0" fontId="49" fillId="20" borderId="60" xfId="0" applyFont="1" applyFill="1" applyBorder="1" applyAlignment="1">
      <alignment horizontal="left" vertical="center" wrapText="1"/>
    </xf>
    <xf numFmtId="0" fontId="49" fillId="20" borderId="61" xfId="0" applyFont="1" applyFill="1" applyBorder="1" applyAlignment="1">
      <alignment horizontal="left" vertical="center" wrapText="1"/>
    </xf>
    <xf numFmtId="0" fontId="49" fillId="20" borderId="62" xfId="0" applyFont="1" applyFill="1" applyBorder="1" applyAlignment="1">
      <alignment horizontal="left" vertical="center" wrapText="1"/>
    </xf>
    <xf numFmtId="0" fontId="3" fillId="10" borderId="153" xfId="0" applyFont="1" applyFill="1" applyBorder="1"/>
    <xf numFmtId="0" fontId="3" fillId="10" borderId="25" xfId="0" applyFont="1" applyFill="1" applyBorder="1"/>
    <xf numFmtId="0" fontId="3" fillId="10" borderId="91" xfId="0" applyFont="1" applyFill="1" applyBorder="1"/>
    <xf numFmtId="0" fontId="3" fillId="0" borderId="0" xfId="0" applyFont="1" applyAlignment="1">
      <alignment horizontal="left" vertical="top" wrapText="1"/>
    </xf>
    <xf numFmtId="0" fontId="3" fillId="0" borderId="0" xfId="0" applyFont="1" applyAlignment="1">
      <alignment horizontal="left" wrapText="1"/>
    </xf>
    <xf numFmtId="0" fontId="40" fillId="0" borderId="0" xfId="0" applyFont="1" applyAlignment="1" applyProtection="1">
      <alignment horizontal="left" vertical="top" wrapText="1"/>
      <protection locked="0"/>
    </xf>
    <xf numFmtId="0" fontId="7" fillId="0" borderId="0" xfId="0" applyFont="1" applyAlignment="1">
      <alignment horizontal="center" vertical="center" wrapText="1"/>
    </xf>
    <xf numFmtId="0" fontId="7" fillId="0" borderId="0" xfId="0" applyFont="1" applyAlignment="1">
      <alignment horizontal="center" vertical="center"/>
    </xf>
    <xf numFmtId="0" fontId="32" fillId="20" borderId="47" xfId="0" applyFont="1" applyFill="1" applyBorder="1" applyAlignment="1">
      <alignment horizontal="center" textRotation="90" wrapText="1"/>
    </xf>
    <xf numFmtId="0" fontId="32" fillId="20" borderId="48" xfId="0" applyFont="1" applyFill="1" applyBorder="1" applyAlignment="1">
      <alignment horizontal="center" textRotation="90" wrapText="1"/>
    </xf>
    <xf numFmtId="0" fontId="20" fillId="20" borderId="41" xfId="0" applyFont="1" applyFill="1" applyBorder="1" applyAlignment="1">
      <alignment horizontal="center" vertical="center" textRotation="90" wrapText="1"/>
    </xf>
    <xf numFmtId="0" fontId="20" fillId="20" borderId="42" xfId="0" applyFont="1" applyFill="1" applyBorder="1" applyAlignment="1">
      <alignment horizontal="center" vertical="center" textRotation="90" wrapText="1"/>
    </xf>
    <xf numFmtId="0" fontId="20" fillId="20" borderId="43" xfId="0" applyFont="1" applyFill="1" applyBorder="1" applyAlignment="1">
      <alignment horizontal="center" vertical="center" textRotation="90" wrapText="1"/>
    </xf>
    <xf numFmtId="0" fontId="20" fillId="20" borderId="57" xfId="0" applyFont="1" applyFill="1" applyBorder="1" applyAlignment="1">
      <alignment horizontal="center" vertical="center" textRotation="90" wrapText="1"/>
    </xf>
    <xf numFmtId="0" fontId="33" fillId="20" borderId="24" xfId="0" applyFont="1" applyFill="1" applyBorder="1" applyAlignment="1">
      <alignment horizontal="center" textRotation="90"/>
    </xf>
    <xf numFmtId="0" fontId="28" fillId="0" borderId="25" xfId="0" applyFont="1" applyBorder="1" applyAlignment="1">
      <alignment horizontal="left" vertical="top" wrapText="1"/>
    </xf>
    <xf numFmtId="0" fontId="28" fillId="0" borderId="0" xfId="0" applyFont="1" applyAlignment="1">
      <alignment horizontal="left" vertical="top" wrapText="1"/>
    </xf>
    <xf numFmtId="0" fontId="20" fillId="20" borderId="58" xfId="0" applyFont="1" applyFill="1" applyBorder="1" applyAlignment="1">
      <alignment horizontal="center" textRotation="90" wrapText="1"/>
    </xf>
    <xf numFmtId="0" fontId="20" fillId="20" borderId="42" xfId="0" applyFont="1" applyFill="1" applyBorder="1" applyAlignment="1">
      <alignment horizontal="center" textRotation="90" wrapText="1"/>
    </xf>
    <xf numFmtId="0" fontId="20" fillId="20" borderId="57" xfId="0" applyFont="1" applyFill="1" applyBorder="1" applyAlignment="1">
      <alignment horizontal="center" textRotation="90" wrapText="1"/>
    </xf>
    <xf numFmtId="0" fontId="20" fillId="20" borderId="127" xfId="0" applyFont="1" applyFill="1" applyBorder="1" applyAlignment="1">
      <alignment horizontal="center" vertical="center" textRotation="90" wrapText="1"/>
    </xf>
    <xf numFmtId="0" fontId="20" fillId="20" borderId="24" xfId="0" applyFont="1" applyFill="1" applyBorder="1" applyAlignment="1">
      <alignment horizontal="center" vertical="center" textRotation="90" wrapText="1"/>
    </xf>
    <xf numFmtId="0" fontId="20" fillId="20" borderId="77" xfId="0" applyFont="1" applyFill="1" applyBorder="1" applyAlignment="1">
      <alignment horizontal="center" vertical="center" textRotation="90" wrapText="1"/>
    </xf>
    <xf numFmtId="0" fontId="20" fillId="20" borderId="131" xfId="0" applyFont="1" applyFill="1" applyBorder="1" applyAlignment="1">
      <alignment horizontal="center" vertical="center" textRotation="90" wrapText="1"/>
    </xf>
    <xf numFmtId="0" fontId="7" fillId="10" borderId="147" xfId="0" applyFont="1" applyFill="1" applyBorder="1" applyAlignment="1">
      <alignment horizontal="center" vertical="center" wrapText="1"/>
    </xf>
    <xf numFmtId="0" fontId="7" fillId="10" borderId="17" xfId="0" applyFont="1" applyFill="1" applyBorder="1" applyAlignment="1">
      <alignment horizontal="center" vertical="center" wrapText="1"/>
    </xf>
    <xf numFmtId="0" fontId="32" fillId="20" borderId="55" xfId="0" applyFont="1" applyFill="1" applyBorder="1" applyAlignment="1">
      <alignment horizontal="center" vertical="center" wrapText="1"/>
    </xf>
    <xf numFmtId="0" fontId="33" fillId="20" borderId="56" xfId="0" applyFont="1" applyFill="1" applyBorder="1" applyAlignment="1">
      <alignment horizontal="center" vertical="center" wrapText="1"/>
    </xf>
    <xf numFmtId="0" fontId="7" fillId="10" borderId="146" xfId="0" applyFont="1" applyFill="1" applyBorder="1" applyAlignment="1">
      <alignment horizontal="center" vertical="center" wrapText="1"/>
    </xf>
    <xf numFmtId="0" fontId="20" fillId="20" borderId="44" xfId="0" applyFont="1" applyFill="1" applyBorder="1" applyAlignment="1">
      <alignment horizontal="center" textRotation="90" wrapText="1"/>
    </xf>
    <xf numFmtId="0" fontId="0" fillId="20" borderId="45" xfId="0" applyFill="1" applyBorder="1" applyAlignment="1">
      <alignment horizontal="center" textRotation="90"/>
    </xf>
    <xf numFmtId="0" fontId="0" fillId="20" borderId="46" xfId="0" applyFill="1" applyBorder="1" applyAlignment="1">
      <alignment horizontal="center" textRotation="90"/>
    </xf>
    <xf numFmtId="0" fontId="32" fillId="20" borderId="50" xfId="0" applyFont="1" applyFill="1" applyBorder="1" applyAlignment="1">
      <alignment horizontal="center" textRotation="90" wrapText="1"/>
    </xf>
    <xf numFmtId="0" fontId="33" fillId="20" borderId="51" xfId="0" applyFont="1" applyFill="1" applyBorder="1" applyAlignment="1">
      <alignment horizontal="center"/>
    </xf>
    <xf numFmtId="0" fontId="33" fillId="20" borderId="52" xfId="0" applyFont="1" applyFill="1" applyBorder="1" applyAlignment="1">
      <alignment horizontal="center"/>
    </xf>
    <xf numFmtId="0" fontId="32" fillId="20" borderId="53" xfId="0" applyFont="1" applyFill="1" applyBorder="1" applyAlignment="1">
      <alignment horizontal="center" textRotation="90" wrapText="1"/>
    </xf>
    <xf numFmtId="0" fontId="33" fillId="20" borderId="15" xfId="0" applyFont="1" applyFill="1" applyBorder="1" applyAlignment="1">
      <alignment horizontal="center" textRotation="90"/>
    </xf>
    <xf numFmtId="0" fontId="33" fillId="20" borderId="54" xfId="0" applyFont="1" applyFill="1" applyBorder="1" applyAlignment="1">
      <alignment horizontal="center" textRotation="90"/>
    </xf>
    <xf numFmtId="0" fontId="40" fillId="0" borderId="0" xfId="0" applyFont="1" applyProtection="1">
      <protection locked="0"/>
    </xf>
    <xf numFmtId="0" fontId="41" fillId="0" borderId="0" xfId="0" applyFont="1"/>
    <xf numFmtId="0" fontId="20" fillId="20" borderId="48" xfId="0" applyFont="1" applyFill="1" applyBorder="1" applyAlignment="1">
      <alignment horizontal="center" vertical="center" textRotation="90" wrapText="1"/>
    </xf>
    <xf numFmtId="0" fontId="20" fillId="20" borderId="134" xfId="0" applyFont="1" applyFill="1" applyBorder="1" applyAlignment="1">
      <alignment horizontal="center" vertical="center" textRotation="90" wrapText="1"/>
    </xf>
    <xf numFmtId="0" fontId="20" fillId="20" borderId="47" xfId="0" applyFont="1" applyFill="1" applyBorder="1" applyAlignment="1">
      <alignment horizontal="center" vertical="center" textRotation="90" wrapText="1"/>
    </xf>
    <xf numFmtId="0" fontId="20" fillId="20" borderId="135" xfId="0" applyFont="1" applyFill="1" applyBorder="1" applyAlignment="1">
      <alignment horizontal="center" vertical="center" textRotation="90" wrapText="1"/>
    </xf>
    <xf numFmtId="0" fontId="33" fillId="20" borderId="48" xfId="0" applyFont="1" applyFill="1" applyBorder="1" applyAlignment="1">
      <alignment horizontal="center" textRotation="90"/>
    </xf>
    <xf numFmtId="0" fontId="33" fillId="20" borderId="49" xfId="0" applyFont="1" applyFill="1" applyBorder="1" applyAlignment="1">
      <alignment horizontal="center" textRotation="90"/>
    </xf>
    <xf numFmtId="0" fontId="7" fillId="10" borderId="0" xfId="0" applyFont="1" applyFill="1" applyAlignment="1">
      <alignment horizontal="center" vertical="center" wrapText="1"/>
    </xf>
    <xf numFmtId="0" fontId="20" fillId="20" borderId="53" xfId="0" applyFont="1" applyFill="1" applyBorder="1" applyAlignment="1">
      <alignment horizontal="center" textRotation="90" wrapText="1"/>
    </xf>
    <xf numFmtId="0" fontId="0" fillId="20" borderId="15" xfId="0" applyFill="1" applyBorder="1" applyAlignment="1">
      <alignment horizontal="center" textRotation="90"/>
    </xf>
    <xf numFmtId="0" fontId="0" fillId="20" borderId="54" xfId="0" applyFill="1" applyBorder="1" applyAlignment="1">
      <alignment horizontal="center" textRotation="90"/>
    </xf>
    <xf numFmtId="0" fontId="21" fillId="20" borderId="55" xfId="0" applyFont="1" applyFill="1" applyBorder="1" applyAlignment="1">
      <alignment horizontal="center" vertical="center" wrapText="1"/>
    </xf>
    <xf numFmtId="0" fontId="0" fillId="20" borderId="56" xfId="0" applyFill="1" applyBorder="1" applyAlignment="1">
      <alignment horizontal="center" vertical="center" wrapText="1"/>
    </xf>
    <xf numFmtId="0" fontId="20" fillId="20" borderId="49" xfId="0" applyFont="1" applyFill="1" applyBorder="1" applyAlignment="1">
      <alignment horizontal="center" vertical="center" textRotation="90" wrapText="1"/>
    </xf>
    <xf numFmtId="0" fontId="47" fillId="0" borderId="144" xfId="0" applyFont="1" applyBorder="1" applyAlignment="1">
      <alignment horizontal="center" wrapText="1"/>
    </xf>
    <xf numFmtId="0" fontId="20" fillId="13" borderId="1" xfId="0" applyFont="1" applyFill="1" applyBorder="1" applyAlignment="1">
      <alignment horizontal="center" vertical="center" textRotation="90"/>
    </xf>
    <xf numFmtId="0" fontId="20" fillId="13" borderId="2" xfId="0" applyFont="1" applyFill="1" applyBorder="1" applyAlignment="1">
      <alignment horizontal="center" vertical="center" textRotation="90"/>
    </xf>
    <xf numFmtId="0" fontId="20" fillId="13" borderId="3" xfId="0" applyFont="1" applyFill="1" applyBorder="1" applyAlignment="1">
      <alignment horizontal="center" vertical="center" textRotation="90"/>
    </xf>
    <xf numFmtId="0" fontId="3" fillId="0" borderId="0" xfId="0" applyFont="1" applyAlignment="1">
      <alignment horizontal="center" wrapText="1"/>
    </xf>
    <xf numFmtId="0" fontId="4" fillId="15" borderId="56" xfId="0" applyFont="1" applyFill="1" applyBorder="1" applyProtection="1">
      <protection locked="0"/>
    </xf>
    <xf numFmtId="0" fontId="3" fillId="15" borderId="65" xfId="0" applyFont="1" applyFill="1" applyBorder="1" applyProtection="1">
      <protection locked="0"/>
    </xf>
    <xf numFmtId="0" fontId="4" fillId="15" borderId="55" xfId="0" applyFont="1" applyFill="1" applyBorder="1" applyProtection="1">
      <protection locked="0"/>
    </xf>
    <xf numFmtId="0" fontId="4" fillId="15" borderId="65" xfId="0" applyFont="1" applyFill="1" applyBorder="1" applyProtection="1">
      <protection locked="0"/>
    </xf>
  </cellXfs>
  <cellStyles count="13">
    <cellStyle name="Hyperlink 4" xfId="10" xr:uid="{00000000-0005-0000-0000-000000000000}"/>
    <cellStyle name="Normal" xfId="0" builtinId="0"/>
    <cellStyle name="Normal 2" xfId="1" xr:uid="{00000000-0005-0000-0000-000002000000}"/>
    <cellStyle name="Normal 2 2" xfId="2" xr:uid="{00000000-0005-0000-0000-000003000000}"/>
    <cellStyle name="Normal 20 4" xfId="9" xr:uid="{00000000-0005-0000-0000-000004000000}"/>
    <cellStyle name="Normal 3" xfId="3" xr:uid="{00000000-0005-0000-0000-000005000000}"/>
    <cellStyle name="Normal 4" xfId="4" xr:uid="{00000000-0005-0000-0000-000006000000}"/>
    <cellStyle name="Normal 5" xfId="5" xr:uid="{00000000-0005-0000-0000-000007000000}"/>
    <cellStyle name="Normal 5 2" xfId="6" xr:uid="{00000000-0005-0000-0000-000008000000}"/>
    <cellStyle name="Normal 6" xfId="7" xr:uid="{00000000-0005-0000-0000-000009000000}"/>
    <cellStyle name="Normal 6 4" xfId="8" xr:uid="{00000000-0005-0000-0000-00000A000000}"/>
    <cellStyle name="Normal 7" xfId="11" xr:uid="{00000000-0005-0000-0000-00000B000000}"/>
    <cellStyle name="Percent" xfId="12" builtinId="5"/>
  </cellStyles>
  <dxfs count="0"/>
  <tableStyles count="0" defaultTableStyle="TableStyleMedium9" defaultPivotStyle="PivotStyleLight16"/>
  <colors>
    <mruColors>
      <color rgb="FF1DCAD3"/>
      <color rgb="FFFFFF99"/>
      <color rgb="FFD50057"/>
      <color rgb="FF002E6D"/>
      <color rgb="FF7CA0C5"/>
      <color rgb="FFFF6B00"/>
      <color rgb="FFFF640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worksheet" Target="worksheets/sheet7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4164305949008504E-2"/>
          <c:y val="7.9455164585698103E-3"/>
          <c:w val="0.96317280453257814"/>
          <c:h val="0.99205448354143022"/>
        </c:manualLayout>
      </c:layout>
      <c:barChart>
        <c:barDir val="bar"/>
        <c:grouping val="clustered"/>
        <c:varyColors val="0"/>
        <c:ser>
          <c:idx val="10"/>
          <c:order val="0"/>
          <c:tx>
            <c:strRef>
              <c:f>Calculation!$AE$9</c:f>
              <c:strCache>
                <c:ptCount val="1"/>
                <c:pt idx="0">
                  <c:v>Best</c:v>
                </c:pt>
              </c:strCache>
            </c:strRef>
          </c:tx>
          <c:spPr>
            <a:solidFill>
              <a:srgbClr val="C0C0C0"/>
            </a:solidFill>
            <a:ln w="25400">
              <a:noFill/>
            </a:ln>
          </c:spPr>
          <c:invertIfNegative val="0"/>
          <c:cat>
            <c:strRef>
              <c:f>Calculation!$V$9:$V$75</c:f>
              <c:strCache>
                <c:ptCount val="1"/>
                <c:pt idx="0">
                  <c:v>-</c:v>
                </c:pt>
              </c:strCache>
            </c:strRef>
          </c:cat>
          <c:val>
            <c:numRef>
              <c:f>Calculation!$AE$10:$AE$75</c:f>
              <c:numCache>
                <c:formatCode>0.00</c:formatCode>
                <c:ptCount val="66"/>
                <c:pt idx="1">
                  <c:v>0.78516670342650796</c:v>
                </c:pt>
                <c:pt idx="2">
                  <c:v>0.73939545835946863</c:v>
                </c:pt>
                <c:pt idx="3">
                  <c:v>1</c:v>
                </c:pt>
                <c:pt idx="4">
                  <c:v>0.84437634970083164</c:v>
                </c:pt>
                <c:pt idx="5">
                  <c:v>0.94838736778542421</c:v>
                </c:pt>
                <c:pt idx="6">
                  <c:v>0.78166261424026218</c:v>
                </c:pt>
                <c:pt idx="7">
                  <c:v>0.7379371657885212</c:v>
                </c:pt>
                <c:pt idx="8">
                  <c:v>1</c:v>
                </c:pt>
                <c:pt idx="9">
                  <c:v>0.95714345809968815</c:v>
                </c:pt>
                <c:pt idx="10">
                  <c:v>0.72795438215985941</c:v>
                </c:pt>
                <c:pt idx="11">
                  <c:v>0.84246105727158405</c:v>
                </c:pt>
                <c:pt idx="12">
                  <c:v>0.86668172901229257</c:v>
                </c:pt>
                <c:pt idx="13">
                  <c:v>1</c:v>
                </c:pt>
                <c:pt idx="14">
                  <c:v>1</c:v>
                </c:pt>
                <c:pt idx="15">
                  <c:v>0.90061611703144273</c:v>
                </c:pt>
                <c:pt idx="16">
                  <c:v>0.94318271130013254</c:v>
                </c:pt>
                <c:pt idx="17">
                  <c:v>1</c:v>
                </c:pt>
                <c:pt idx="18">
                  <c:v>0.92877409028659608</c:v>
                </c:pt>
                <c:pt idx="19">
                  <c:v>0.75348697642500495</c:v>
                </c:pt>
                <c:pt idx="20">
                  <c:v>1</c:v>
                </c:pt>
                <c:pt idx="21">
                  <c:v>1</c:v>
                </c:pt>
                <c:pt idx="22">
                  <c:v>1</c:v>
                </c:pt>
                <c:pt idx="23">
                  <c:v>0.92346086079848477</c:v>
                </c:pt>
                <c:pt idx="24">
                  <c:v>1</c:v>
                </c:pt>
                <c:pt idx="25">
                  <c:v>0.9779680197483217</c:v>
                </c:pt>
                <c:pt idx="26">
                  <c:v>0.93225262743836723</c:v>
                </c:pt>
                <c:pt idx="27">
                  <c:v>1</c:v>
                </c:pt>
                <c:pt idx="28">
                  <c:v>0.89845584533843259</c:v>
                </c:pt>
                <c:pt idx="29">
                  <c:v>0.81029615258303844</c:v>
                </c:pt>
                <c:pt idx="30">
                  <c:v>0.56928874941258922</c:v>
                </c:pt>
                <c:pt idx="31">
                  <c:v>1</c:v>
                </c:pt>
                <c:pt idx="32">
                  <c:v>1</c:v>
                </c:pt>
                <c:pt idx="33">
                  <c:v>0.95011468790948972</c:v>
                </c:pt>
                <c:pt idx="34">
                  <c:v>0.8557216709081169</c:v>
                </c:pt>
                <c:pt idx="35">
                  <c:v>0.94780777692956686</c:v>
                </c:pt>
                <c:pt idx="36">
                  <c:v>0.63027704687965469</c:v>
                </c:pt>
                <c:pt idx="37">
                  <c:v>1</c:v>
                </c:pt>
                <c:pt idx="38">
                  <c:v>1</c:v>
                </c:pt>
                <c:pt idx="39">
                  <c:v>0.79051785518135342</c:v>
                </c:pt>
                <c:pt idx="40">
                  <c:v>1</c:v>
                </c:pt>
                <c:pt idx="41">
                  <c:v>0.90572736353378935</c:v>
                </c:pt>
                <c:pt idx="42">
                  <c:v>0.90361840535203819</c:v>
                </c:pt>
                <c:pt idx="43">
                  <c:v>1</c:v>
                </c:pt>
                <c:pt idx="44">
                  <c:v>1</c:v>
                </c:pt>
                <c:pt idx="45">
                  <c:v>1</c:v>
                </c:pt>
                <c:pt idx="46">
                  <c:v>0.70351645548858333</c:v>
                </c:pt>
                <c:pt idx="47">
                  <c:v>1</c:v>
                </c:pt>
                <c:pt idx="48">
                  <c:v>0.87490473586292572</c:v>
                </c:pt>
                <c:pt idx="49">
                  <c:v>1</c:v>
                </c:pt>
                <c:pt idx="50">
                  <c:v>0.86526555230873547</c:v>
                </c:pt>
                <c:pt idx="51">
                  <c:v>0.84132971642581023</c:v>
                </c:pt>
                <c:pt idx="52">
                  <c:v>1</c:v>
                </c:pt>
                <c:pt idx="53">
                  <c:v>1</c:v>
                </c:pt>
                <c:pt idx="54">
                  <c:v>1</c:v>
                </c:pt>
                <c:pt idx="55">
                  <c:v>1</c:v>
                </c:pt>
                <c:pt idx="56">
                  <c:v>0.87004140954800657</c:v>
                </c:pt>
                <c:pt idx="57">
                  <c:v>0.77302518948187082</c:v>
                </c:pt>
                <c:pt idx="58">
                  <c:v>0.62638673627160246</c:v>
                </c:pt>
                <c:pt idx="59">
                  <c:v>1</c:v>
                </c:pt>
                <c:pt idx="60">
                  <c:v>1</c:v>
                </c:pt>
                <c:pt idx="61">
                  <c:v>0.82758788178578124</c:v>
                </c:pt>
                <c:pt idx="62">
                  <c:v>0.99508251404666404</c:v>
                </c:pt>
                <c:pt idx="63">
                  <c:v>0.72874904789005979</c:v>
                </c:pt>
                <c:pt idx="64">
                  <c:v>0.98037927911757705</c:v>
                </c:pt>
                <c:pt idx="65">
                  <c:v>0.7012310382741942</c:v>
                </c:pt>
              </c:numCache>
            </c:numRef>
          </c:val>
          <c:extLst>
            <c:ext xmlns:c16="http://schemas.microsoft.com/office/drawing/2014/chart" uri="{C3380CC4-5D6E-409C-BE32-E72D297353CC}">
              <c16:uniqueId val="{00000000-2A9C-435B-8B9D-E22232BB0268}"/>
            </c:ext>
          </c:extLst>
        </c:ser>
        <c:ser>
          <c:idx val="8"/>
          <c:order val="1"/>
          <c:tx>
            <c:strRef>
              <c:f>Calculation!$AD$9</c:f>
              <c:strCache>
                <c:ptCount val="1"/>
                <c:pt idx="0">
                  <c:v>Top quartile</c:v>
                </c:pt>
              </c:strCache>
            </c:strRef>
          </c:tx>
          <c:spPr>
            <a:solidFill>
              <a:srgbClr val="969696"/>
            </a:solidFill>
            <a:ln w="25400">
              <a:noFill/>
            </a:ln>
          </c:spPr>
          <c:invertIfNegative val="0"/>
          <c:cat>
            <c:strRef>
              <c:f>Calculation!$V$9:$V$75</c:f>
              <c:strCache>
                <c:ptCount val="1"/>
                <c:pt idx="0">
                  <c:v>-</c:v>
                </c:pt>
              </c:strCache>
            </c:strRef>
          </c:cat>
          <c:val>
            <c:numRef>
              <c:f>Calculation!$AD$10:$AD$75</c:f>
              <c:numCache>
                <c:formatCode>0.00</c:formatCode>
                <c:ptCount val="66"/>
                <c:pt idx="1">
                  <c:v>0.58277757844948119</c:v>
                </c:pt>
                <c:pt idx="2">
                  <c:v>0.59299130332670147</c:v>
                </c:pt>
                <c:pt idx="3">
                  <c:v>0.53864839522709196</c:v>
                </c:pt>
                <c:pt idx="4">
                  <c:v>0.69551465245291233</c:v>
                </c:pt>
                <c:pt idx="5">
                  <c:v>0.79920175393896042</c:v>
                </c:pt>
                <c:pt idx="6">
                  <c:v>0.76430368001256932</c:v>
                </c:pt>
                <c:pt idx="7">
                  <c:v>0.68462716874313567</c:v>
                </c:pt>
                <c:pt idx="8">
                  <c:v>0.60856891082547748</c:v>
                </c:pt>
                <c:pt idx="9">
                  <c:v>0.64540354290288571</c:v>
                </c:pt>
                <c:pt idx="10">
                  <c:v>0.56166563849871221</c:v>
                </c:pt>
                <c:pt idx="11">
                  <c:v>0.54255979726962744</c:v>
                </c:pt>
                <c:pt idx="12">
                  <c:v>0.58693171140776679</c:v>
                </c:pt>
                <c:pt idx="13">
                  <c:v>0.62987798569548892</c:v>
                </c:pt>
                <c:pt idx="14">
                  <c:v>0.47433372934795082</c:v>
                </c:pt>
                <c:pt idx="15">
                  <c:v>0.59226911317278674</c:v>
                </c:pt>
                <c:pt idx="16">
                  <c:v>0.59484964310446409</c:v>
                </c:pt>
                <c:pt idx="17">
                  <c:v>0.63567131223016948</c:v>
                </c:pt>
                <c:pt idx="18">
                  <c:v>0.65481550236403296</c:v>
                </c:pt>
                <c:pt idx="19">
                  <c:v>0.60654941517515804</c:v>
                </c:pt>
                <c:pt idx="20">
                  <c:v>0.59039793850412192</c:v>
                </c:pt>
                <c:pt idx="21">
                  <c:v>0.57320615498135918</c:v>
                </c:pt>
                <c:pt idx="22">
                  <c:v>0.60066519694853948</c:v>
                </c:pt>
                <c:pt idx="23">
                  <c:v>0.67511545330568901</c:v>
                </c:pt>
                <c:pt idx="24">
                  <c:v>0.59755917828640903</c:v>
                </c:pt>
                <c:pt idx="25">
                  <c:v>0.75577955571081346</c:v>
                </c:pt>
                <c:pt idx="26">
                  <c:v>0.59628251401811649</c:v>
                </c:pt>
                <c:pt idx="27">
                  <c:v>0.81621743934660151</c:v>
                </c:pt>
                <c:pt idx="28">
                  <c:v>0.59959661041682466</c:v>
                </c:pt>
                <c:pt idx="29">
                  <c:v>0.58251436422182146</c:v>
                </c:pt>
                <c:pt idx="30">
                  <c:v>0.55607673527336943</c:v>
                </c:pt>
                <c:pt idx="31">
                  <c:v>0.68195214568477847</c:v>
                </c:pt>
                <c:pt idx="32">
                  <c:v>0.56875211742642939</c:v>
                </c:pt>
                <c:pt idx="33">
                  <c:v>0.7223437667268906</c:v>
                </c:pt>
                <c:pt idx="34">
                  <c:v>0.61834320754451177</c:v>
                </c:pt>
                <c:pt idx="35">
                  <c:v>0.70595982380954403</c:v>
                </c:pt>
                <c:pt idx="36">
                  <c:v>0.54116625711810151</c:v>
                </c:pt>
                <c:pt idx="37">
                  <c:v>0.6822183421264042</c:v>
                </c:pt>
                <c:pt idx="38">
                  <c:v>0.70044712823452948</c:v>
                </c:pt>
                <c:pt idx="39">
                  <c:v>0.67798867098339033</c:v>
                </c:pt>
                <c:pt idx="40">
                  <c:v>0.57342303769639835</c:v>
                </c:pt>
                <c:pt idx="41">
                  <c:v>0.62035198973653949</c:v>
                </c:pt>
                <c:pt idx="42">
                  <c:v>0.62864723331453032</c:v>
                </c:pt>
                <c:pt idx="43">
                  <c:v>0.73114033373080978</c:v>
                </c:pt>
                <c:pt idx="44">
                  <c:v>0.86333467090997207</c:v>
                </c:pt>
                <c:pt idx="45">
                  <c:v>0.79207279166361944</c:v>
                </c:pt>
                <c:pt idx="46">
                  <c:v>0.63136531496772696</c:v>
                </c:pt>
                <c:pt idx="47">
                  <c:v>0.56706392644080783</c:v>
                </c:pt>
                <c:pt idx="48">
                  <c:v>0.58902851523002586</c:v>
                </c:pt>
                <c:pt idx="49">
                  <c:v>0.5880410878735487</c:v>
                </c:pt>
                <c:pt idx="50">
                  <c:v>0.50341580740102898</c:v>
                </c:pt>
                <c:pt idx="51">
                  <c:v>0.63566341574018592</c:v>
                </c:pt>
                <c:pt idx="52">
                  <c:v>0.63959282648355387</c:v>
                </c:pt>
                <c:pt idx="53">
                  <c:v>0.57383690678146171</c:v>
                </c:pt>
                <c:pt idx="54">
                  <c:v>0.76490742395807532</c:v>
                </c:pt>
                <c:pt idx="55">
                  <c:v>0.63513527437533945</c:v>
                </c:pt>
                <c:pt idx="56">
                  <c:v>0.58339300664711113</c:v>
                </c:pt>
                <c:pt idx="57">
                  <c:v>0.52827938600819735</c:v>
                </c:pt>
                <c:pt idx="58">
                  <c:v>0.51732363697837669</c:v>
                </c:pt>
                <c:pt idx="59">
                  <c:v>0.5385776685069037</c:v>
                </c:pt>
                <c:pt idx="60">
                  <c:v>0.64539300358029672</c:v>
                </c:pt>
                <c:pt idx="61">
                  <c:v>0.6320461076163848</c:v>
                </c:pt>
                <c:pt idx="62">
                  <c:v>0.84101125999916193</c:v>
                </c:pt>
                <c:pt idx="63">
                  <c:v>0.66308832929365302</c:v>
                </c:pt>
                <c:pt idx="64">
                  <c:v>0.63551319114809368</c:v>
                </c:pt>
                <c:pt idx="65">
                  <c:v>0.59173997192527406</c:v>
                </c:pt>
              </c:numCache>
            </c:numRef>
          </c:val>
          <c:extLst>
            <c:ext xmlns:c16="http://schemas.microsoft.com/office/drawing/2014/chart" uri="{C3380CC4-5D6E-409C-BE32-E72D297353CC}">
              <c16:uniqueId val="{00000001-2A9C-435B-8B9D-E22232BB0268}"/>
            </c:ext>
          </c:extLst>
        </c:ser>
        <c:ser>
          <c:idx val="6"/>
          <c:order val="3"/>
          <c:tx>
            <c:strRef>
              <c:f>Calculation!$AB$9</c:f>
              <c:strCache>
                <c:ptCount val="1"/>
                <c:pt idx="0">
                  <c:v>Bottom quartile</c:v>
                </c:pt>
              </c:strCache>
            </c:strRef>
          </c:tx>
          <c:spPr>
            <a:solidFill>
              <a:srgbClr val="C0C0C0"/>
            </a:solidFill>
            <a:ln w="25400">
              <a:noFill/>
            </a:ln>
          </c:spPr>
          <c:invertIfNegative val="0"/>
          <c:cat>
            <c:strRef>
              <c:f>Calculation!$V$9:$V$75</c:f>
              <c:strCache>
                <c:ptCount val="1"/>
                <c:pt idx="0">
                  <c:v>-</c:v>
                </c:pt>
              </c:strCache>
            </c:strRef>
          </c:cat>
          <c:val>
            <c:numRef>
              <c:f>Calculation!$AB$10:$AB$75</c:f>
              <c:numCache>
                <c:formatCode>0.00</c:formatCode>
                <c:ptCount val="66"/>
                <c:pt idx="1">
                  <c:v>0.42091958488299275</c:v>
                </c:pt>
                <c:pt idx="2">
                  <c:v>0.45441138125612907</c:v>
                </c:pt>
                <c:pt idx="3">
                  <c:v>0.38989181038536042</c:v>
                </c:pt>
                <c:pt idx="4">
                  <c:v>0.37851206032247886</c:v>
                </c:pt>
                <c:pt idx="5">
                  <c:v>0.45970550507687169</c:v>
                </c:pt>
                <c:pt idx="6">
                  <c:v>0.29302493359993809</c:v>
                </c:pt>
                <c:pt idx="7">
                  <c:v>0.33428184001461608</c:v>
                </c:pt>
                <c:pt idx="8">
                  <c:v>0.46940311852337518</c:v>
                </c:pt>
                <c:pt idx="9">
                  <c:v>0.40706386832225</c:v>
                </c:pt>
                <c:pt idx="10">
                  <c:v>0.43436334269777238</c:v>
                </c:pt>
                <c:pt idx="11">
                  <c:v>0.45280653959829398</c:v>
                </c:pt>
                <c:pt idx="12">
                  <c:v>0.43743332102670535</c:v>
                </c:pt>
                <c:pt idx="13">
                  <c:v>0.38423493599362718</c:v>
                </c:pt>
                <c:pt idx="14">
                  <c:v>0.36896170193037164</c:v>
                </c:pt>
                <c:pt idx="15">
                  <c:v>0.43415071224356033</c:v>
                </c:pt>
                <c:pt idx="16">
                  <c:v>0.38296204107126447</c:v>
                </c:pt>
                <c:pt idx="17">
                  <c:v>0.32106591733694956</c:v>
                </c:pt>
                <c:pt idx="18">
                  <c:v>0.43669191010075303</c:v>
                </c:pt>
                <c:pt idx="19">
                  <c:v>0.40493732922678333</c:v>
                </c:pt>
                <c:pt idx="20">
                  <c:v>0.34676826457052423</c:v>
                </c:pt>
                <c:pt idx="21">
                  <c:v>0.37889000133285128</c:v>
                </c:pt>
                <c:pt idx="22">
                  <c:v>0.34096906971113433</c:v>
                </c:pt>
                <c:pt idx="23">
                  <c:v>0.41922476134155656</c:v>
                </c:pt>
                <c:pt idx="24">
                  <c:v>0.468553041166199</c:v>
                </c:pt>
                <c:pt idx="25">
                  <c:v>0.38250361632377378</c:v>
                </c:pt>
                <c:pt idx="26">
                  <c:v>0.3847558255488282</c:v>
                </c:pt>
                <c:pt idx="27">
                  <c:v>0.39660979570344651</c:v>
                </c:pt>
                <c:pt idx="28">
                  <c:v>0.43793866620091454</c:v>
                </c:pt>
                <c:pt idx="29">
                  <c:v>0.42093990056936648</c:v>
                </c:pt>
                <c:pt idx="30">
                  <c:v>0.48145753691558169</c:v>
                </c:pt>
                <c:pt idx="31">
                  <c:v>0.31004831621077139</c:v>
                </c:pt>
                <c:pt idx="32">
                  <c:v>0.43814170296661625</c:v>
                </c:pt>
                <c:pt idx="33">
                  <c:v>0.29409998828417366</c:v>
                </c:pt>
                <c:pt idx="34">
                  <c:v>0.44630552499837212</c:v>
                </c:pt>
                <c:pt idx="35">
                  <c:v>0.32356101711375113</c:v>
                </c:pt>
                <c:pt idx="36">
                  <c:v>0.47093086908129389</c:v>
                </c:pt>
                <c:pt idx="37">
                  <c:v>0.40580775279201792</c:v>
                </c:pt>
                <c:pt idx="38">
                  <c:v>0.43822791828381225</c:v>
                </c:pt>
                <c:pt idx="39">
                  <c:v>0.35386896598430745</c:v>
                </c:pt>
                <c:pt idx="40">
                  <c:v>0.40754694096606092</c:v>
                </c:pt>
                <c:pt idx="41">
                  <c:v>0.39364376200927975</c:v>
                </c:pt>
                <c:pt idx="42">
                  <c:v>0.49172293514249599</c:v>
                </c:pt>
                <c:pt idx="43">
                  <c:v>0.38893767485949782</c:v>
                </c:pt>
                <c:pt idx="44">
                  <c:v>0.3069103338054725</c:v>
                </c:pt>
                <c:pt idx="45">
                  <c:v>0.35580501692340116</c:v>
                </c:pt>
                <c:pt idx="46">
                  <c:v>0.32084396702953405</c:v>
                </c:pt>
                <c:pt idx="47">
                  <c:v>0.43627509748841781</c:v>
                </c:pt>
                <c:pt idx="48">
                  <c:v>0.39000791921003031</c:v>
                </c:pt>
                <c:pt idx="49">
                  <c:v>0.42095182495069189</c:v>
                </c:pt>
                <c:pt idx="50">
                  <c:v>0.23099558934339695</c:v>
                </c:pt>
                <c:pt idx="51">
                  <c:v>0.30655632021682155</c:v>
                </c:pt>
                <c:pt idx="52">
                  <c:v>0.41861643951392097</c:v>
                </c:pt>
                <c:pt idx="53">
                  <c:v>0.42551662043215593</c:v>
                </c:pt>
                <c:pt idx="54">
                  <c:v>0.42111784617225556</c:v>
                </c:pt>
                <c:pt idx="55">
                  <c:v>0.49330264812372493</c:v>
                </c:pt>
                <c:pt idx="56">
                  <c:v>0.43857995948529543</c:v>
                </c:pt>
                <c:pt idx="57">
                  <c:v>0.46066510386266735</c:v>
                </c:pt>
                <c:pt idx="58">
                  <c:v>0.44824855753702342</c:v>
                </c:pt>
                <c:pt idx="59">
                  <c:v>0.44528628472844511</c:v>
                </c:pt>
                <c:pt idx="60">
                  <c:v>0.40605848818724993</c:v>
                </c:pt>
                <c:pt idx="61">
                  <c:v>0.34464748878203455</c:v>
                </c:pt>
                <c:pt idx="62">
                  <c:v>0.34871118287740627</c:v>
                </c:pt>
                <c:pt idx="63">
                  <c:v>0.2459937815075455</c:v>
                </c:pt>
                <c:pt idx="64">
                  <c:v>0.22624132579300307</c:v>
                </c:pt>
                <c:pt idx="65">
                  <c:v>0.46711712902431607</c:v>
                </c:pt>
              </c:numCache>
            </c:numRef>
          </c:val>
          <c:extLst>
            <c:ext xmlns:c16="http://schemas.microsoft.com/office/drawing/2014/chart" uri="{C3380CC4-5D6E-409C-BE32-E72D297353CC}">
              <c16:uniqueId val="{00000002-2A9C-435B-8B9D-E22232BB0268}"/>
            </c:ext>
          </c:extLst>
        </c:ser>
        <c:ser>
          <c:idx val="4"/>
          <c:order val="4"/>
          <c:tx>
            <c:strRef>
              <c:f>Calculation!$AA$9</c:f>
              <c:strCache>
                <c:ptCount val="1"/>
                <c:pt idx="0">
                  <c:v>Worst</c:v>
                </c:pt>
              </c:strCache>
            </c:strRef>
          </c:tx>
          <c:spPr>
            <a:solidFill>
              <a:srgbClr val="FFFFFF"/>
            </a:solidFill>
            <a:ln w="25400">
              <a:noFill/>
            </a:ln>
          </c:spPr>
          <c:invertIfNegative val="0"/>
          <c:cat>
            <c:strRef>
              <c:f>Calculation!$V$9:$V$75</c:f>
              <c:strCache>
                <c:ptCount val="1"/>
                <c:pt idx="0">
                  <c:v>-</c:v>
                </c:pt>
              </c:strCache>
            </c:strRef>
          </c:cat>
          <c:val>
            <c:numRef>
              <c:f>Calculation!$AA$10:$AA$75</c:f>
              <c:numCache>
                <c:formatCode>0.00</c:formatCode>
                <c:ptCount val="66"/>
                <c:pt idx="1">
                  <c:v>0</c:v>
                </c:pt>
                <c:pt idx="2">
                  <c:v>0</c:v>
                </c:pt>
                <c:pt idx="3">
                  <c:v>0.34059168921064414</c:v>
                </c:pt>
                <c:pt idx="4">
                  <c:v>0</c:v>
                </c:pt>
                <c:pt idx="5">
                  <c:v>0</c:v>
                </c:pt>
                <c:pt idx="6">
                  <c:v>0</c:v>
                </c:pt>
                <c:pt idx="7">
                  <c:v>0</c:v>
                </c:pt>
                <c:pt idx="8">
                  <c:v>0.19182749255268841</c:v>
                </c:pt>
                <c:pt idx="9">
                  <c:v>0</c:v>
                </c:pt>
                <c:pt idx="10">
                  <c:v>0</c:v>
                </c:pt>
                <c:pt idx="11">
                  <c:v>0</c:v>
                </c:pt>
                <c:pt idx="12">
                  <c:v>0</c:v>
                </c:pt>
                <c:pt idx="13">
                  <c:v>0.21884558827709852</c:v>
                </c:pt>
                <c:pt idx="14">
                  <c:v>0.28272673433806422</c:v>
                </c:pt>
                <c:pt idx="15">
                  <c:v>0</c:v>
                </c:pt>
                <c:pt idx="16">
                  <c:v>0</c:v>
                </c:pt>
                <c:pt idx="17">
                  <c:v>0.19336431259765485</c:v>
                </c:pt>
                <c:pt idx="18">
                  <c:v>0</c:v>
                </c:pt>
                <c:pt idx="19">
                  <c:v>0</c:v>
                </c:pt>
                <c:pt idx="20">
                  <c:v>0.16923576577985922</c:v>
                </c:pt>
                <c:pt idx="21">
                  <c:v>0.2595798770669755</c:v>
                </c:pt>
                <c:pt idx="22">
                  <c:v>0.12990738394525736</c:v>
                </c:pt>
                <c:pt idx="23">
                  <c:v>0</c:v>
                </c:pt>
                <c:pt idx="24">
                  <c:v>0.11383254063936803</c:v>
                </c:pt>
                <c:pt idx="25">
                  <c:v>0</c:v>
                </c:pt>
                <c:pt idx="26">
                  <c:v>0</c:v>
                </c:pt>
                <c:pt idx="27">
                  <c:v>3.2741365786048082E-2</c:v>
                </c:pt>
                <c:pt idx="28">
                  <c:v>0</c:v>
                </c:pt>
                <c:pt idx="29">
                  <c:v>0</c:v>
                </c:pt>
                <c:pt idx="30">
                  <c:v>0</c:v>
                </c:pt>
                <c:pt idx="31">
                  <c:v>0.15295509892065576</c:v>
                </c:pt>
                <c:pt idx="32">
                  <c:v>4.530684938769082E-2</c:v>
                </c:pt>
                <c:pt idx="33">
                  <c:v>0</c:v>
                </c:pt>
                <c:pt idx="34">
                  <c:v>0</c:v>
                </c:pt>
                <c:pt idx="35">
                  <c:v>0</c:v>
                </c:pt>
                <c:pt idx="36">
                  <c:v>0</c:v>
                </c:pt>
                <c:pt idx="37">
                  <c:v>3.4090187809401165E-2</c:v>
                </c:pt>
                <c:pt idx="38">
                  <c:v>0.16319189804814466</c:v>
                </c:pt>
                <c:pt idx="39">
                  <c:v>0</c:v>
                </c:pt>
                <c:pt idx="40">
                  <c:v>0.26228035411432749</c:v>
                </c:pt>
                <c:pt idx="41">
                  <c:v>0</c:v>
                </c:pt>
                <c:pt idx="42">
                  <c:v>0</c:v>
                </c:pt>
                <c:pt idx="43">
                  <c:v>8.0452157423973839E-2</c:v>
                </c:pt>
                <c:pt idx="44">
                  <c:v>0.14705760651441577</c:v>
                </c:pt>
                <c:pt idx="45">
                  <c:v>0.11800578641482656</c:v>
                </c:pt>
                <c:pt idx="46">
                  <c:v>0</c:v>
                </c:pt>
                <c:pt idx="47">
                  <c:v>0.18466266788562591</c:v>
                </c:pt>
                <c:pt idx="48">
                  <c:v>0</c:v>
                </c:pt>
                <c:pt idx="49">
                  <c:v>0.18925855158613186</c:v>
                </c:pt>
                <c:pt idx="50">
                  <c:v>0</c:v>
                </c:pt>
                <c:pt idx="51">
                  <c:v>0</c:v>
                </c:pt>
                <c:pt idx="52">
                  <c:v>0.19292340509262848</c:v>
                </c:pt>
                <c:pt idx="53">
                  <c:v>0.18408013099703588</c:v>
                </c:pt>
                <c:pt idx="54">
                  <c:v>0.15712291615241045</c:v>
                </c:pt>
                <c:pt idx="55">
                  <c:v>0.2763974109338026</c:v>
                </c:pt>
                <c:pt idx="56">
                  <c:v>0</c:v>
                </c:pt>
                <c:pt idx="57">
                  <c:v>0</c:v>
                </c:pt>
                <c:pt idx="58">
                  <c:v>0</c:v>
                </c:pt>
                <c:pt idx="59">
                  <c:v>0.34532198427268573</c:v>
                </c:pt>
                <c:pt idx="60">
                  <c:v>0.16899866508024033</c:v>
                </c:pt>
                <c:pt idx="61">
                  <c:v>0</c:v>
                </c:pt>
                <c:pt idx="62">
                  <c:v>0</c:v>
                </c:pt>
                <c:pt idx="63">
                  <c:v>0</c:v>
                </c:pt>
                <c:pt idx="64">
                  <c:v>0</c:v>
                </c:pt>
                <c:pt idx="65">
                  <c:v>0</c:v>
                </c:pt>
              </c:numCache>
            </c:numRef>
          </c:val>
          <c:extLst>
            <c:ext xmlns:c16="http://schemas.microsoft.com/office/drawing/2014/chart" uri="{C3380CC4-5D6E-409C-BE32-E72D297353CC}">
              <c16:uniqueId val="{00000003-2A9C-435B-8B9D-E22232BB0268}"/>
            </c:ext>
          </c:extLst>
        </c:ser>
        <c:dLbls>
          <c:showLegendKey val="0"/>
          <c:showVal val="0"/>
          <c:showCatName val="0"/>
          <c:showSerName val="0"/>
          <c:showPercent val="0"/>
          <c:showBubbleSize val="0"/>
        </c:dLbls>
        <c:gapWidth val="60"/>
        <c:overlap val="100"/>
        <c:axId val="526455632"/>
        <c:axId val="526456024"/>
      </c:barChart>
      <c:scatterChart>
        <c:scatterStyle val="lineMarker"/>
        <c:varyColors val="0"/>
        <c:ser>
          <c:idx val="7"/>
          <c:order val="2"/>
          <c:tx>
            <c:strRef>
              <c:f>Calculation!$AC$9</c:f>
              <c:strCache>
                <c:ptCount val="1"/>
                <c:pt idx="0">
                  <c:v>CCG Average</c:v>
                </c:pt>
              </c:strCache>
            </c:strRef>
          </c:tx>
          <c:spPr>
            <a:ln w="25400">
              <a:solidFill>
                <a:srgbClr val="FF0000"/>
              </a:solidFill>
              <a:prstDash val="solid"/>
            </a:ln>
          </c:spPr>
          <c:marker>
            <c:symbol val="square"/>
            <c:size val="2"/>
            <c:spPr>
              <a:noFill/>
              <a:ln w="9525">
                <a:noFill/>
              </a:ln>
            </c:spPr>
          </c:marker>
          <c:xVal>
            <c:numRef>
              <c:f>Calculation!$AC$10:$AC$75</c:f>
              <c:numCache>
                <c:formatCode>0.00</c:formatCode>
                <c:ptCount val="66"/>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0.5</c:v>
                </c:pt>
                <c:pt idx="35">
                  <c:v>0.5</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pt idx="55">
                  <c:v>0.5</c:v>
                </c:pt>
                <c:pt idx="56">
                  <c:v>0.5</c:v>
                </c:pt>
                <c:pt idx="57">
                  <c:v>0.5</c:v>
                </c:pt>
                <c:pt idx="58">
                  <c:v>0.5</c:v>
                </c:pt>
                <c:pt idx="59">
                  <c:v>0.5</c:v>
                </c:pt>
                <c:pt idx="60">
                  <c:v>0.5</c:v>
                </c:pt>
                <c:pt idx="61">
                  <c:v>0.5</c:v>
                </c:pt>
                <c:pt idx="62">
                  <c:v>0.5</c:v>
                </c:pt>
                <c:pt idx="63">
                  <c:v>0.5</c:v>
                </c:pt>
                <c:pt idx="64">
                  <c:v>0.5</c:v>
                </c:pt>
                <c:pt idx="65">
                  <c:v>0.5</c:v>
                </c:pt>
              </c:numCache>
            </c:numRef>
          </c:xVal>
          <c:yVal>
            <c:numRef>
              <c:f>Calculation!$AO$10:$AO$75</c:f>
              <c:numCache>
                <c:formatCode>General</c:formatCode>
                <c:ptCount val="66"/>
                <c:pt idx="1">
                  <c:v>0.67300000000000004</c:v>
                </c:pt>
                <c:pt idx="2" formatCode="0.0000">
                  <c:v>1.1125</c:v>
                </c:pt>
                <c:pt idx="3" formatCode="0.0000">
                  <c:v>1.552</c:v>
                </c:pt>
                <c:pt idx="4" formatCode="0.0000">
                  <c:v>1.9915</c:v>
                </c:pt>
                <c:pt idx="5" formatCode="0.0000">
                  <c:v>2.431</c:v>
                </c:pt>
                <c:pt idx="6" formatCode="0.0000">
                  <c:v>2.8704999999999998</c:v>
                </c:pt>
                <c:pt idx="7" formatCode="0.0000">
                  <c:v>3.3099999999999996</c:v>
                </c:pt>
                <c:pt idx="8" formatCode="0.0000">
                  <c:v>3.7494999999999994</c:v>
                </c:pt>
                <c:pt idx="9" formatCode="0.0000">
                  <c:v>4.1889999999999992</c:v>
                </c:pt>
                <c:pt idx="10" formatCode="0.0000">
                  <c:v>4.6284999999999989</c:v>
                </c:pt>
                <c:pt idx="11" formatCode="0.0000">
                  <c:v>5.0679999999999987</c:v>
                </c:pt>
                <c:pt idx="12" formatCode="0.0000">
                  <c:v>5.5074999999999985</c:v>
                </c:pt>
                <c:pt idx="13" formatCode="0.0000">
                  <c:v>5.9469999999999983</c:v>
                </c:pt>
                <c:pt idx="14" formatCode="0.0000">
                  <c:v>6.3864999999999981</c:v>
                </c:pt>
                <c:pt idx="15" formatCode="0.0000">
                  <c:v>6.8259999999999978</c:v>
                </c:pt>
                <c:pt idx="16" formatCode="0.0000">
                  <c:v>7.2654999999999976</c:v>
                </c:pt>
                <c:pt idx="17" formatCode="0.0000">
                  <c:v>7.7049999999999974</c:v>
                </c:pt>
                <c:pt idx="18" formatCode="0.0000">
                  <c:v>8.1444999999999972</c:v>
                </c:pt>
                <c:pt idx="19" formatCode="0.0000">
                  <c:v>8.5839999999999979</c:v>
                </c:pt>
                <c:pt idx="20" formatCode="0.0000">
                  <c:v>9.0234999999999985</c:v>
                </c:pt>
                <c:pt idx="21" formatCode="0.0000">
                  <c:v>9.4629999999999992</c:v>
                </c:pt>
                <c:pt idx="22" formatCode="0.0000">
                  <c:v>9.9024999999999999</c:v>
                </c:pt>
                <c:pt idx="23" formatCode="0.0000">
                  <c:v>10.342000000000001</c:v>
                </c:pt>
                <c:pt idx="24" formatCode="0.0000">
                  <c:v>10.781500000000001</c:v>
                </c:pt>
                <c:pt idx="25" formatCode="0.0000">
                  <c:v>11.221000000000002</c:v>
                </c:pt>
                <c:pt idx="26" formatCode="0.0000">
                  <c:v>11.660500000000003</c:v>
                </c:pt>
                <c:pt idx="27" formatCode="0.0000">
                  <c:v>12.100000000000003</c:v>
                </c:pt>
                <c:pt idx="28" formatCode="0.0000">
                  <c:v>12.539500000000004</c:v>
                </c:pt>
                <c:pt idx="29" formatCode="0.0000">
                  <c:v>12.979000000000005</c:v>
                </c:pt>
                <c:pt idx="30" formatCode="0.0000">
                  <c:v>13.418500000000005</c:v>
                </c:pt>
                <c:pt idx="31" formatCode="0.0000">
                  <c:v>13.858000000000006</c:v>
                </c:pt>
                <c:pt idx="32" formatCode="0.0000">
                  <c:v>14.297500000000007</c:v>
                </c:pt>
                <c:pt idx="33" formatCode="0.0000">
                  <c:v>14.737000000000007</c:v>
                </c:pt>
                <c:pt idx="34" formatCode="0.0000">
                  <c:v>15.176500000000008</c:v>
                </c:pt>
                <c:pt idx="35" formatCode="0.0000">
                  <c:v>15.616000000000009</c:v>
                </c:pt>
                <c:pt idx="36" formatCode="0.0000">
                  <c:v>16.055500000000009</c:v>
                </c:pt>
                <c:pt idx="37" formatCode="0.0000">
                  <c:v>16.495000000000008</c:v>
                </c:pt>
                <c:pt idx="38" formatCode="0.0000">
                  <c:v>16.934500000000007</c:v>
                </c:pt>
                <c:pt idx="39" formatCode="0.0000">
                  <c:v>17.374000000000006</c:v>
                </c:pt>
                <c:pt idx="40" formatCode="0.0000">
                  <c:v>17.813500000000005</c:v>
                </c:pt>
                <c:pt idx="41" formatCode="0.0000">
                  <c:v>18.253000000000004</c:v>
                </c:pt>
                <c:pt idx="42" formatCode="0.0000">
                  <c:v>18.692500000000003</c:v>
                </c:pt>
                <c:pt idx="43" formatCode="0.0000">
                  <c:v>19.132000000000001</c:v>
                </c:pt>
                <c:pt idx="44" formatCode="0.0000">
                  <c:v>19.5715</c:v>
                </c:pt>
                <c:pt idx="45" formatCode="0.0000">
                  <c:v>20.010999999999999</c:v>
                </c:pt>
                <c:pt idx="46" formatCode="0.0000">
                  <c:v>20.450499999999998</c:v>
                </c:pt>
                <c:pt idx="47" formatCode="0.0000">
                  <c:v>20.889999999999997</c:v>
                </c:pt>
                <c:pt idx="48" formatCode="0.0000">
                  <c:v>21.329499999999996</c:v>
                </c:pt>
                <c:pt idx="49" formatCode="0.0000">
                  <c:v>21.768999999999995</c:v>
                </c:pt>
                <c:pt idx="50" formatCode="0.0000">
                  <c:v>22.208499999999994</c:v>
                </c:pt>
                <c:pt idx="51" formatCode="0.0000">
                  <c:v>22.647999999999993</c:v>
                </c:pt>
                <c:pt idx="52" formatCode="0.0000">
                  <c:v>23.087499999999991</c:v>
                </c:pt>
                <c:pt idx="53" formatCode="0.0000">
                  <c:v>23.52699999999999</c:v>
                </c:pt>
                <c:pt idx="54" formatCode="0.0000">
                  <c:v>23.966499999999989</c:v>
                </c:pt>
                <c:pt idx="55" formatCode="0.0000">
                  <c:v>24.405999999999988</c:v>
                </c:pt>
                <c:pt idx="56" formatCode="0.0000">
                  <c:v>24.845499999999987</c:v>
                </c:pt>
                <c:pt idx="57" formatCode="0.0000">
                  <c:v>25.284999999999986</c:v>
                </c:pt>
                <c:pt idx="58" formatCode="0.0000">
                  <c:v>25.724499999999985</c:v>
                </c:pt>
                <c:pt idx="59" formatCode="0.0000">
                  <c:v>26.163999999999984</c:v>
                </c:pt>
                <c:pt idx="60" formatCode="0.0000">
                  <c:v>26.603499999999983</c:v>
                </c:pt>
                <c:pt idx="61" formatCode="0.0000">
                  <c:v>27.042999999999981</c:v>
                </c:pt>
                <c:pt idx="62" formatCode="0.0000">
                  <c:v>27.48249999999998</c:v>
                </c:pt>
                <c:pt idx="63" formatCode="0.0000">
                  <c:v>27.921999999999979</c:v>
                </c:pt>
                <c:pt idx="64" formatCode="0.0000">
                  <c:v>28.361499999999978</c:v>
                </c:pt>
                <c:pt idx="65" formatCode="0.0000">
                  <c:v>28.800999999999977</c:v>
                </c:pt>
              </c:numCache>
            </c:numRef>
          </c:yVal>
          <c:smooth val="1"/>
          <c:extLst>
            <c:ext xmlns:c16="http://schemas.microsoft.com/office/drawing/2014/chart" uri="{C3380CC4-5D6E-409C-BE32-E72D297353CC}">
              <c16:uniqueId val="{00000004-2A9C-435B-8B9D-E22232BB0268}"/>
            </c:ext>
          </c:extLst>
        </c:ser>
        <c:ser>
          <c:idx val="2"/>
          <c:order val="5"/>
          <c:tx>
            <c:strRef>
              <c:f>Calculation!$AN$9</c:f>
              <c:strCache>
                <c:ptCount val="1"/>
                <c:pt idx="0">
                  <c:v>Comparator Average</c:v>
                </c:pt>
              </c:strCache>
            </c:strRef>
          </c:tx>
          <c:spPr>
            <a:ln w="28575">
              <a:noFill/>
            </a:ln>
          </c:spPr>
          <c:marker>
            <c:symbol val="diamond"/>
            <c:size val="8"/>
            <c:spPr>
              <a:solidFill>
                <a:srgbClr val="FFFFFF"/>
              </a:solidFill>
              <a:ln>
                <a:solidFill>
                  <a:srgbClr val="333333"/>
                </a:solidFill>
                <a:prstDash val="solid"/>
              </a:ln>
            </c:spPr>
          </c:marker>
          <c:xVal>
            <c:numRef>
              <c:f>Calculation!$AN$10:$AN$75</c:f>
              <c:numCache>
                <c:formatCode>0.00</c:formatCode>
                <c:ptCount val="66"/>
                <c:pt idx="1">
                  <c:v>0.53780686543399026</c:v>
                </c:pt>
                <c:pt idx="2">
                  <c:v>0.57010379094895292</c:v>
                </c:pt>
                <c:pt idx="3">
                  <c:v>0.42106168324093646</c:v>
                </c:pt>
                <c:pt idx="4">
                  <c:v>0.5901537673241567</c:v>
                </c:pt>
                <c:pt idx="5">
                  <c:v>0.50616003445438806</c:v>
                </c:pt>
                <c:pt idx="6">
                  <c:v>0.54086274495908992</c:v>
                </c:pt>
                <c:pt idx="7">
                  <c:v>0.65422980590765045</c:v>
                </c:pt>
                <c:pt idx="8">
                  <c:v>0.50986635625423105</c:v>
                </c:pt>
                <c:pt idx="9">
                  <c:v>0.50339450824562493</c:v>
                </c:pt>
                <c:pt idx="10">
                  <c:v>0.50179869456567094</c:v>
                </c:pt>
                <c:pt idx="11">
                  <c:v>0.49842627152377633</c:v>
                </c:pt>
                <c:pt idx="12">
                  <c:v>0.48141159132929023</c:v>
                </c:pt>
                <c:pt idx="13">
                  <c:v>0.43205934988904554</c:v>
                </c:pt>
                <c:pt idx="14">
                  <c:v>0.42134417917837519</c:v>
                </c:pt>
                <c:pt idx="15">
                  <c:v>0.38889809627919175</c:v>
                </c:pt>
                <c:pt idx="16">
                  <c:v>0.45769460765190617</c:v>
                </c:pt>
                <c:pt idx="17">
                  <c:v>0.39686665612144595</c:v>
                </c:pt>
                <c:pt idx="18">
                  <c:v>0.4352288802789801</c:v>
                </c:pt>
                <c:pt idx="19">
                  <c:v>0.48569186178273166</c:v>
                </c:pt>
                <c:pt idx="20">
                  <c:v>0.41050873322237785</c:v>
                </c:pt>
                <c:pt idx="21">
                  <c:v>0.407472133117325</c:v>
                </c:pt>
                <c:pt idx="22">
                  <c:v>0.51399659818184662</c:v>
                </c:pt>
                <c:pt idx="23">
                  <c:v>0.44084961399888828</c:v>
                </c:pt>
                <c:pt idx="24">
                  <c:v>0.44950491309475155</c:v>
                </c:pt>
                <c:pt idx="25">
                  <c:v>0.43643459638815807</c:v>
                </c:pt>
                <c:pt idx="26">
                  <c:v>0.58433559085979603</c:v>
                </c:pt>
                <c:pt idx="27">
                  <c:v>0.37009470774617231</c:v>
                </c:pt>
                <c:pt idx="28">
                  <c:v>0.46903280055975849</c:v>
                </c:pt>
                <c:pt idx="29">
                  <c:v>0.47655948383547869</c:v>
                </c:pt>
                <c:pt idx="30">
                  <c:v>0.53079505288933271</c:v>
                </c:pt>
                <c:pt idx="31">
                  <c:v>0.41637243934039658</c:v>
                </c:pt>
                <c:pt idx="32">
                  <c:v>0.4305999746465598</c:v>
                </c:pt>
                <c:pt idx="33">
                  <c:v>0.34275213389021292</c:v>
                </c:pt>
                <c:pt idx="34">
                  <c:v>0.51203138361846268</c:v>
                </c:pt>
                <c:pt idx="35">
                  <c:v>0.42919052855507084</c:v>
                </c:pt>
                <c:pt idx="36">
                  <c:v>0.47918741865792297</c:v>
                </c:pt>
                <c:pt idx="37">
                  <c:v>0.52668181821541915</c:v>
                </c:pt>
                <c:pt idx="38">
                  <c:v>0.52049824354383045</c:v>
                </c:pt>
                <c:pt idx="39">
                  <c:v>0.40307014884116621</c:v>
                </c:pt>
                <c:pt idx="40">
                  <c:v>0.47067028323270499</c:v>
                </c:pt>
                <c:pt idx="41">
                  <c:v>0.40215476529087651</c:v>
                </c:pt>
                <c:pt idx="42">
                  <c:v>0.53990786607057506</c:v>
                </c:pt>
                <c:pt idx="43">
                  <c:v>0.44587206932718126</c:v>
                </c:pt>
                <c:pt idx="44">
                  <c:v>0.42708343448567537</c:v>
                </c:pt>
                <c:pt idx="45">
                  <c:v>0.34955979743351423</c:v>
                </c:pt>
                <c:pt idx="46">
                  <c:v>0.44402324538833615</c:v>
                </c:pt>
                <c:pt idx="47">
                  <c:v>0.463939192265234</c:v>
                </c:pt>
                <c:pt idx="48">
                  <c:v>0.47030795428915595</c:v>
                </c:pt>
                <c:pt idx="49">
                  <c:v>0.49892934132125966</c:v>
                </c:pt>
                <c:pt idx="50">
                  <c:v>0.28139936510790342</c:v>
                </c:pt>
                <c:pt idx="51">
                  <c:v>0.45703269407529606</c:v>
                </c:pt>
                <c:pt idx="52">
                  <c:v>0.41574363177641527</c:v>
                </c:pt>
                <c:pt idx="53">
                  <c:v>0.43203369679572273</c:v>
                </c:pt>
                <c:pt idx="54">
                  <c:v>0.54098161796580324</c:v>
                </c:pt>
                <c:pt idx="55">
                  <c:v>0.52166647908863539</c:v>
                </c:pt>
                <c:pt idx="56">
                  <c:v>0.48023909367449097</c:v>
                </c:pt>
                <c:pt idx="57">
                  <c:v>0.47526198676086601</c:v>
                </c:pt>
                <c:pt idx="58">
                  <c:v>0.49562685914411714</c:v>
                </c:pt>
                <c:pt idx="59">
                  <c:v>0.51755967541706815</c:v>
                </c:pt>
                <c:pt idx="60">
                  <c:v>0.51603489749693021</c:v>
                </c:pt>
                <c:pt idx="61">
                  <c:v>0.57634123244781743</c:v>
                </c:pt>
                <c:pt idx="62">
                  <c:v>0.44677370516066267</c:v>
                </c:pt>
                <c:pt idx="63">
                  <c:v>0.61231146772861533</c:v>
                </c:pt>
                <c:pt idx="64">
                  <c:v>0.60799343887082058</c:v>
                </c:pt>
                <c:pt idx="65">
                  <c:v>0.51521677070241811</c:v>
                </c:pt>
              </c:numCache>
            </c:numRef>
          </c:xVal>
          <c:yVal>
            <c:numRef>
              <c:f>Calculation!$AO$10:$AO$75</c:f>
              <c:numCache>
                <c:formatCode>General</c:formatCode>
                <c:ptCount val="66"/>
                <c:pt idx="1">
                  <c:v>0.67300000000000004</c:v>
                </c:pt>
                <c:pt idx="2" formatCode="0.0000">
                  <c:v>1.1125</c:v>
                </c:pt>
                <c:pt idx="3" formatCode="0.0000">
                  <c:v>1.552</c:v>
                </c:pt>
                <c:pt idx="4" formatCode="0.0000">
                  <c:v>1.9915</c:v>
                </c:pt>
                <c:pt idx="5" formatCode="0.0000">
                  <c:v>2.431</c:v>
                </c:pt>
                <c:pt idx="6" formatCode="0.0000">
                  <c:v>2.8704999999999998</c:v>
                </c:pt>
                <c:pt idx="7" formatCode="0.0000">
                  <c:v>3.3099999999999996</c:v>
                </c:pt>
                <c:pt idx="8" formatCode="0.0000">
                  <c:v>3.7494999999999994</c:v>
                </c:pt>
                <c:pt idx="9" formatCode="0.0000">
                  <c:v>4.1889999999999992</c:v>
                </c:pt>
                <c:pt idx="10" formatCode="0.0000">
                  <c:v>4.6284999999999989</c:v>
                </c:pt>
                <c:pt idx="11" formatCode="0.0000">
                  <c:v>5.0679999999999987</c:v>
                </c:pt>
                <c:pt idx="12" formatCode="0.0000">
                  <c:v>5.5074999999999985</c:v>
                </c:pt>
                <c:pt idx="13" formatCode="0.0000">
                  <c:v>5.9469999999999983</c:v>
                </c:pt>
                <c:pt idx="14" formatCode="0.0000">
                  <c:v>6.3864999999999981</c:v>
                </c:pt>
                <c:pt idx="15" formatCode="0.0000">
                  <c:v>6.8259999999999978</c:v>
                </c:pt>
                <c:pt idx="16" formatCode="0.0000">
                  <c:v>7.2654999999999976</c:v>
                </c:pt>
                <c:pt idx="17" formatCode="0.0000">
                  <c:v>7.7049999999999974</c:v>
                </c:pt>
                <c:pt idx="18" formatCode="0.0000">
                  <c:v>8.1444999999999972</c:v>
                </c:pt>
                <c:pt idx="19" formatCode="0.0000">
                  <c:v>8.5839999999999979</c:v>
                </c:pt>
                <c:pt idx="20" formatCode="0.0000">
                  <c:v>9.0234999999999985</c:v>
                </c:pt>
                <c:pt idx="21" formatCode="0.0000">
                  <c:v>9.4629999999999992</c:v>
                </c:pt>
                <c:pt idx="22" formatCode="0.0000">
                  <c:v>9.9024999999999999</c:v>
                </c:pt>
                <c:pt idx="23" formatCode="0.0000">
                  <c:v>10.342000000000001</c:v>
                </c:pt>
                <c:pt idx="24" formatCode="0.0000">
                  <c:v>10.781500000000001</c:v>
                </c:pt>
                <c:pt idx="25" formatCode="0.0000">
                  <c:v>11.221000000000002</c:v>
                </c:pt>
                <c:pt idx="26" formatCode="0.0000">
                  <c:v>11.660500000000003</c:v>
                </c:pt>
                <c:pt idx="27" formatCode="0.0000">
                  <c:v>12.100000000000003</c:v>
                </c:pt>
                <c:pt idx="28" formatCode="0.0000">
                  <c:v>12.539500000000004</c:v>
                </c:pt>
                <c:pt idx="29" formatCode="0.0000">
                  <c:v>12.979000000000005</c:v>
                </c:pt>
                <c:pt idx="30" formatCode="0.0000">
                  <c:v>13.418500000000005</c:v>
                </c:pt>
                <c:pt idx="31" formatCode="0.0000">
                  <c:v>13.858000000000006</c:v>
                </c:pt>
                <c:pt idx="32" formatCode="0.0000">
                  <c:v>14.297500000000007</c:v>
                </c:pt>
                <c:pt idx="33" formatCode="0.0000">
                  <c:v>14.737000000000007</c:v>
                </c:pt>
                <c:pt idx="34" formatCode="0.0000">
                  <c:v>15.176500000000008</c:v>
                </c:pt>
                <c:pt idx="35" formatCode="0.0000">
                  <c:v>15.616000000000009</c:v>
                </c:pt>
                <c:pt idx="36" formatCode="0.0000">
                  <c:v>16.055500000000009</c:v>
                </c:pt>
                <c:pt idx="37" formatCode="0.0000">
                  <c:v>16.495000000000008</c:v>
                </c:pt>
                <c:pt idx="38" formatCode="0.0000">
                  <c:v>16.934500000000007</c:v>
                </c:pt>
                <c:pt idx="39" formatCode="0.0000">
                  <c:v>17.374000000000006</c:v>
                </c:pt>
                <c:pt idx="40" formatCode="0.0000">
                  <c:v>17.813500000000005</c:v>
                </c:pt>
                <c:pt idx="41" formatCode="0.0000">
                  <c:v>18.253000000000004</c:v>
                </c:pt>
                <c:pt idx="42" formatCode="0.0000">
                  <c:v>18.692500000000003</c:v>
                </c:pt>
                <c:pt idx="43" formatCode="0.0000">
                  <c:v>19.132000000000001</c:v>
                </c:pt>
                <c:pt idx="44" formatCode="0.0000">
                  <c:v>19.5715</c:v>
                </c:pt>
                <c:pt idx="45" formatCode="0.0000">
                  <c:v>20.010999999999999</c:v>
                </c:pt>
                <c:pt idx="46" formatCode="0.0000">
                  <c:v>20.450499999999998</c:v>
                </c:pt>
                <c:pt idx="47" formatCode="0.0000">
                  <c:v>20.889999999999997</c:v>
                </c:pt>
                <c:pt idx="48" formatCode="0.0000">
                  <c:v>21.329499999999996</c:v>
                </c:pt>
                <c:pt idx="49" formatCode="0.0000">
                  <c:v>21.768999999999995</c:v>
                </c:pt>
                <c:pt idx="50" formatCode="0.0000">
                  <c:v>22.208499999999994</c:v>
                </c:pt>
                <c:pt idx="51" formatCode="0.0000">
                  <c:v>22.647999999999993</c:v>
                </c:pt>
                <c:pt idx="52" formatCode="0.0000">
                  <c:v>23.087499999999991</c:v>
                </c:pt>
                <c:pt idx="53" formatCode="0.0000">
                  <c:v>23.52699999999999</c:v>
                </c:pt>
                <c:pt idx="54" formatCode="0.0000">
                  <c:v>23.966499999999989</c:v>
                </c:pt>
                <c:pt idx="55" formatCode="0.0000">
                  <c:v>24.405999999999988</c:v>
                </c:pt>
                <c:pt idx="56" formatCode="0.0000">
                  <c:v>24.845499999999987</c:v>
                </c:pt>
                <c:pt idx="57" formatCode="0.0000">
                  <c:v>25.284999999999986</c:v>
                </c:pt>
                <c:pt idx="58" formatCode="0.0000">
                  <c:v>25.724499999999985</c:v>
                </c:pt>
                <c:pt idx="59" formatCode="0.0000">
                  <c:v>26.163999999999984</c:v>
                </c:pt>
                <c:pt idx="60" formatCode="0.0000">
                  <c:v>26.603499999999983</c:v>
                </c:pt>
                <c:pt idx="61" formatCode="0.0000">
                  <c:v>27.042999999999981</c:v>
                </c:pt>
                <c:pt idx="62" formatCode="0.0000">
                  <c:v>27.48249999999998</c:v>
                </c:pt>
                <c:pt idx="63" formatCode="0.0000">
                  <c:v>27.921999999999979</c:v>
                </c:pt>
                <c:pt idx="64" formatCode="0.0000">
                  <c:v>28.361499999999978</c:v>
                </c:pt>
                <c:pt idx="65" formatCode="0.0000">
                  <c:v>28.800999999999977</c:v>
                </c:pt>
              </c:numCache>
            </c:numRef>
          </c:yVal>
          <c:smooth val="0"/>
          <c:extLst>
            <c:ext xmlns:c16="http://schemas.microsoft.com/office/drawing/2014/chart" uri="{C3380CC4-5D6E-409C-BE32-E72D297353CC}">
              <c16:uniqueId val="{00000005-2A9C-435B-8B9D-E22232BB0268}"/>
            </c:ext>
          </c:extLst>
        </c:ser>
        <c:ser>
          <c:idx val="0"/>
          <c:order val="6"/>
          <c:tx>
            <c:strRef>
              <c:f>Calculation!$AH$9</c:f>
              <c:strCache>
                <c:ptCount val="1"/>
                <c:pt idx="0">
                  <c:v>CHART Significance not calculated (6 - White)</c:v>
                </c:pt>
              </c:strCache>
            </c:strRef>
          </c:tx>
          <c:spPr>
            <a:ln w="28575">
              <a:noFill/>
            </a:ln>
          </c:spPr>
          <c:marker>
            <c:symbol val="circle"/>
            <c:size val="9"/>
            <c:spPr>
              <a:solidFill>
                <a:srgbClr val="FFFFFF"/>
              </a:solidFill>
              <a:ln>
                <a:solidFill>
                  <a:srgbClr val="000000"/>
                </a:solidFill>
                <a:prstDash val="solid"/>
              </a:ln>
            </c:spPr>
          </c:marker>
          <c:xVal>
            <c:numRef>
              <c:f>Calculation!$AH$10:$AH$75</c:f>
              <c:numCache>
                <c:formatCode>0.00</c:formatCode>
                <c:ptCount val="66"/>
                <c:pt idx="1">
                  <c:v>-999</c:v>
                </c:pt>
                <c:pt idx="2">
                  <c:v>-999</c:v>
                </c:pt>
                <c:pt idx="3">
                  <c:v>-999</c:v>
                </c:pt>
                <c:pt idx="4">
                  <c:v>-999</c:v>
                </c:pt>
                <c:pt idx="5">
                  <c:v>-999</c:v>
                </c:pt>
                <c:pt idx="6">
                  <c:v>-999</c:v>
                </c:pt>
                <c:pt idx="7">
                  <c:v>-999</c:v>
                </c:pt>
                <c:pt idx="8">
                  <c:v>-999</c:v>
                </c:pt>
                <c:pt idx="9">
                  <c:v>-999</c:v>
                </c:pt>
                <c:pt idx="10">
                  <c:v>-999</c:v>
                </c:pt>
                <c:pt idx="11">
                  <c:v>-999</c:v>
                </c:pt>
                <c:pt idx="12">
                  <c:v>-999</c:v>
                </c:pt>
                <c:pt idx="13">
                  <c:v>-999</c:v>
                </c:pt>
                <c:pt idx="14">
                  <c:v>-999</c:v>
                </c:pt>
                <c:pt idx="15">
                  <c:v>-999</c:v>
                </c:pt>
                <c:pt idx="16">
                  <c:v>-999</c:v>
                </c:pt>
                <c:pt idx="17">
                  <c:v>-999</c:v>
                </c:pt>
                <c:pt idx="18">
                  <c:v>-999</c:v>
                </c:pt>
                <c:pt idx="19">
                  <c:v>-999</c:v>
                </c:pt>
                <c:pt idx="20">
                  <c:v>-999</c:v>
                </c:pt>
                <c:pt idx="21">
                  <c:v>-999</c:v>
                </c:pt>
                <c:pt idx="22">
                  <c:v>-999</c:v>
                </c:pt>
                <c:pt idx="23">
                  <c:v>-999</c:v>
                </c:pt>
                <c:pt idx="24">
                  <c:v>-999</c:v>
                </c:pt>
                <c:pt idx="25">
                  <c:v>-999</c:v>
                </c:pt>
                <c:pt idx="26">
                  <c:v>-999</c:v>
                </c:pt>
                <c:pt idx="27">
                  <c:v>-999</c:v>
                </c:pt>
                <c:pt idx="28">
                  <c:v>-999</c:v>
                </c:pt>
                <c:pt idx="29">
                  <c:v>-999</c:v>
                </c:pt>
                <c:pt idx="30">
                  <c:v>-999</c:v>
                </c:pt>
                <c:pt idx="31">
                  <c:v>-999</c:v>
                </c:pt>
                <c:pt idx="32">
                  <c:v>-999</c:v>
                </c:pt>
                <c:pt idx="33">
                  <c:v>-999</c:v>
                </c:pt>
                <c:pt idx="34">
                  <c:v>-999</c:v>
                </c:pt>
                <c:pt idx="35">
                  <c:v>-999</c:v>
                </c:pt>
                <c:pt idx="36">
                  <c:v>-999</c:v>
                </c:pt>
                <c:pt idx="37">
                  <c:v>-999</c:v>
                </c:pt>
                <c:pt idx="38">
                  <c:v>-999</c:v>
                </c:pt>
                <c:pt idx="39">
                  <c:v>-999</c:v>
                </c:pt>
                <c:pt idx="40">
                  <c:v>-999</c:v>
                </c:pt>
                <c:pt idx="41">
                  <c:v>-999</c:v>
                </c:pt>
                <c:pt idx="42">
                  <c:v>-999</c:v>
                </c:pt>
                <c:pt idx="43">
                  <c:v>-999</c:v>
                </c:pt>
                <c:pt idx="44">
                  <c:v>-999</c:v>
                </c:pt>
                <c:pt idx="45">
                  <c:v>-999</c:v>
                </c:pt>
                <c:pt idx="46">
                  <c:v>-999</c:v>
                </c:pt>
                <c:pt idx="47">
                  <c:v>-999</c:v>
                </c:pt>
                <c:pt idx="48">
                  <c:v>-999</c:v>
                </c:pt>
                <c:pt idx="49">
                  <c:v>-999</c:v>
                </c:pt>
                <c:pt idx="50">
                  <c:v>-999</c:v>
                </c:pt>
                <c:pt idx="51">
                  <c:v>-999</c:v>
                </c:pt>
                <c:pt idx="52">
                  <c:v>-999</c:v>
                </c:pt>
                <c:pt idx="53">
                  <c:v>-999</c:v>
                </c:pt>
                <c:pt idx="54">
                  <c:v>-999</c:v>
                </c:pt>
                <c:pt idx="55">
                  <c:v>-999</c:v>
                </c:pt>
                <c:pt idx="56">
                  <c:v>-999</c:v>
                </c:pt>
                <c:pt idx="57">
                  <c:v>-999</c:v>
                </c:pt>
                <c:pt idx="58">
                  <c:v>-999</c:v>
                </c:pt>
                <c:pt idx="59">
                  <c:v>-999</c:v>
                </c:pt>
                <c:pt idx="60">
                  <c:v>-999</c:v>
                </c:pt>
                <c:pt idx="61">
                  <c:v>-999</c:v>
                </c:pt>
                <c:pt idx="62">
                  <c:v>-999</c:v>
                </c:pt>
                <c:pt idx="63">
                  <c:v>-999</c:v>
                </c:pt>
                <c:pt idx="64">
                  <c:v>-999</c:v>
                </c:pt>
                <c:pt idx="65">
                  <c:v>-999</c:v>
                </c:pt>
              </c:numCache>
            </c:numRef>
          </c:xVal>
          <c:yVal>
            <c:numRef>
              <c:f>Calculation!$AO$10:$AO$75</c:f>
              <c:numCache>
                <c:formatCode>General</c:formatCode>
                <c:ptCount val="66"/>
                <c:pt idx="1">
                  <c:v>0.67300000000000004</c:v>
                </c:pt>
                <c:pt idx="2" formatCode="0.0000">
                  <c:v>1.1125</c:v>
                </c:pt>
                <c:pt idx="3" formatCode="0.0000">
                  <c:v>1.552</c:v>
                </c:pt>
                <c:pt idx="4" formatCode="0.0000">
                  <c:v>1.9915</c:v>
                </c:pt>
                <c:pt idx="5" formatCode="0.0000">
                  <c:v>2.431</c:v>
                </c:pt>
                <c:pt idx="6" formatCode="0.0000">
                  <c:v>2.8704999999999998</c:v>
                </c:pt>
                <c:pt idx="7" formatCode="0.0000">
                  <c:v>3.3099999999999996</c:v>
                </c:pt>
                <c:pt idx="8" formatCode="0.0000">
                  <c:v>3.7494999999999994</c:v>
                </c:pt>
                <c:pt idx="9" formatCode="0.0000">
                  <c:v>4.1889999999999992</c:v>
                </c:pt>
                <c:pt idx="10" formatCode="0.0000">
                  <c:v>4.6284999999999989</c:v>
                </c:pt>
                <c:pt idx="11" formatCode="0.0000">
                  <c:v>5.0679999999999987</c:v>
                </c:pt>
                <c:pt idx="12" formatCode="0.0000">
                  <c:v>5.5074999999999985</c:v>
                </c:pt>
                <c:pt idx="13" formatCode="0.0000">
                  <c:v>5.9469999999999983</c:v>
                </c:pt>
                <c:pt idx="14" formatCode="0.0000">
                  <c:v>6.3864999999999981</c:v>
                </c:pt>
                <c:pt idx="15" formatCode="0.0000">
                  <c:v>6.8259999999999978</c:v>
                </c:pt>
                <c:pt idx="16" formatCode="0.0000">
                  <c:v>7.2654999999999976</c:v>
                </c:pt>
                <c:pt idx="17" formatCode="0.0000">
                  <c:v>7.7049999999999974</c:v>
                </c:pt>
                <c:pt idx="18" formatCode="0.0000">
                  <c:v>8.1444999999999972</c:v>
                </c:pt>
                <c:pt idx="19" formatCode="0.0000">
                  <c:v>8.5839999999999979</c:v>
                </c:pt>
                <c:pt idx="20" formatCode="0.0000">
                  <c:v>9.0234999999999985</c:v>
                </c:pt>
                <c:pt idx="21" formatCode="0.0000">
                  <c:v>9.4629999999999992</c:v>
                </c:pt>
                <c:pt idx="22" formatCode="0.0000">
                  <c:v>9.9024999999999999</c:v>
                </c:pt>
                <c:pt idx="23" formatCode="0.0000">
                  <c:v>10.342000000000001</c:v>
                </c:pt>
                <c:pt idx="24" formatCode="0.0000">
                  <c:v>10.781500000000001</c:v>
                </c:pt>
                <c:pt idx="25" formatCode="0.0000">
                  <c:v>11.221000000000002</c:v>
                </c:pt>
                <c:pt idx="26" formatCode="0.0000">
                  <c:v>11.660500000000003</c:v>
                </c:pt>
                <c:pt idx="27" formatCode="0.0000">
                  <c:v>12.100000000000003</c:v>
                </c:pt>
                <c:pt idx="28" formatCode="0.0000">
                  <c:v>12.539500000000004</c:v>
                </c:pt>
                <c:pt idx="29" formatCode="0.0000">
                  <c:v>12.979000000000005</c:v>
                </c:pt>
                <c:pt idx="30" formatCode="0.0000">
                  <c:v>13.418500000000005</c:v>
                </c:pt>
                <c:pt idx="31" formatCode="0.0000">
                  <c:v>13.858000000000006</c:v>
                </c:pt>
                <c:pt idx="32" formatCode="0.0000">
                  <c:v>14.297500000000007</c:v>
                </c:pt>
                <c:pt idx="33" formatCode="0.0000">
                  <c:v>14.737000000000007</c:v>
                </c:pt>
                <c:pt idx="34" formatCode="0.0000">
                  <c:v>15.176500000000008</c:v>
                </c:pt>
                <c:pt idx="35" formatCode="0.0000">
                  <c:v>15.616000000000009</c:v>
                </c:pt>
                <c:pt idx="36" formatCode="0.0000">
                  <c:v>16.055500000000009</c:v>
                </c:pt>
                <c:pt idx="37" formatCode="0.0000">
                  <c:v>16.495000000000008</c:v>
                </c:pt>
                <c:pt idx="38" formatCode="0.0000">
                  <c:v>16.934500000000007</c:v>
                </c:pt>
                <c:pt idx="39" formatCode="0.0000">
                  <c:v>17.374000000000006</c:v>
                </c:pt>
                <c:pt idx="40" formatCode="0.0000">
                  <c:v>17.813500000000005</c:v>
                </c:pt>
                <c:pt idx="41" formatCode="0.0000">
                  <c:v>18.253000000000004</c:v>
                </c:pt>
                <c:pt idx="42" formatCode="0.0000">
                  <c:v>18.692500000000003</c:v>
                </c:pt>
                <c:pt idx="43" formatCode="0.0000">
                  <c:v>19.132000000000001</c:v>
                </c:pt>
                <c:pt idx="44" formatCode="0.0000">
                  <c:v>19.5715</c:v>
                </c:pt>
                <c:pt idx="45" formatCode="0.0000">
                  <c:v>20.010999999999999</c:v>
                </c:pt>
                <c:pt idx="46" formatCode="0.0000">
                  <c:v>20.450499999999998</c:v>
                </c:pt>
                <c:pt idx="47" formatCode="0.0000">
                  <c:v>20.889999999999997</c:v>
                </c:pt>
                <c:pt idx="48" formatCode="0.0000">
                  <c:v>21.329499999999996</c:v>
                </c:pt>
                <c:pt idx="49" formatCode="0.0000">
                  <c:v>21.768999999999995</c:v>
                </c:pt>
                <c:pt idx="50" formatCode="0.0000">
                  <c:v>22.208499999999994</c:v>
                </c:pt>
                <c:pt idx="51" formatCode="0.0000">
                  <c:v>22.647999999999993</c:v>
                </c:pt>
                <c:pt idx="52" formatCode="0.0000">
                  <c:v>23.087499999999991</c:v>
                </c:pt>
                <c:pt idx="53" formatCode="0.0000">
                  <c:v>23.52699999999999</c:v>
                </c:pt>
                <c:pt idx="54" formatCode="0.0000">
                  <c:v>23.966499999999989</c:v>
                </c:pt>
                <c:pt idx="55" formatCode="0.0000">
                  <c:v>24.405999999999988</c:v>
                </c:pt>
                <c:pt idx="56" formatCode="0.0000">
                  <c:v>24.845499999999987</c:v>
                </c:pt>
                <c:pt idx="57" formatCode="0.0000">
                  <c:v>25.284999999999986</c:v>
                </c:pt>
                <c:pt idx="58" formatCode="0.0000">
                  <c:v>25.724499999999985</c:v>
                </c:pt>
                <c:pt idx="59" formatCode="0.0000">
                  <c:v>26.163999999999984</c:v>
                </c:pt>
                <c:pt idx="60" formatCode="0.0000">
                  <c:v>26.603499999999983</c:v>
                </c:pt>
                <c:pt idx="61" formatCode="0.0000">
                  <c:v>27.042999999999981</c:v>
                </c:pt>
                <c:pt idx="62" formatCode="0.0000">
                  <c:v>27.48249999999998</c:v>
                </c:pt>
                <c:pt idx="63" formatCode="0.0000">
                  <c:v>27.921999999999979</c:v>
                </c:pt>
                <c:pt idx="64" formatCode="0.0000">
                  <c:v>28.361499999999978</c:v>
                </c:pt>
                <c:pt idx="65" formatCode="0.0000">
                  <c:v>28.800999999999977</c:v>
                </c:pt>
              </c:numCache>
            </c:numRef>
          </c:yVal>
          <c:smooth val="0"/>
          <c:extLst>
            <c:ext xmlns:c16="http://schemas.microsoft.com/office/drawing/2014/chart" uri="{C3380CC4-5D6E-409C-BE32-E72D297353CC}">
              <c16:uniqueId val="{00000006-2A9C-435B-8B9D-E22232BB0268}"/>
            </c:ext>
          </c:extLst>
        </c:ser>
        <c:ser>
          <c:idx val="12"/>
          <c:order val="7"/>
          <c:tx>
            <c:strRef>
              <c:f>Calculation!$AJ$9</c:f>
              <c:strCache>
                <c:ptCount val="1"/>
                <c:pt idx="0">
                  <c:v>CHART Significantly Worse (1 - Red)</c:v>
                </c:pt>
              </c:strCache>
            </c:strRef>
          </c:tx>
          <c:spPr>
            <a:ln w="28575">
              <a:noFill/>
            </a:ln>
          </c:spPr>
          <c:marker>
            <c:symbol val="circle"/>
            <c:size val="9"/>
            <c:spPr>
              <a:solidFill>
                <a:srgbClr val="FF0000"/>
              </a:solidFill>
              <a:ln>
                <a:solidFill>
                  <a:srgbClr val="000000"/>
                </a:solidFill>
                <a:prstDash val="solid"/>
              </a:ln>
            </c:spPr>
          </c:marker>
          <c:xVal>
            <c:numRef>
              <c:f>Calculation!$AJ$10:$AJ$75</c:f>
              <c:numCache>
                <c:formatCode>0.00</c:formatCode>
                <c:ptCount val="66"/>
                <c:pt idx="1">
                  <c:v>-999</c:v>
                </c:pt>
                <c:pt idx="2">
                  <c:v>-999</c:v>
                </c:pt>
                <c:pt idx="3">
                  <c:v>-999</c:v>
                </c:pt>
                <c:pt idx="4">
                  <c:v>-999</c:v>
                </c:pt>
                <c:pt idx="5">
                  <c:v>-999</c:v>
                </c:pt>
                <c:pt idx="6">
                  <c:v>-999</c:v>
                </c:pt>
                <c:pt idx="7">
                  <c:v>-999</c:v>
                </c:pt>
                <c:pt idx="8">
                  <c:v>-999</c:v>
                </c:pt>
                <c:pt idx="9">
                  <c:v>-999</c:v>
                </c:pt>
                <c:pt idx="10">
                  <c:v>-999</c:v>
                </c:pt>
                <c:pt idx="11">
                  <c:v>-999</c:v>
                </c:pt>
                <c:pt idx="12">
                  <c:v>-999</c:v>
                </c:pt>
                <c:pt idx="13">
                  <c:v>-999</c:v>
                </c:pt>
                <c:pt idx="14">
                  <c:v>-999</c:v>
                </c:pt>
                <c:pt idx="15">
                  <c:v>-999</c:v>
                </c:pt>
                <c:pt idx="16">
                  <c:v>-999</c:v>
                </c:pt>
                <c:pt idx="17">
                  <c:v>-999</c:v>
                </c:pt>
                <c:pt idx="18">
                  <c:v>-999</c:v>
                </c:pt>
                <c:pt idx="19">
                  <c:v>-999</c:v>
                </c:pt>
                <c:pt idx="20">
                  <c:v>-999</c:v>
                </c:pt>
                <c:pt idx="21">
                  <c:v>-999</c:v>
                </c:pt>
                <c:pt idx="22">
                  <c:v>-999</c:v>
                </c:pt>
                <c:pt idx="23">
                  <c:v>-999</c:v>
                </c:pt>
                <c:pt idx="24">
                  <c:v>-999</c:v>
                </c:pt>
                <c:pt idx="25">
                  <c:v>-999</c:v>
                </c:pt>
                <c:pt idx="26">
                  <c:v>-999</c:v>
                </c:pt>
                <c:pt idx="27">
                  <c:v>-999</c:v>
                </c:pt>
                <c:pt idx="28">
                  <c:v>-999</c:v>
                </c:pt>
                <c:pt idx="29">
                  <c:v>-999</c:v>
                </c:pt>
                <c:pt idx="30">
                  <c:v>-999</c:v>
                </c:pt>
                <c:pt idx="31">
                  <c:v>-999</c:v>
                </c:pt>
                <c:pt idx="32">
                  <c:v>-999</c:v>
                </c:pt>
                <c:pt idx="33">
                  <c:v>-999</c:v>
                </c:pt>
                <c:pt idx="34">
                  <c:v>-999</c:v>
                </c:pt>
                <c:pt idx="35">
                  <c:v>-999</c:v>
                </c:pt>
                <c:pt idx="36">
                  <c:v>-999</c:v>
                </c:pt>
                <c:pt idx="37">
                  <c:v>-999</c:v>
                </c:pt>
                <c:pt idx="38">
                  <c:v>-999</c:v>
                </c:pt>
                <c:pt idx="39">
                  <c:v>-999</c:v>
                </c:pt>
                <c:pt idx="40">
                  <c:v>-999</c:v>
                </c:pt>
                <c:pt idx="41">
                  <c:v>-999</c:v>
                </c:pt>
                <c:pt idx="42">
                  <c:v>-999</c:v>
                </c:pt>
                <c:pt idx="43">
                  <c:v>-999</c:v>
                </c:pt>
                <c:pt idx="44">
                  <c:v>-999</c:v>
                </c:pt>
                <c:pt idx="45">
                  <c:v>-999</c:v>
                </c:pt>
                <c:pt idx="46">
                  <c:v>-999</c:v>
                </c:pt>
                <c:pt idx="47">
                  <c:v>-999</c:v>
                </c:pt>
                <c:pt idx="48">
                  <c:v>-999</c:v>
                </c:pt>
                <c:pt idx="49">
                  <c:v>-999</c:v>
                </c:pt>
                <c:pt idx="50">
                  <c:v>-999</c:v>
                </c:pt>
                <c:pt idx="51">
                  <c:v>-999</c:v>
                </c:pt>
                <c:pt idx="52">
                  <c:v>-999</c:v>
                </c:pt>
                <c:pt idx="53">
                  <c:v>-999</c:v>
                </c:pt>
                <c:pt idx="54">
                  <c:v>-999</c:v>
                </c:pt>
                <c:pt idx="55">
                  <c:v>-999</c:v>
                </c:pt>
                <c:pt idx="56">
                  <c:v>-999</c:v>
                </c:pt>
                <c:pt idx="57">
                  <c:v>-999</c:v>
                </c:pt>
                <c:pt idx="58">
                  <c:v>-999</c:v>
                </c:pt>
                <c:pt idx="59">
                  <c:v>-999</c:v>
                </c:pt>
                <c:pt idx="60">
                  <c:v>-999</c:v>
                </c:pt>
                <c:pt idx="61">
                  <c:v>-999</c:v>
                </c:pt>
                <c:pt idx="62">
                  <c:v>-999</c:v>
                </c:pt>
                <c:pt idx="63">
                  <c:v>0.41682994079399799</c:v>
                </c:pt>
                <c:pt idx="64">
                  <c:v>-999</c:v>
                </c:pt>
                <c:pt idx="65">
                  <c:v>0.33957158383846964</c:v>
                </c:pt>
              </c:numCache>
            </c:numRef>
          </c:xVal>
          <c:yVal>
            <c:numRef>
              <c:f>Calculation!$AO$10:$AO$75</c:f>
              <c:numCache>
                <c:formatCode>General</c:formatCode>
                <c:ptCount val="66"/>
                <c:pt idx="1">
                  <c:v>0.67300000000000004</c:v>
                </c:pt>
                <c:pt idx="2" formatCode="0.0000">
                  <c:v>1.1125</c:v>
                </c:pt>
                <c:pt idx="3" formatCode="0.0000">
                  <c:v>1.552</c:v>
                </c:pt>
                <c:pt idx="4" formatCode="0.0000">
                  <c:v>1.9915</c:v>
                </c:pt>
                <c:pt idx="5" formatCode="0.0000">
                  <c:v>2.431</c:v>
                </c:pt>
                <c:pt idx="6" formatCode="0.0000">
                  <c:v>2.8704999999999998</c:v>
                </c:pt>
                <c:pt idx="7" formatCode="0.0000">
                  <c:v>3.3099999999999996</c:v>
                </c:pt>
                <c:pt idx="8" formatCode="0.0000">
                  <c:v>3.7494999999999994</c:v>
                </c:pt>
                <c:pt idx="9" formatCode="0.0000">
                  <c:v>4.1889999999999992</c:v>
                </c:pt>
                <c:pt idx="10" formatCode="0.0000">
                  <c:v>4.6284999999999989</c:v>
                </c:pt>
                <c:pt idx="11" formatCode="0.0000">
                  <c:v>5.0679999999999987</c:v>
                </c:pt>
                <c:pt idx="12" formatCode="0.0000">
                  <c:v>5.5074999999999985</c:v>
                </c:pt>
                <c:pt idx="13" formatCode="0.0000">
                  <c:v>5.9469999999999983</c:v>
                </c:pt>
                <c:pt idx="14" formatCode="0.0000">
                  <c:v>6.3864999999999981</c:v>
                </c:pt>
                <c:pt idx="15" formatCode="0.0000">
                  <c:v>6.8259999999999978</c:v>
                </c:pt>
                <c:pt idx="16" formatCode="0.0000">
                  <c:v>7.2654999999999976</c:v>
                </c:pt>
                <c:pt idx="17" formatCode="0.0000">
                  <c:v>7.7049999999999974</c:v>
                </c:pt>
                <c:pt idx="18" formatCode="0.0000">
                  <c:v>8.1444999999999972</c:v>
                </c:pt>
                <c:pt idx="19" formatCode="0.0000">
                  <c:v>8.5839999999999979</c:v>
                </c:pt>
                <c:pt idx="20" formatCode="0.0000">
                  <c:v>9.0234999999999985</c:v>
                </c:pt>
                <c:pt idx="21" formatCode="0.0000">
                  <c:v>9.4629999999999992</c:v>
                </c:pt>
                <c:pt idx="22" formatCode="0.0000">
                  <c:v>9.9024999999999999</c:v>
                </c:pt>
                <c:pt idx="23" formatCode="0.0000">
                  <c:v>10.342000000000001</c:v>
                </c:pt>
                <c:pt idx="24" formatCode="0.0000">
                  <c:v>10.781500000000001</c:v>
                </c:pt>
                <c:pt idx="25" formatCode="0.0000">
                  <c:v>11.221000000000002</c:v>
                </c:pt>
                <c:pt idx="26" formatCode="0.0000">
                  <c:v>11.660500000000003</c:v>
                </c:pt>
                <c:pt idx="27" formatCode="0.0000">
                  <c:v>12.100000000000003</c:v>
                </c:pt>
                <c:pt idx="28" formatCode="0.0000">
                  <c:v>12.539500000000004</c:v>
                </c:pt>
                <c:pt idx="29" formatCode="0.0000">
                  <c:v>12.979000000000005</c:v>
                </c:pt>
                <c:pt idx="30" formatCode="0.0000">
                  <c:v>13.418500000000005</c:v>
                </c:pt>
                <c:pt idx="31" formatCode="0.0000">
                  <c:v>13.858000000000006</c:v>
                </c:pt>
                <c:pt idx="32" formatCode="0.0000">
                  <c:v>14.297500000000007</c:v>
                </c:pt>
                <c:pt idx="33" formatCode="0.0000">
                  <c:v>14.737000000000007</c:v>
                </c:pt>
                <c:pt idx="34" formatCode="0.0000">
                  <c:v>15.176500000000008</c:v>
                </c:pt>
                <c:pt idx="35" formatCode="0.0000">
                  <c:v>15.616000000000009</c:v>
                </c:pt>
                <c:pt idx="36" formatCode="0.0000">
                  <c:v>16.055500000000009</c:v>
                </c:pt>
                <c:pt idx="37" formatCode="0.0000">
                  <c:v>16.495000000000008</c:v>
                </c:pt>
                <c:pt idx="38" formatCode="0.0000">
                  <c:v>16.934500000000007</c:v>
                </c:pt>
                <c:pt idx="39" formatCode="0.0000">
                  <c:v>17.374000000000006</c:v>
                </c:pt>
                <c:pt idx="40" formatCode="0.0000">
                  <c:v>17.813500000000005</c:v>
                </c:pt>
                <c:pt idx="41" formatCode="0.0000">
                  <c:v>18.253000000000004</c:v>
                </c:pt>
                <c:pt idx="42" formatCode="0.0000">
                  <c:v>18.692500000000003</c:v>
                </c:pt>
                <c:pt idx="43" formatCode="0.0000">
                  <c:v>19.132000000000001</c:v>
                </c:pt>
                <c:pt idx="44" formatCode="0.0000">
                  <c:v>19.5715</c:v>
                </c:pt>
                <c:pt idx="45" formatCode="0.0000">
                  <c:v>20.010999999999999</c:v>
                </c:pt>
                <c:pt idx="46" formatCode="0.0000">
                  <c:v>20.450499999999998</c:v>
                </c:pt>
                <c:pt idx="47" formatCode="0.0000">
                  <c:v>20.889999999999997</c:v>
                </c:pt>
                <c:pt idx="48" formatCode="0.0000">
                  <c:v>21.329499999999996</c:v>
                </c:pt>
                <c:pt idx="49" formatCode="0.0000">
                  <c:v>21.768999999999995</c:v>
                </c:pt>
                <c:pt idx="50" formatCode="0.0000">
                  <c:v>22.208499999999994</c:v>
                </c:pt>
                <c:pt idx="51" formatCode="0.0000">
                  <c:v>22.647999999999993</c:v>
                </c:pt>
                <c:pt idx="52" formatCode="0.0000">
                  <c:v>23.087499999999991</c:v>
                </c:pt>
                <c:pt idx="53" formatCode="0.0000">
                  <c:v>23.52699999999999</c:v>
                </c:pt>
                <c:pt idx="54" formatCode="0.0000">
                  <c:v>23.966499999999989</c:v>
                </c:pt>
                <c:pt idx="55" formatCode="0.0000">
                  <c:v>24.405999999999988</c:v>
                </c:pt>
                <c:pt idx="56" formatCode="0.0000">
                  <c:v>24.845499999999987</c:v>
                </c:pt>
                <c:pt idx="57" formatCode="0.0000">
                  <c:v>25.284999999999986</c:v>
                </c:pt>
                <c:pt idx="58" formatCode="0.0000">
                  <c:v>25.724499999999985</c:v>
                </c:pt>
                <c:pt idx="59" formatCode="0.0000">
                  <c:v>26.163999999999984</c:v>
                </c:pt>
                <c:pt idx="60" formatCode="0.0000">
                  <c:v>26.603499999999983</c:v>
                </c:pt>
                <c:pt idx="61" formatCode="0.0000">
                  <c:v>27.042999999999981</c:v>
                </c:pt>
                <c:pt idx="62" formatCode="0.0000">
                  <c:v>27.48249999999998</c:v>
                </c:pt>
                <c:pt idx="63" formatCode="0.0000">
                  <c:v>27.921999999999979</c:v>
                </c:pt>
                <c:pt idx="64" formatCode="0.0000">
                  <c:v>28.361499999999978</c:v>
                </c:pt>
                <c:pt idx="65" formatCode="0.0000">
                  <c:v>28.800999999999977</c:v>
                </c:pt>
              </c:numCache>
            </c:numRef>
          </c:yVal>
          <c:smooth val="0"/>
          <c:extLst>
            <c:ext xmlns:c16="http://schemas.microsoft.com/office/drawing/2014/chart" uri="{C3380CC4-5D6E-409C-BE32-E72D297353CC}">
              <c16:uniqueId val="{00000007-2A9C-435B-8B9D-E22232BB0268}"/>
            </c:ext>
          </c:extLst>
        </c:ser>
        <c:ser>
          <c:idx val="1"/>
          <c:order val="8"/>
          <c:tx>
            <c:strRef>
              <c:f>Calculation!$AK$9</c:f>
              <c:strCache>
                <c:ptCount val="1"/>
                <c:pt idx="0">
                  <c:v>CHART Significantly Better (2 - Green)</c:v>
                </c:pt>
              </c:strCache>
            </c:strRef>
          </c:tx>
          <c:spPr>
            <a:ln w="28575">
              <a:noFill/>
            </a:ln>
          </c:spPr>
          <c:marker>
            <c:symbol val="circle"/>
            <c:size val="9"/>
            <c:spPr>
              <a:solidFill>
                <a:srgbClr val="92D050"/>
              </a:solidFill>
              <a:ln>
                <a:solidFill>
                  <a:srgbClr val="000000"/>
                </a:solidFill>
              </a:ln>
            </c:spPr>
          </c:marker>
          <c:xVal>
            <c:numRef>
              <c:f>Calculation!$AK$10:$AK$75</c:f>
              <c:numCache>
                <c:formatCode>0.00</c:formatCode>
                <c:ptCount val="66"/>
                <c:pt idx="1">
                  <c:v>-999</c:v>
                </c:pt>
                <c:pt idx="2">
                  <c:v>-999</c:v>
                </c:pt>
                <c:pt idx="3">
                  <c:v>-999</c:v>
                </c:pt>
                <c:pt idx="4">
                  <c:v>-999</c:v>
                </c:pt>
                <c:pt idx="5">
                  <c:v>0.90091112546162466</c:v>
                </c:pt>
                <c:pt idx="6">
                  <c:v>-999</c:v>
                </c:pt>
                <c:pt idx="7">
                  <c:v>-999</c:v>
                </c:pt>
                <c:pt idx="8">
                  <c:v>0.66402469003247544</c:v>
                </c:pt>
                <c:pt idx="9">
                  <c:v>-999</c:v>
                </c:pt>
                <c:pt idx="10">
                  <c:v>-999</c:v>
                </c:pt>
                <c:pt idx="11">
                  <c:v>0.72001421183180736</c:v>
                </c:pt>
                <c:pt idx="12">
                  <c:v>0.73958591013097308</c:v>
                </c:pt>
                <c:pt idx="13">
                  <c:v>-999</c:v>
                </c:pt>
                <c:pt idx="14">
                  <c:v>0.66412756575336018</c:v>
                </c:pt>
                <c:pt idx="15">
                  <c:v>0.57502700942410079</c:v>
                </c:pt>
                <c:pt idx="16">
                  <c:v>-999</c:v>
                </c:pt>
                <c:pt idx="17">
                  <c:v>0.75785743276347273</c:v>
                </c:pt>
                <c:pt idx="18">
                  <c:v>0.82900098081177187</c:v>
                </c:pt>
                <c:pt idx="19">
                  <c:v>-999</c:v>
                </c:pt>
                <c:pt idx="20">
                  <c:v>0.60180616565851308</c:v>
                </c:pt>
                <c:pt idx="21">
                  <c:v>-999</c:v>
                </c:pt>
                <c:pt idx="22">
                  <c:v>-999</c:v>
                </c:pt>
                <c:pt idx="23">
                  <c:v>0.83330744192953643</c:v>
                </c:pt>
                <c:pt idx="24">
                  <c:v>-999</c:v>
                </c:pt>
                <c:pt idx="25">
                  <c:v>-999</c:v>
                </c:pt>
                <c:pt idx="26">
                  <c:v>-999</c:v>
                </c:pt>
                <c:pt idx="27">
                  <c:v>0.84661844394509467</c:v>
                </c:pt>
                <c:pt idx="28">
                  <c:v>-999</c:v>
                </c:pt>
                <c:pt idx="29">
                  <c:v>0.81029615258303844</c:v>
                </c:pt>
                <c:pt idx="30">
                  <c:v>-999</c:v>
                </c:pt>
                <c:pt idx="31">
                  <c:v>-999</c:v>
                </c:pt>
                <c:pt idx="32">
                  <c:v>0.71805105485997911</c:v>
                </c:pt>
                <c:pt idx="33">
                  <c:v>-999</c:v>
                </c:pt>
                <c:pt idx="34">
                  <c:v>-999</c:v>
                </c:pt>
                <c:pt idx="35">
                  <c:v>0.77317615836620324</c:v>
                </c:pt>
                <c:pt idx="36">
                  <c:v>-999</c:v>
                </c:pt>
                <c:pt idx="37">
                  <c:v>-999</c:v>
                </c:pt>
                <c:pt idx="38">
                  <c:v>-999</c:v>
                </c:pt>
                <c:pt idx="39">
                  <c:v>-999</c:v>
                </c:pt>
                <c:pt idx="40">
                  <c:v>0.62416114845270754</c:v>
                </c:pt>
                <c:pt idx="41">
                  <c:v>0.6292668639968837</c:v>
                </c:pt>
                <c:pt idx="42">
                  <c:v>0.5858404227178643</c:v>
                </c:pt>
                <c:pt idx="43">
                  <c:v>-999</c:v>
                </c:pt>
                <c:pt idx="44">
                  <c:v>0.86333467090997207</c:v>
                </c:pt>
                <c:pt idx="45">
                  <c:v>0.77306651960403361</c:v>
                </c:pt>
                <c:pt idx="46">
                  <c:v>-999</c:v>
                </c:pt>
                <c:pt idx="47">
                  <c:v>-999</c:v>
                </c:pt>
                <c:pt idx="48">
                  <c:v>-999</c:v>
                </c:pt>
                <c:pt idx="49">
                  <c:v>-999</c:v>
                </c:pt>
                <c:pt idx="50">
                  <c:v>-999</c:v>
                </c:pt>
                <c:pt idx="51">
                  <c:v>-999</c:v>
                </c:pt>
                <c:pt idx="52">
                  <c:v>-999</c:v>
                </c:pt>
                <c:pt idx="53">
                  <c:v>-999</c:v>
                </c:pt>
                <c:pt idx="54">
                  <c:v>0.97879758885953028</c:v>
                </c:pt>
                <c:pt idx="55">
                  <c:v>0.84536256003301302</c:v>
                </c:pt>
                <c:pt idx="56">
                  <c:v>0.58766887598327344</c:v>
                </c:pt>
                <c:pt idx="57">
                  <c:v>-999</c:v>
                </c:pt>
                <c:pt idx="58">
                  <c:v>-999</c:v>
                </c:pt>
                <c:pt idx="59">
                  <c:v>-999</c:v>
                </c:pt>
                <c:pt idx="60">
                  <c:v>-999</c:v>
                </c:pt>
                <c:pt idx="61">
                  <c:v>-999</c:v>
                </c:pt>
                <c:pt idx="62">
                  <c:v>0.84101125999916193</c:v>
                </c:pt>
                <c:pt idx="63">
                  <c:v>-999</c:v>
                </c:pt>
                <c:pt idx="64">
                  <c:v>-999</c:v>
                </c:pt>
                <c:pt idx="65">
                  <c:v>-999</c:v>
                </c:pt>
              </c:numCache>
            </c:numRef>
          </c:xVal>
          <c:yVal>
            <c:numRef>
              <c:f>Calculation!$AO$10:$AO$75</c:f>
              <c:numCache>
                <c:formatCode>General</c:formatCode>
                <c:ptCount val="66"/>
                <c:pt idx="1">
                  <c:v>0.67300000000000004</c:v>
                </c:pt>
                <c:pt idx="2" formatCode="0.0000">
                  <c:v>1.1125</c:v>
                </c:pt>
                <c:pt idx="3" formatCode="0.0000">
                  <c:v>1.552</c:v>
                </c:pt>
                <c:pt idx="4" formatCode="0.0000">
                  <c:v>1.9915</c:v>
                </c:pt>
                <c:pt idx="5" formatCode="0.0000">
                  <c:v>2.431</c:v>
                </c:pt>
                <c:pt idx="6" formatCode="0.0000">
                  <c:v>2.8704999999999998</c:v>
                </c:pt>
                <c:pt idx="7" formatCode="0.0000">
                  <c:v>3.3099999999999996</c:v>
                </c:pt>
                <c:pt idx="8" formatCode="0.0000">
                  <c:v>3.7494999999999994</c:v>
                </c:pt>
                <c:pt idx="9" formatCode="0.0000">
                  <c:v>4.1889999999999992</c:v>
                </c:pt>
                <c:pt idx="10" formatCode="0.0000">
                  <c:v>4.6284999999999989</c:v>
                </c:pt>
                <c:pt idx="11" formatCode="0.0000">
                  <c:v>5.0679999999999987</c:v>
                </c:pt>
                <c:pt idx="12" formatCode="0.0000">
                  <c:v>5.5074999999999985</c:v>
                </c:pt>
                <c:pt idx="13" formatCode="0.0000">
                  <c:v>5.9469999999999983</c:v>
                </c:pt>
                <c:pt idx="14" formatCode="0.0000">
                  <c:v>6.3864999999999981</c:v>
                </c:pt>
                <c:pt idx="15" formatCode="0.0000">
                  <c:v>6.8259999999999978</c:v>
                </c:pt>
                <c:pt idx="16" formatCode="0.0000">
                  <c:v>7.2654999999999976</c:v>
                </c:pt>
                <c:pt idx="17" formatCode="0.0000">
                  <c:v>7.7049999999999974</c:v>
                </c:pt>
                <c:pt idx="18" formatCode="0.0000">
                  <c:v>8.1444999999999972</c:v>
                </c:pt>
                <c:pt idx="19" formatCode="0.0000">
                  <c:v>8.5839999999999979</c:v>
                </c:pt>
                <c:pt idx="20" formatCode="0.0000">
                  <c:v>9.0234999999999985</c:v>
                </c:pt>
                <c:pt idx="21" formatCode="0.0000">
                  <c:v>9.4629999999999992</c:v>
                </c:pt>
                <c:pt idx="22" formatCode="0.0000">
                  <c:v>9.9024999999999999</c:v>
                </c:pt>
                <c:pt idx="23" formatCode="0.0000">
                  <c:v>10.342000000000001</c:v>
                </c:pt>
                <c:pt idx="24" formatCode="0.0000">
                  <c:v>10.781500000000001</c:v>
                </c:pt>
                <c:pt idx="25" formatCode="0.0000">
                  <c:v>11.221000000000002</c:v>
                </c:pt>
                <c:pt idx="26" formatCode="0.0000">
                  <c:v>11.660500000000003</c:v>
                </c:pt>
                <c:pt idx="27" formatCode="0.0000">
                  <c:v>12.100000000000003</c:v>
                </c:pt>
                <c:pt idx="28" formatCode="0.0000">
                  <c:v>12.539500000000004</c:v>
                </c:pt>
                <c:pt idx="29" formatCode="0.0000">
                  <c:v>12.979000000000005</c:v>
                </c:pt>
                <c:pt idx="30" formatCode="0.0000">
                  <c:v>13.418500000000005</c:v>
                </c:pt>
                <c:pt idx="31" formatCode="0.0000">
                  <c:v>13.858000000000006</c:v>
                </c:pt>
                <c:pt idx="32" formatCode="0.0000">
                  <c:v>14.297500000000007</c:v>
                </c:pt>
                <c:pt idx="33" formatCode="0.0000">
                  <c:v>14.737000000000007</c:v>
                </c:pt>
                <c:pt idx="34" formatCode="0.0000">
                  <c:v>15.176500000000008</c:v>
                </c:pt>
                <c:pt idx="35" formatCode="0.0000">
                  <c:v>15.616000000000009</c:v>
                </c:pt>
                <c:pt idx="36" formatCode="0.0000">
                  <c:v>16.055500000000009</c:v>
                </c:pt>
                <c:pt idx="37" formatCode="0.0000">
                  <c:v>16.495000000000008</c:v>
                </c:pt>
                <c:pt idx="38" formatCode="0.0000">
                  <c:v>16.934500000000007</c:v>
                </c:pt>
                <c:pt idx="39" formatCode="0.0000">
                  <c:v>17.374000000000006</c:v>
                </c:pt>
                <c:pt idx="40" formatCode="0.0000">
                  <c:v>17.813500000000005</c:v>
                </c:pt>
                <c:pt idx="41" formatCode="0.0000">
                  <c:v>18.253000000000004</c:v>
                </c:pt>
                <c:pt idx="42" formatCode="0.0000">
                  <c:v>18.692500000000003</c:v>
                </c:pt>
                <c:pt idx="43" formatCode="0.0000">
                  <c:v>19.132000000000001</c:v>
                </c:pt>
                <c:pt idx="44" formatCode="0.0000">
                  <c:v>19.5715</c:v>
                </c:pt>
                <c:pt idx="45" formatCode="0.0000">
                  <c:v>20.010999999999999</c:v>
                </c:pt>
                <c:pt idx="46" formatCode="0.0000">
                  <c:v>20.450499999999998</c:v>
                </c:pt>
                <c:pt idx="47" formatCode="0.0000">
                  <c:v>20.889999999999997</c:v>
                </c:pt>
                <c:pt idx="48" formatCode="0.0000">
                  <c:v>21.329499999999996</c:v>
                </c:pt>
                <c:pt idx="49" formatCode="0.0000">
                  <c:v>21.768999999999995</c:v>
                </c:pt>
                <c:pt idx="50" formatCode="0.0000">
                  <c:v>22.208499999999994</c:v>
                </c:pt>
                <c:pt idx="51" formatCode="0.0000">
                  <c:v>22.647999999999993</c:v>
                </c:pt>
                <c:pt idx="52" formatCode="0.0000">
                  <c:v>23.087499999999991</c:v>
                </c:pt>
                <c:pt idx="53" formatCode="0.0000">
                  <c:v>23.52699999999999</c:v>
                </c:pt>
                <c:pt idx="54" formatCode="0.0000">
                  <c:v>23.966499999999989</c:v>
                </c:pt>
                <c:pt idx="55" formatCode="0.0000">
                  <c:v>24.405999999999988</c:v>
                </c:pt>
                <c:pt idx="56" formatCode="0.0000">
                  <c:v>24.845499999999987</c:v>
                </c:pt>
                <c:pt idx="57" formatCode="0.0000">
                  <c:v>25.284999999999986</c:v>
                </c:pt>
                <c:pt idx="58" formatCode="0.0000">
                  <c:v>25.724499999999985</c:v>
                </c:pt>
                <c:pt idx="59" formatCode="0.0000">
                  <c:v>26.163999999999984</c:v>
                </c:pt>
                <c:pt idx="60" formatCode="0.0000">
                  <c:v>26.603499999999983</c:v>
                </c:pt>
                <c:pt idx="61" formatCode="0.0000">
                  <c:v>27.042999999999981</c:v>
                </c:pt>
                <c:pt idx="62" formatCode="0.0000">
                  <c:v>27.48249999999998</c:v>
                </c:pt>
                <c:pt idx="63" formatCode="0.0000">
                  <c:v>27.921999999999979</c:v>
                </c:pt>
                <c:pt idx="64" formatCode="0.0000">
                  <c:v>28.361499999999978</c:v>
                </c:pt>
                <c:pt idx="65" formatCode="0.0000">
                  <c:v>28.800999999999977</c:v>
                </c:pt>
              </c:numCache>
            </c:numRef>
          </c:yVal>
          <c:smooth val="0"/>
          <c:extLst>
            <c:ext xmlns:c16="http://schemas.microsoft.com/office/drawing/2014/chart" uri="{C3380CC4-5D6E-409C-BE32-E72D297353CC}">
              <c16:uniqueId val="{00000008-2A9C-435B-8B9D-E22232BB0268}"/>
            </c:ext>
          </c:extLst>
        </c:ser>
        <c:ser>
          <c:idx val="3"/>
          <c:order val="9"/>
          <c:tx>
            <c:strRef>
              <c:f>Calculation!$AL$9</c:f>
              <c:strCache>
                <c:ptCount val="1"/>
                <c:pt idx="0">
                  <c:v>CHART Significantly Lower (3 - Dark Blue)</c:v>
                </c:pt>
              </c:strCache>
            </c:strRef>
          </c:tx>
          <c:spPr>
            <a:ln w="28575">
              <a:noFill/>
            </a:ln>
          </c:spPr>
          <c:marker>
            <c:symbol val="circle"/>
            <c:size val="9"/>
            <c:spPr>
              <a:solidFill>
                <a:srgbClr val="0070C0"/>
              </a:solidFill>
              <a:ln>
                <a:solidFill>
                  <a:srgbClr val="000000"/>
                </a:solidFill>
              </a:ln>
            </c:spPr>
          </c:marker>
          <c:dPt>
            <c:idx val="1"/>
            <c:bubble3D val="0"/>
            <c:extLst>
              <c:ext xmlns:c16="http://schemas.microsoft.com/office/drawing/2014/chart" uri="{C3380CC4-5D6E-409C-BE32-E72D297353CC}">
                <c16:uniqueId val="{00000009-2A9C-435B-8B9D-E22232BB0268}"/>
              </c:ext>
            </c:extLst>
          </c:dPt>
          <c:xVal>
            <c:numRef>
              <c:f>Calculation!$AL$10:$AL$75</c:f>
              <c:numCache>
                <c:formatCode>0.00</c:formatCode>
                <c:ptCount val="66"/>
                <c:pt idx="1">
                  <c:v>0.43147192805496098</c:v>
                </c:pt>
                <c:pt idx="2">
                  <c:v>0.4130143965851778</c:v>
                </c:pt>
                <c:pt idx="3">
                  <c:v>-999</c:v>
                </c:pt>
                <c:pt idx="4">
                  <c:v>-999</c:v>
                </c:pt>
                <c:pt idx="5">
                  <c:v>-999</c:v>
                </c:pt>
                <c:pt idx="6">
                  <c:v>0.38927613323601962</c:v>
                </c:pt>
                <c:pt idx="7">
                  <c:v>-999</c:v>
                </c:pt>
                <c:pt idx="8">
                  <c:v>-999</c:v>
                </c:pt>
                <c:pt idx="9">
                  <c:v>-999</c:v>
                </c:pt>
                <c:pt idx="10">
                  <c:v>-999</c:v>
                </c:pt>
                <c:pt idx="11">
                  <c:v>-999</c:v>
                </c:pt>
                <c:pt idx="12">
                  <c:v>-999</c:v>
                </c:pt>
                <c:pt idx="13">
                  <c:v>-999</c:v>
                </c:pt>
                <c:pt idx="14">
                  <c:v>-999</c:v>
                </c:pt>
                <c:pt idx="15">
                  <c:v>-999</c:v>
                </c:pt>
                <c:pt idx="16">
                  <c:v>-999</c:v>
                </c:pt>
                <c:pt idx="17">
                  <c:v>-999</c:v>
                </c:pt>
                <c:pt idx="18">
                  <c:v>-999</c:v>
                </c:pt>
                <c:pt idx="19">
                  <c:v>-999</c:v>
                </c:pt>
                <c:pt idx="20">
                  <c:v>-999</c:v>
                </c:pt>
                <c:pt idx="21">
                  <c:v>-999</c:v>
                </c:pt>
                <c:pt idx="22">
                  <c:v>-999</c:v>
                </c:pt>
                <c:pt idx="23">
                  <c:v>-999</c:v>
                </c:pt>
                <c:pt idx="24">
                  <c:v>-999</c:v>
                </c:pt>
                <c:pt idx="25">
                  <c:v>-999</c:v>
                </c:pt>
                <c:pt idx="26">
                  <c:v>-999</c:v>
                </c:pt>
                <c:pt idx="27">
                  <c:v>-999</c:v>
                </c:pt>
                <c:pt idx="28">
                  <c:v>-999</c:v>
                </c:pt>
                <c:pt idx="29">
                  <c:v>-999</c:v>
                </c:pt>
                <c:pt idx="30">
                  <c:v>-999</c:v>
                </c:pt>
                <c:pt idx="31">
                  <c:v>-999</c:v>
                </c:pt>
                <c:pt idx="32">
                  <c:v>-999</c:v>
                </c:pt>
                <c:pt idx="33">
                  <c:v>-999</c:v>
                </c:pt>
                <c:pt idx="34">
                  <c:v>-999</c:v>
                </c:pt>
                <c:pt idx="35">
                  <c:v>-999</c:v>
                </c:pt>
                <c:pt idx="36">
                  <c:v>-999</c:v>
                </c:pt>
                <c:pt idx="37">
                  <c:v>-999</c:v>
                </c:pt>
                <c:pt idx="38">
                  <c:v>-999</c:v>
                </c:pt>
                <c:pt idx="39">
                  <c:v>-999</c:v>
                </c:pt>
                <c:pt idx="40">
                  <c:v>-999</c:v>
                </c:pt>
                <c:pt idx="41">
                  <c:v>-999</c:v>
                </c:pt>
                <c:pt idx="42">
                  <c:v>-999</c:v>
                </c:pt>
                <c:pt idx="43">
                  <c:v>-999</c:v>
                </c:pt>
                <c:pt idx="44">
                  <c:v>-999</c:v>
                </c:pt>
                <c:pt idx="45">
                  <c:v>-999</c:v>
                </c:pt>
                <c:pt idx="46">
                  <c:v>-999</c:v>
                </c:pt>
                <c:pt idx="47">
                  <c:v>-999</c:v>
                </c:pt>
                <c:pt idx="48">
                  <c:v>-999</c:v>
                </c:pt>
                <c:pt idx="49">
                  <c:v>-999</c:v>
                </c:pt>
                <c:pt idx="50">
                  <c:v>-999</c:v>
                </c:pt>
                <c:pt idx="51">
                  <c:v>-999</c:v>
                </c:pt>
                <c:pt idx="52">
                  <c:v>-999</c:v>
                </c:pt>
                <c:pt idx="53">
                  <c:v>-999</c:v>
                </c:pt>
                <c:pt idx="54">
                  <c:v>-999</c:v>
                </c:pt>
                <c:pt idx="55">
                  <c:v>-999</c:v>
                </c:pt>
                <c:pt idx="56">
                  <c:v>-999</c:v>
                </c:pt>
                <c:pt idx="57">
                  <c:v>-999</c:v>
                </c:pt>
                <c:pt idx="58">
                  <c:v>-999</c:v>
                </c:pt>
                <c:pt idx="59">
                  <c:v>-999</c:v>
                </c:pt>
                <c:pt idx="60">
                  <c:v>-999</c:v>
                </c:pt>
                <c:pt idx="61">
                  <c:v>-999</c:v>
                </c:pt>
                <c:pt idx="62">
                  <c:v>-999</c:v>
                </c:pt>
                <c:pt idx="63">
                  <c:v>-999</c:v>
                </c:pt>
                <c:pt idx="64">
                  <c:v>0.15942394721574801</c:v>
                </c:pt>
                <c:pt idx="65">
                  <c:v>-999</c:v>
                </c:pt>
              </c:numCache>
            </c:numRef>
          </c:xVal>
          <c:yVal>
            <c:numRef>
              <c:f>Calculation!$AO$10:$AO$75</c:f>
              <c:numCache>
                <c:formatCode>General</c:formatCode>
                <c:ptCount val="66"/>
                <c:pt idx="1">
                  <c:v>0.67300000000000004</c:v>
                </c:pt>
                <c:pt idx="2" formatCode="0.0000">
                  <c:v>1.1125</c:v>
                </c:pt>
                <c:pt idx="3" formatCode="0.0000">
                  <c:v>1.552</c:v>
                </c:pt>
                <c:pt idx="4" formatCode="0.0000">
                  <c:v>1.9915</c:v>
                </c:pt>
                <c:pt idx="5" formatCode="0.0000">
                  <c:v>2.431</c:v>
                </c:pt>
                <c:pt idx="6" formatCode="0.0000">
                  <c:v>2.8704999999999998</c:v>
                </c:pt>
                <c:pt idx="7" formatCode="0.0000">
                  <c:v>3.3099999999999996</c:v>
                </c:pt>
                <c:pt idx="8" formatCode="0.0000">
                  <c:v>3.7494999999999994</c:v>
                </c:pt>
                <c:pt idx="9" formatCode="0.0000">
                  <c:v>4.1889999999999992</c:v>
                </c:pt>
                <c:pt idx="10" formatCode="0.0000">
                  <c:v>4.6284999999999989</c:v>
                </c:pt>
                <c:pt idx="11" formatCode="0.0000">
                  <c:v>5.0679999999999987</c:v>
                </c:pt>
                <c:pt idx="12" formatCode="0.0000">
                  <c:v>5.5074999999999985</c:v>
                </c:pt>
                <c:pt idx="13" formatCode="0.0000">
                  <c:v>5.9469999999999983</c:v>
                </c:pt>
                <c:pt idx="14" formatCode="0.0000">
                  <c:v>6.3864999999999981</c:v>
                </c:pt>
                <c:pt idx="15" formatCode="0.0000">
                  <c:v>6.8259999999999978</c:v>
                </c:pt>
                <c:pt idx="16" formatCode="0.0000">
                  <c:v>7.2654999999999976</c:v>
                </c:pt>
                <c:pt idx="17" formatCode="0.0000">
                  <c:v>7.7049999999999974</c:v>
                </c:pt>
                <c:pt idx="18" formatCode="0.0000">
                  <c:v>8.1444999999999972</c:v>
                </c:pt>
                <c:pt idx="19" formatCode="0.0000">
                  <c:v>8.5839999999999979</c:v>
                </c:pt>
                <c:pt idx="20" formatCode="0.0000">
                  <c:v>9.0234999999999985</c:v>
                </c:pt>
                <c:pt idx="21" formatCode="0.0000">
                  <c:v>9.4629999999999992</c:v>
                </c:pt>
                <c:pt idx="22" formatCode="0.0000">
                  <c:v>9.9024999999999999</c:v>
                </c:pt>
                <c:pt idx="23" formatCode="0.0000">
                  <c:v>10.342000000000001</c:v>
                </c:pt>
                <c:pt idx="24" formatCode="0.0000">
                  <c:v>10.781500000000001</c:v>
                </c:pt>
                <c:pt idx="25" formatCode="0.0000">
                  <c:v>11.221000000000002</c:v>
                </c:pt>
                <c:pt idx="26" formatCode="0.0000">
                  <c:v>11.660500000000003</c:v>
                </c:pt>
                <c:pt idx="27" formatCode="0.0000">
                  <c:v>12.100000000000003</c:v>
                </c:pt>
                <c:pt idx="28" formatCode="0.0000">
                  <c:v>12.539500000000004</c:v>
                </c:pt>
                <c:pt idx="29" formatCode="0.0000">
                  <c:v>12.979000000000005</c:v>
                </c:pt>
                <c:pt idx="30" formatCode="0.0000">
                  <c:v>13.418500000000005</c:v>
                </c:pt>
                <c:pt idx="31" formatCode="0.0000">
                  <c:v>13.858000000000006</c:v>
                </c:pt>
                <c:pt idx="32" formatCode="0.0000">
                  <c:v>14.297500000000007</c:v>
                </c:pt>
                <c:pt idx="33" formatCode="0.0000">
                  <c:v>14.737000000000007</c:v>
                </c:pt>
                <c:pt idx="34" formatCode="0.0000">
                  <c:v>15.176500000000008</c:v>
                </c:pt>
                <c:pt idx="35" formatCode="0.0000">
                  <c:v>15.616000000000009</c:v>
                </c:pt>
                <c:pt idx="36" formatCode="0.0000">
                  <c:v>16.055500000000009</c:v>
                </c:pt>
                <c:pt idx="37" formatCode="0.0000">
                  <c:v>16.495000000000008</c:v>
                </c:pt>
                <c:pt idx="38" formatCode="0.0000">
                  <c:v>16.934500000000007</c:v>
                </c:pt>
                <c:pt idx="39" formatCode="0.0000">
                  <c:v>17.374000000000006</c:v>
                </c:pt>
                <c:pt idx="40" formatCode="0.0000">
                  <c:v>17.813500000000005</c:v>
                </c:pt>
                <c:pt idx="41" formatCode="0.0000">
                  <c:v>18.253000000000004</c:v>
                </c:pt>
                <c:pt idx="42" formatCode="0.0000">
                  <c:v>18.692500000000003</c:v>
                </c:pt>
                <c:pt idx="43" formatCode="0.0000">
                  <c:v>19.132000000000001</c:v>
                </c:pt>
                <c:pt idx="44" formatCode="0.0000">
                  <c:v>19.5715</c:v>
                </c:pt>
                <c:pt idx="45" formatCode="0.0000">
                  <c:v>20.010999999999999</c:v>
                </c:pt>
                <c:pt idx="46" formatCode="0.0000">
                  <c:v>20.450499999999998</c:v>
                </c:pt>
                <c:pt idx="47" formatCode="0.0000">
                  <c:v>20.889999999999997</c:v>
                </c:pt>
                <c:pt idx="48" formatCode="0.0000">
                  <c:v>21.329499999999996</c:v>
                </c:pt>
                <c:pt idx="49" formatCode="0.0000">
                  <c:v>21.768999999999995</c:v>
                </c:pt>
                <c:pt idx="50" formatCode="0.0000">
                  <c:v>22.208499999999994</c:v>
                </c:pt>
                <c:pt idx="51" formatCode="0.0000">
                  <c:v>22.647999999999993</c:v>
                </c:pt>
                <c:pt idx="52" formatCode="0.0000">
                  <c:v>23.087499999999991</c:v>
                </c:pt>
                <c:pt idx="53" formatCode="0.0000">
                  <c:v>23.52699999999999</c:v>
                </c:pt>
                <c:pt idx="54" formatCode="0.0000">
                  <c:v>23.966499999999989</c:v>
                </c:pt>
                <c:pt idx="55" formatCode="0.0000">
                  <c:v>24.405999999999988</c:v>
                </c:pt>
                <c:pt idx="56" formatCode="0.0000">
                  <c:v>24.845499999999987</c:v>
                </c:pt>
                <c:pt idx="57" formatCode="0.0000">
                  <c:v>25.284999999999986</c:v>
                </c:pt>
                <c:pt idx="58" formatCode="0.0000">
                  <c:v>25.724499999999985</c:v>
                </c:pt>
                <c:pt idx="59" formatCode="0.0000">
                  <c:v>26.163999999999984</c:v>
                </c:pt>
                <c:pt idx="60" formatCode="0.0000">
                  <c:v>26.603499999999983</c:v>
                </c:pt>
                <c:pt idx="61" formatCode="0.0000">
                  <c:v>27.042999999999981</c:v>
                </c:pt>
                <c:pt idx="62" formatCode="0.0000">
                  <c:v>27.48249999999998</c:v>
                </c:pt>
                <c:pt idx="63" formatCode="0.0000">
                  <c:v>27.921999999999979</c:v>
                </c:pt>
                <c:pt idx="64" formatCode="0.0000">
                  <c:v>28.361499999999978</c:v>
                </c:pt>
                <c:pt idx="65" formatCode="0.0000">
                  <c:v>28.800999999999977</c:v>
                </c:pt>
              </c:numCache>
            </c:numRef>
          </c:yVal>
          <c:smooth val="0"/>
          <c:extLst>
            <c:ext xmlns:c16="http://schemas.microsoft.com/office/drawing/2014/chart" uri="{C3380CC4-5D6E-409C-BE32-E72D297353CC}">
              <c16:uniqueId val="{0000000A-2A9C-435B-8B9D-E22232BB0268}"/>
            </c:ext>
          </c:extLst>
        </c:ser>
        <c:ser>
          <c:idx val="5"/>
          <c:order val="10"/>
          <c:tx>
            <c:strRef>
              <c:f>Calculation!$AM$9</c:f>
              <c:strCache>
                <c:ptCount val="1"/>
                <c:pt idx="0">
                  <c:v>CHART Significantly Higher (4 - Light Blue)</c:v>
                </c:pt>
              </c:strCache>
            </c:strRef>
          </c:tx>
          <c:spPr>
            <a:ln w="28575">
              <a:noFill/>
            </a:ln>
          </c:spPr>
          <c:marker>
            <c:symbol val="circle"/>
            <c:size val="9"/>
            <c:spPr>
              <a:solidFill>
                <a:schemeClr val="tx2">
                  <a:lumMod val="20000"/>
                  <a:lumOff val="80000"/>
                </a:schemeClr>
              </a:solidFill>
              <a:ln>
                <a:solidFill>
                  <a:srgbClr val="000000"/>
                </a:solidFill>
              </a:ln>
            </c:spPr>
          </c:marker>
          <c:xVal>
            <c:numRef>
              <c:f>Calculation!$AM$10:$AM$75</c:f>
              <c:numCache>
                <c:formatCode>0.00</c:formatCode>
                <c:ptCount val="66"/>
                <c:pt idx="1">
                  <c:v>-999</c:v>
                </c:pt>
                <c:pt idx="2">
                  <c:v>-999</c:v>
                </c:pt>
                <c:pt idx="3">
                  <c:v>0.55874283717128526</c:v>
                </c:pt>
                <c:pt idx="4">
                  <c:v>-999</c:v>
                </c:pt>
                <c:pt idx="5">
                  <c:v>-999</c:v>
                </c:pt>
                <c:pt idx="6">
                  <c:v>-999</c:v>
                </c:pt>
                <c:pt idx="7">
                  <c:v>0.55423773777857621</c:v>
                </c:pt>
                <c:pt idx="8">
                  <c:v>-999</c:v>
                </c:pt>
                <c:pt idx="9">
                  <c:v>-999</c:v>
                </c:pt>
                <c:pt idx="10">
                  <c:v>-999</c:v>
                </c:pt>
                <c:pt idx="11">
                  <c:v>-999</c:v>
                </c:pt>
                <c:pt idx="12">
                  <c:v>-999</c:v>
                </c:pt>
                <c:pt idx="13">
                  <c:v>-999</c:v>
                </c:pt>
                <c:pt idx="14">
                  <c:v>-999</c:v>
                </c:pt>
                <c:pt idx="15">
                  <c:v>-999</c:v>
                </c:pt>
                <c:pt idx="16">
                  <c:v>-999</c:v>
                </c:pt>
                <c:pt idx="17">
                  <c:v>-999</c:v>
                </c:pt>
                <c:pt idx="18">
                  <c:v>-999</c:v>
                </c:pt>
                <c:pt idx="19">
                  <c:v>-999</c:v>
                </c:pt>
                <c:pt idx="20">
                  <c:v>-999</c:v>
                </c:pt>
                <c:pt idx="21">
                  <c:v>-999</c:v>
                </c:pt>
                <c:pt idx="22">
                  <c:v>-999</c:v>
                </c:pt>
                <c:pt idx="23">
                  <c:v>-999</c:v>
                </c:pt>
                <c:pt idx="24">
                  <c:v>-999</c:v>
                </c:pt>
                <c:pt idx="25">
                  <c:v>-999</c:v>
                </c:pt>
                <c:pt idx="26">
                  <c:v>-999</c:v>
                </c:pt>
                <c:pt idx="27">
                  <c:v>-999</c:v>
                </c:pt>
                <c:pt idx="28">
                  <c:v>-999</c:v>
                </c:pt>
                <c:pt idx="29">
                  <c:v>-999</c:v>
                </c:pt>
                <c:pt idx="30">
                  <c:v>-999</c:v>
                </c:pt>
                <c:pt idx="31">
                  <c:v>-999</c:v>
                </c:pt>
                <c:pt idx="32">
                  <c:v>-999</c:v>
                </c:pt>
                <c:pt idx="33">
                  <c:v>-999</c:v>
                </c:pt>
                <c:pt idx="34">
                  <c:v>-999</c:v>
                </c:pt>
                <c:pt idx="35">
                  <c:v>-999</c:v>
                </c:pt>
                <c:pt idx="36">
                  <c:v>-999</c:v>
                </c:pt>
                <c:pt idx="37">
                  <c:v>-999</c:v>
                </c:pt>
                <c:pt idx="38">
                  <c:v>-999</c:v>
                </c:pt>
                <c:pt idx="39">
                  <c:v>-999</c:v>
                </c:pt>
                <c:pt idx="40">
                  <c:v>-999</c:v>
                </c:pt>
                <c:pt idx="41">
                  <c:v>-999</c:v>
                </c:pt>
                <c:pt idx="42">
                  <c:v>-999</c:v>
                </c:pt>
                <c:pt idx="43">
                  <c:v>-999</c:v>
                </c:pt>
                <c:pt idx="44">
                  <c:v>-999</c:v>
                </c:pt>
                <c:pt idx="45">
                  <c:v>-999</c:v>
                </c:pt>
                <c:pt idx="46">
                  <c:v>-999</c:v>
                </c:pt>
                <c:pt idx="47">
                  <c:v>-999</c:v>
                </c:pt>
                <c:pt idx="48">
                  <c:v>-999</c:v>
                </c:pt>
                <c:pt idx="49">
                  <c:v>-999</c:v>
                </c:pt>
                <c:pt idx="50">
                  <c:v>-999</c:v>
                </c:pt>
                <c:pt idx="51">
                  <c:v>-999</c:v>
                </c:pt>
                <c:pt idx="52">
                  <c:v>-999</c:v>
                </c:pt>
                <c:pt idx="53">
                  <c:v>-999</c:v>
                </c:pt>
                <c:pt idx="54">
                  <c:v>-999</c:v>
                </c:pt>
                <c:pt idx="55">
                  <c:v>-999</c:v>
                </c:pt>
                <c:pt idx="56">
                  <c:v>-999</c:v>
                </c:pt>
                <c:pt idx="57">
                  <c:v>-999</c:v>
                </c:pt>
                <c:pt idx="58">
                  <c:v>-999</c:v>
                </c:pt>
                <c:pt idx="59">
                  <c:v>0.59213817431378091</c:v>
                </c:pt>
                <c:pt idx="60">
                  <c:v>-999</c:v>
                </c:pt>
                <c:pt idx="61">
                  <c:v>-999</c:v>
                </c:pt>
                <c:pt idx="62">
                  <c:v>-999</c:v>
                </c:pt>
                <c:pt idx="63">
                  <c:v>-999</c:v>
                </c:pt>
                <c:pt idx="64">
                  <c:v>-999</c:v>
                </c:pt>
                <c:pt idx="65">
                  <c:v>-999</c:v>
                </c:pt>
              </c:numCache>
            </c:numRef>
          </c:xVal>
          <c:yVal>
            <c:numRef>
              <c:f>Calculation!$AO$10:$AO$75</c:f>
              <c:numCache>
                <c:formatCode>General</c:formatCode>
                <c:ptCount val="66"/>
                <c:pt idx="1">
                  <c:v>0.67300000000000004</c:v>
                </c:pt>
                <c:pt idx="2" formatCode="0.0000">
                  <c:v>1.1125</c:v>
                </c:pt>
                <c:pt idx="3" formatCode="0.0000">
                  <c:v>1.552</c:v>
                </c:pt>
                <c:pt idx="4" formatCode="0.0000">
                  <c:v>1.9915</c:v>
                </c:pt>
                <c:pt idx="5" formatCode="0.0000">
                  <c:v>2.431</c:v>
                </c:pt>
                <c:pt idx="6" formatCode="0.0000">
                  <c:v>2.8704999999999998</c:v>
                </c:pt>
                <c:pt idx="7" formatCode="0.0000">
                  <c:v>3.3099999999999996</c:v>
                </c:pt>
                <c:pt idx="8" formatCode="0.0000">
                  <c:v>3.7494999999999994</c:v>
                </c:pt>
                <c:pt idx="9" formatCode="0.0000">
                  <c:v>4.1889999999999992</c:v>
                </c:pt>
                <c:pt idx="10" formatCode="0.0000">
                  <c:v>4.6284999999999989</c:v>
                </c:pt>
                <c:pt idx="11" formatCode="0.0000">
                  <c:v>5.0679999999999987</c:v>
                </c:pt>
                <c:pt idx="12" formatCode="0.0000">
                  <c:v>5.5074999999999985</c:v>
                </c:pt>
                <c:pt idx="13" formatCode="0.0000">
                  <c:v>5.9469999999999983</c:v>
                </c:pt>
                <c:pt idx="14" formatCode="0.0000">
                  <c:v>6.3864999999999981</c:v>
                </c:pt>
                <c:pt idx="15" formatCode="0.0000">
                  <c:v>6.8259999999999978</c:v>
                </c:pt>
                <c:pt idx="16" formatCode="0.0000">
                  <c:v>7.2654999999999976</c:v>
                </c:pt>
                <c:pt idx="17" formatCode="0.0000">
                  <c:v>7.7049999999999974</c:v>
                </c:pt>
                <c:pt idx="18" formatCode="0.0000">
                  <c:v>8.1444999999999972</c:v>
                </c:pt>
                <c:pt idx="19" formatCode="0.0000">
                  <c:v>8.5839999999999979</c:v>
                </c:pt>
                <c:pt idx="20" formatCode="0.0000">
                  <c:v>9.0234999999999985</c:v>
                </c:pt>
                <c:pt idx="21" formatCode="0.0000">
                  <c:v>9.4629999999999992</c:v>
                </c:pt>
                <c:pt idx="22" formatCode="0.0000">
                  <c:v>9.9024999999999999</c:v>
                </c:pt>
                <c:pt idx="23" formatCode="0.0000">
                  <c:v>10.342000000000001</c:v>
                </c:pt>
                <c:pt idx="24" formatCode="0.0000">
                  <c:v>10.781500000000001</c:v>
                </c:pt>
                <c:pt idx="25" formatCode="0.0000">
                  <c:v>11.221000000000002</c:v>
                </c:pt>
                <c:pt idx="26" formatCode="0.0000">
                  <c:v>11.660500000000003</c:v>
                </c:pt>
                <c:pt idx="27" formatCode="0.0000">
                  <c:v>12.100000000000003</c:v>
                </c:pt>
                <c:pt idx="28" formatCode="0.0000">
                  <c:v>12.539500000000004</c:v>
                </c:pt>
                <c:pt idx="29" formatCode="0.0000">
                  <c:v>12.979000000000005</c:v>
                </c:pt>
                <c:pt idx="30" formatCode="0.0000">
                  <c:v>13.418500000000005</c:v>
                </c:pt>
                <c:pt idx="31" formatCode="0.0000">
                  <c:v>13.858000000000006</c:v>
                </c:pt>
                <c:pt idx="32" formatCode="0.0000">
                  <c:v>14.297500000000007</c:v>
                </c:pt>
                <c:pt idx="33" formatCode="0.0000">
                  <c:v>14.737000000000007</c:v>
                </c:pt>
                <c:pt idx="34" formatCode="0.0000">
                  <c:v>15.176500000000008</c:v>
                </c:pt>
                <c:pt idx="35" formatCode="0.0000">
                  <c:v>15.616000000000009</c:v>
                </c:pt>
                <c:pt idx="36" formatCode="0.0000">
                  <c:v>16.055500000000009</c:v>
                </c:pt>
                <c:pt idx="37" formatCode="0.0000">
                  <c:v>16.495000000000008</c:v>
                </c:pt>
                <c:pt idx="38" formatCode="0.0000">
                  <c:v>16.934500000000007</c:v>
                </c:pt>
                <c:pt idx="39" formatCode="0.0000">
                  <c:v>17.374000000000006</c:v>
                </c:pt>
                <c:pt idx="40" formatCode="0.0000">
                  <c:v>17.813500000000005</c:v>
                </c:pt>
                <c:pt idx="41" formatCode="0.0000">
                  <c:v>18.253000000000004</c:v>
                </c:pt>
                <c:pt idx="42" formatCode="0.0000">
                  <c:v>18.692500000000003</c:v>
                </c:pt>
                <c:pt idx="43" formatCode="0.0000">
                  <c:v>19.132000000000001</c:v>
                </c:pt>
                <c:pt idx="44" formatCode="0.0000">
                  <c:v>19.5715</c:v>
                </c:pt>
                <c:pt idx="45" formatCode="0.0000">
                  <c:v>20.010999999999999</c:v>
                </c:pt>
                <c:pt idx="46" formatCode="0.0000">
                  <c:v>20.450499999999998</c:v>
                </c:pt>
                <c:pt idx="47" formatCode="0.0000">
                  <c:v>20.889999999999997</c:v>
                </c:pt>
                <c:pt idx="48" formatCode="0.0000">
                  <c:v>21.329499999999996</c:v>
                </c:pt>
                <c:pt idx="49" formatCode="0.0000">
                  <c:v>21.768999999999995</c:v>
                </c:pt>
                <c:pt idx="50" formatCode="0.0000">
                  <c:v>22.208499999999994</c:v>
                </c:pt>
                <c:pt idx="51" formatCode="0.0000">
                  <c:v>22.647999999999993</c:v>
                </c:pt>
                <c:pt idx="52" formatCode="0.0000">
                  <c:v>23.087499999999991</c:v>
                </c:pt>
                <c:pt idx="53" formatCode="0.0000">
                  <c:v>23.52699999999999</c:v>
                </c:pt>
                <c:pt idx="54" formatCode="0.0000">
                  <c:v>23.966499999999989</c:v>
                </c:pt>
                <c:pt idx="55" formatCode="0.0000">
                  <c:v>24.405999999999988</c:v>
                </c:pt>
                <c:pt idx="56" formatCode="0.0000">
                  <c:v>24.845499999999987</c:v>
                </c:pt>
                <c:pt idx="57" formatCode="0.0000">
                  <c:v>25.284999999999986</c:v>
                </c:pt>
                <c:pt idx="58" formatCode="0.0000">
                  <c:v>25.724499999999985</c:v>
                </c:pt>
                <c:pt idx="59" formatCode="0.0000">
                  <c:v>26.163999999999984</c:v>
                </c:pt>
                <c:pt idx="60" formatCode="0.0000">
                  <c:v>26.603499999999983</c:v>
                </c:pt>
                <c:pt idx="61" formatCode="0.0000">
                  <c:v>27.042999999999981</c:v>
                </c:pt>
                <c:pt idx="62" formatCode="0.0000">
                  <c:v>27.48249999999998</c:v>
                </c:pt>
                <c:pt idx="63" formatCode="0.0000">
                  <c:v>27.921999999999979</c:v>
                </c:pt>
                <c:pt idx="64" formatCode="0.0000">
                  <c:v>28.361499999999978</c:v>
                </c:pt>
                <c:pt idx="65" formatCode="0.0000">
                  <c:v>28.800999999999977</c:v>
                </c:pt>
              </c:numCache>
            </c:numRef>
          </c:yVal>
          <c:smooth val="0"/>
          <c:extLst>
            <c:ext xmlns:c16="http://schemas.microsoft.com/office/drawing/2014/chart" uri="{C3380CC4-5D6E-409C-BE32-E72D297353CC}">
              <c16:uniqueId val="{0000000B-2A9C-435B-8B9D-E22232BB0268}"/>
            </c:ext>
          </c:extLst>
        </c:ser>
        <c:ser>
          <c:idx val="11"/>
          <c:order val="11"/>
          <c:tx>
            <c:strRef>
              <c:f>Calculation!$AI$9</c:f>
              <c:strCache>
                <c:ptCount val="1"/>
                <c:pt idx="0">
                  <c:v>CHART Similar (5 - Yellow)</c:v>
                </c:pt>
              </c:strCache>
            </c:strRef>
          </c:tx>
          <c:spPr>
            <a:ln w="28575">
              <a:noFill/>
            </a:ln>
          </c:spPr>
          <c:marker>
            <c:symbol val="circle"/>
            <c:size val="9"/>
            <c:spPr>
              <a:solidFill>
                <a:srgbClr val="FFFF99"/>
              </a:solidFill>
              <a:ln>
                <a:solidFill>
                  <a:srgbClr val="000000"/>
                </a:solidFill>
                <a:prstDash val="solid"/>
              </a:ln>
            </c:spPr>
          </c:marker>
          <c:xVal>
            <c:numRef>
              <c:f>Calculation!$AI$10:$AI$75</c:f>
              <c:numCache>
                <c:formatCode>0.00</c:formatCode>
                <c:ptCount val="66"/>
                <c:pt idx="1">
                  <c:v>-999</c:v>
                </c:pt>
                <c:pt idx="2">
                  <c:v>-999</c:v>
                </c:pt>
                <c:pt idx="3">
                  <c:v>-999</c:v>
                </c:pt>
                <c:pt idx="4">
                  <c:v>0.47711141866929019</c:v>
                </c:pt>
                <c:pt idx="5">
                  <c:v>-999</c:v>
                </c:pt>
                <c:pt idx="6">
                  <c:v>-999</c:v>
                </c:pt>
                <c:pt idx="7">
                  <c:v>-999</c:v>
                </c:pt>
                <c:pt idx="8">
                  <c:v>-999</c:v>
                </c:pt>
                <c:pt idx="9">
                  <c:v>0.64540354290288571</c:v>
                </c:pt>
                <c:pt idx="10">
                  <c:v>0.55183385042351096</c:v>
                </c:pt>
                <c:pt idx="11">
                  <c:v>-999</c:v>
                </c:pt>
                <c:pt idx="12">
                  <c:v>-999</c:v>
                </c:pt>
                <c:pt idx="13">
                  <c:v>0.54434131413340903</c:v>
                </c:pt>
                <c:pt idx="14">
                  <c:v>-999</c:v>
                </c:pt>
                <c:pt idx="15">
                  <c:v>-999</c:v>
                </c:pt>
                <c:pt idx="16">
                  <c:v>0.50690717442430155</c:v>
                </c:pt>
                <c:pt idx="17">
                  <c:v>-999</c:v>
                </c:pt>
                <c:pt idx="18">
                  <c:v>-999</c:v>
                </c:pt>
                <c:pt idx="19">
                  <c:v>0.66484203419152921</c:v>
                </c:pt>
                <c:pt idx="20">
                  <c:v>-999</c:v>
                </c:pt>
                <c:pt idx="21">
                  <c:v>0.50347948328204795</c:v>
                </c:pt>
                <c:pt idx="22">
                  <c:v>0.57600342448819564</c:v>
                </c:pt>
                <c:pt idx="23">
                  <c:v>-999</c:v>
                </c:pt>
                <c:pt idx="24">
                  <c:v>0.84151526001279442</c:v>
                </c:pt>
                <c:pt idx="25">
                  <c:v>0.75577955571081346</c:v>
                </c:pt>
                <c:pt idx="26">
                  <c:v>0.64792989590792582</c:v>
                </c:pt>
                <c:pt idx="27">
                  <c:v>-999</c:v>
                </c:pt>
                <c:pt idx="28">
                  <c:v>0.37654491290005043</c:v>
                </c:pt>
                <c:pt idx="29">
                  <c:v>-999</c:v>
                </c:pt>
                <c:pt idx="30">
                  <c:v>0.54060758182569735</c:v>
                </c:pt>
                <c:pt idx="31">
                  <c:v>0.41288921514689331</c:v>
                </c:pt>
                <c:pt idx="32">
                  <c:v>-999</c:v>
                </c:pt>
                <c:pt idx="33">
                  <c:v>0.53226812198533502</c:v>
                </c:pt>
                <c:pt idx="34">
                  <c:v>0.54554064096395682</c:v>
                </c:pt>
                <c:pt idx="35">
                  <c:v>-999</c:v>
                </c:pt>
                <c:pt idx="36">
                  <c:v>0.47338105648951867</c:v>
                </c:pt>
                <c:pt idx="37">
                  <c:v>0.58121612583862625</c:v>
                </c:pt>
                <c:pt idx="38">
                  <c:v>0.60559851059082259</c:v>
                </c:pt>
                <c:pt idx="39">
                  <c:v>0.32864131898494037</c:v>
                </c:pt>
                <c:pt idx="40">
                  <c:v>-999</c:v>
                </c:pt>
                <c:pt idx="41">
                  <c:v>-999</c:v>
                </c:pt>
                <c:pt idx="42">
                  <c:v>-999</c:v>
                </c:pt>
                <c:pt idx="43">
                  <c:v>0.51908608493770525</c:v>
                </c:pt>
                <c:pt idx="44">
                  <c:v>-999</c:v>
                </c:pt>
                <c:pt idx="45">
                  <c:v>-999</c:v>
                </c:pt>
                <c:pt idx="46">
                  <c:v>0.24799504202782446</c:v>
                </c:pt>
                <c:pt idx="47">
                  <c:v>0.49666561533934467</c:v>
                </c:pt>
                <c:pt idx="48">
                  <c:v>0.42056387498681419</c:v>
                </c:pt>
                <c:pt idx="49">
                  <c:v>0.5880410878735487</c:v>
                </c:pt>
                <c:pt idx="50">
                  <c:v>0.4093894078516645</c:v>
                </c:pt>
                <c:pt idx="51">
                  <c:v>0.27828807547571577</c:v>
                </c:pt>
                <c:pt idx="52">
                  <c:v>0.65158581217224121</c:v>
                </c:pt>
                <c:pt idx="53">
                  <c:v>0.57383690678146171</c:v>
                </c:pt>
                <c:pt idx="54">
                  <c:v>-999</c:v>
                </c:pt>
                <c:pt idx="55">
                  <c:v>-999</c:v>
                </c:pt>
                <c:pt idx="56">
                  <c:v>-999</c:v>
                </c:pt>
                <c:pt idx="57">
                  <c:v>0.45088000025185215</c:v>
                </c:pt>
                <c:pt idx="58">
                  <c:v>0.54585698231677293</c:v>
                </c:pt>
                <c:pt idx="59">
                  <c:v>-999</c:v>
                </c:pt>
                <c:pt idx="60">
                  <c:v>0.56728749510474574</c:v>
                </c:pt>
                <c:pt idx="61">
                  <c:v>0.42723956898834825</c:v>
                </c:pt>
                <c:pt idx="62">
                  <c:v>-999</c:v>
                </c:pt>
                <c:pt idx="63">
                  <c:v>-999</c:v>
                </c:pt>
                <c:pt idx="64">
                  <c:v>-999</c:v>
                </c:pt>
                <c:pt idx="65">
                  <c:v>-999</c:v>
                </c:pt>
              </c:numCache>
            </c:numRef>
          </c:xVal>
          <c:yVal>
            <c:numRef>
              <c:f>Calculation!$AO$10:$AO$75</c:f>
              <c:numCache>
                <c:formatCode>General</c:formatCode>
                <c:ptCount val="66"/>
                <c:pt idx="1">
                  <c:v>0.67300000000000004</c:v>
                </c:pt>
                <c:pt idx="2" formatCode="0.0000">
                  <c:v>1.1125</c:v>
                </c:pt>
                <c:pt idx="3" formatCode="0.0000">
                  <c:v>1.552</c:v>
                </c:pt>
                <c:pt idx="4" formatCode="0.0000">
                  <c:v>1.9915</c:v>
                </c:pt>
                <c:pt idx="5" formatCode="0.0000">
                  <c:v>2.431</c:v>
                </c:pt>
                <c:pt idx="6" formatCode="0.0000">
                  <c:v>2.8704999999999998</c:v>
                </c:pt>
                <c:pt idx="7" formatCode="0.0000">
                  <c:v>3.3099999999999996</c:v>
                </c:pt>
                <c:pt idx="8" formatCode="0.0000">
                  <c:v>3.7494999999999994</c:v>
                </c:pt>
                <c:pt idx="9" formatCode="0.0000">
                  <c:v>4.1889999999999992</c:v>
                </c:pt>
                <c:pt idx="10" formatCode="0.0000">
                  <c:v>4.6284999999999989</c:v>
                </c:pt>
                <c:pt idx="11" formatCode="0.0000">
                  <c:v>5.0679999999999987</c:v>
                </c:pt>
                <c:pt idx="12" formatCode="0.0000">
                  <c:v>5.5074999999999985</c:v>
                </c:pt>
                <c:pt idx="13" formatCode="0.0000">
                  <c:v>5.9469999999999983</c:v>
                </c:pt>
                <c:pt idx="14" formatCode="0.0000">
                  <c:v>6.3864999999999981</c:v>
                </c:pt>
                <c:pt idx="15" formatCode="0.0000">
                  <c:v>6.8259999999999978</c:v>
                </c:pt>
                <c:pt idx="16" formatCode="0.0000">
                  <c:v>7.2654999999999976</c:v>
                </c:pt>
                <c:pt idx="17" formatCode="0.0000">
                  <c:v>7.7049999999999974</c:v>
                </c:pt>
                <c:pt idx="18" formatCode="0.0000">
                  <c:v>8.1444999999999972</c:v>
                </c:pt>
                <c:pt idx="19" formatCode="0.0000">
                  <c:v>8.5839999999999979</c:v>
                </c:pt>
                <c:pt idx="20" formatCode="0.0000">
                  <c:v>9.0234999999999985</c:v>
                </c:pt>
                <c:pt idx="21" formatCode="0.0000">
                  <c:v>9.4629999999999992</c:v>
                </c:pt>
                <c:pt idx="22" formatCode="0.0000">
                  <c:v>9.9024999999999999</c:v>
                </c:pt>
                <c:pt idx="23" formatCode="0.0000">
                  <c:v>10.342000000000001</c:v>
                </c:pt>
                <c:pt idx="24" formatCode="0.0000">
                  <c:v>10.781500000000001</c:v>
                </c:pt>
                <c:pt idx="25" formatCode="0.0000">
                  <c:v>11.221000000000002</c:v>
                </c:pt>
                <c:pt idx="26" formatCode="0.0000">
                  <c:v>11.660500000000003</c:v>
                </c:pt>
                <c:pt idx="27" formatCode="0.0000">
                  <c:v>12.100000000000003</c:v>
                </c:pt>
                <c:pt idx="28" formatCode="0.0000">
                  <c:v>12.539500000000004</c:v>
                </c:pt>
                <c:pt idx="29" formatCode="0.0000">
                  <c:v>12.979000000000005</c:v>
                </c:pt>
                <c:pt idx="30" formatCode="0.0000">
                  <c:v>13.418500000000005</c:v>
                </c:pt>
                <c:pt idx="31" formatCode="0.0000">
                  <c:v>13.858000000000006</c:v>
                </c:pt>
                <c:pt idx="32" formatCode="0.0000">
                  <c:v>14.297500000000007</c:v>
                </c:pt>
                <c:pt idx="33" formatCode="0.0000">
                  <c:v>14.737000000000007</c:v>
                </c:pt>
                <c:pt idx="34" formatCode="0.0000">
                  <c:v>15.176500000000008</c:v>
                </c:pt>
                <c:pt idx="35" formatCode="0.0000">
                  <c:v>15.616000000000009</c:v>
                </c:pt>
                <c:pt idx="36" formatCode="0.0000">
                  <c:v>16.055500000000009</c:v>
                </c:pt>
                <c:pt idx="37" formatCode="0.0000">
                  <c:v>16.495000000000008</c:v>
                </c:pt>
                <c:pt idx="38" formatCode="0.0000">
                  <c:v>16.934500000000007</c:v>
                </c:pt>
                <c:pt idx="39" formatCode="0.0000">
                  <c:v>17.374000000000006</c:v>
                </c:pt>
                <c:pt idx="40" formatCode="0.0000">
                  <c:v>17.813500000000005</c:v>
                </c:pt>
                <c:pt idx="41" formatCode="0.0000">
                  <c:v>18.253000000000004</c:v>
                </c:pt>
                <c:pt idx="42" formatCode="0.0000">
                  <c:v>18.692500000000003</c:v>
                </c:pt>
                <c:pt idx="43" formatCode="0.0000">
                  <c:v>19.132000000000001</c:v>
                </c:pt>
                <c:pt idx="44" formatCode="0.0000">
                  <c:v>19.5715</c:v>
                </c:pt>
                <c:pt idx="45" formatCode="0.0000">
                  <c:v>20.010999999999999</c:v>
                </c:pt>
                <c:pt idx="46" formatCode="0.0000">
                  <c:v>20.450499999999998</c:v>
                </c:pt>
                <c:pt idx="47" formatCode="0.0000">
                  <c:v>20.889999999999997</c:v>
                </c:pt>
                <c:pt idx="48" formatCode="0.0000">
                  <c:v>21.329499999999996</c:v>
                </c:pt>
                <c:pt idx="49" formatCode="0.0000">
                  <c:v>21.768999999999995</c:v>
                </c:pt>
                <c:pt idx="50" formatCode="0.0000">
                  <c:v>22.208499999999994</c:v>
                </c:pt>
                <c:pt idx="51" formatCode="0.0000">
                  <c:v>22.647999999999993</c:v>
                </c:pt>
                <c:pt idx="52" formatCode="0.0000">
                  <c:v>23.087499999999991</c:v>
                </c:pt>
                <c:pt idx="53" formatCode="0.0000">
                  <c:v>23.52699999999999</c:v>
                </c:pt>
                <c:pt idx="54" formatCode="0.0000">
                  <c:v>23.966499999999989</c:v>
                </c:pt>
                <c:pt idx="55" formatCode="0.0000">
                  <c:v>24.405999999999988</c:v>
                </c:pt>
                <c:pt idx="56" formatCode="0.0000">
                  <c:v>24.845499999999987</c:v>
                </c:pt>
                <c:pt idx="57" formatCode="0.0000">
                  <c:v>25.284999999999986</c:v>
                </c:pt>
                <c:pt idx="58" formatCode="0.0000">
                  <c:v>25.724499999999985</c:v>
                </c:pt>
                <c:pt idx="59" formatCode="0.0000">
                  <c:v>26.163999999999984</c:v>
                </c:pt>
                <c:pt idx="60" formatCode="0.0000">
                  <c:v>26.603499999999983</c:v>
                </c:pt>
                <c:pt idx="61" formatCode="0.0000">
                  <c:v>27.042999999999981</c:v>
                </c:pt>
                <c:pt idx="62" formatCode="0.0000">
                  <c:v>27.48249999999998</c:v>
                </c:pt>
                <c:pt idx="63" formatCode="0.0000">
                  <c:v>27.921999999999979</c:v>
                </c:pt>
                <c:pt idx="64" formatCode="0.0000">
                  <c:v>28.361499999999978</c:v>
                </c:pt>
                <c:pt idx="65" formatCode="0.0000">
                  <c:v>28.800999999999977</c:v>
                </c:pt>
              </c:numCache>
            </c:numRef>
          </c:yVal>
          <c:smooth val="0"/>
          <c:extLst>
            <c:ext xmlns:c16="http://schemas.microsoft.com/office/drawing/2014/chart" uri="{C3380CC4-5D6E-409C-BE32-E72D297353CC}">
              <c16:uniqueId val="{0000000C-2A9C-435B-8B9D-E22232BB0268}"/>
            </c:ext>
          </c:extLst>
        </c:ser>
        <c:dLbls>
          <c:showLegendKey val="0"/>
          <c:showVal val="0"/>
          <c:showCatName val="0"/>
          <c:showSerName val="0"/>
          <c:showPercent val="0"/>
          <c:showBubbleSize val="0"/>
        </c:dLbls>
        <c:axId val="526456416"/>
        <c:axId val="526456808"/>
      </c:scatterChart>
      <c:catAx>
        <c:axId val="526455632"/>
        <c:scaling>
          <c:orientation val="maxMin"/>
        </c:scaling>
        <c:delete val="0"/>
        <c:axPos val="l"/>
        <c:numFmt formatCode="General" sourceLinked="0"/>
        <c:majorTickMark val="out"/>
        <c:minorTickMark val="none"/>
        <c:tickLblPos val="none"/>
        <c:spPr>
          <a:ln w="9525">
            <a:noFill/>
          </a:ln>
        </c:spPr>
        <c:crossAx val="526456024"/>
        <c:crosses val="autoZero"/>
        <c:auto val="1"/>
        <c:lblAlgn val="ctr"/>
        <c:lblOffset val="100"/>
        <c:tickMarkSkip val="1"/>
        <c:noMultiLvlLbl val="0"/>
      </c:catAx>
      <c:valAx>
        <c:axId val="526456024"/>
        <c:scaling>
          <c:orientation val="minMax"/>
          <c:max val="1"/>
          <c:min val="0"/>
        </c:scaling>
        <c:delete val="0"/>
        <c:axPos val="t"/>
        <c:numFmt formatCode="0.00" sourceLinked="1"/>
        <c:majorTickMark val="none"/>
        <c:minorTickMark val="none"/>
        <c:tickLblPos val="none"/>
        <c:spPr>
          <a:ln w="9525">
            <a:noFill/>
          </a:ln>
        </c:spPr>
        <c:crossAx val="526455632"/>
        <c:crosses val="autoZero"/>
        <c:crossBetween val="between"/>
        <c:majorUnit val="1"/>
      </c:valAx>
      <c:valAx>
        <c:axId val="526456416"/>
        <c:scaling>
          <c:orientation val="minMax"/>
          <c:max val="1"/>
          <c:min val="0"/>
        </c:scaling>
        <c:delete val="0"/>
        <c:axPos val="b"/>
        <c:numFmt formatCode="0.00" sourceLinked="1"/>
        <c:majorTickMark val="none"/>
        <c:minorTickMark val="none"/>
        <c:tickLblPos val="none"/>
        <c:spPr>
          <a:ln w="9525">
            <a:noFill/>
          </a:ln>
        </c:spPr>
        <c:crossAx val="526456808"/>
        <c:crosses val="max"/>
        <c:crossBetween val="midCat"/>
        <c:majorUnit val="0.1"/>
        <c:minorUnit val="2.0000000000000007E-2"/>
      </c:valAx>
      <c:valAx>
        <c:axId val="526456808"/>
        <c:scaling>
          <c:orientation val="maxMin"/>
          <c:max val="29"/>
          <c:min val="0"/>
        </c:scaling>
        <c:delete val="0"/>
        <c:axPos val="r"/>
        <c:numFmt formatCode="General" sourceLinked="1"/>
        <c:majorTickMark val="none"/>
        <c:minorTickMark val="none"/>
        <c:tickLblPos val="none"/>
        <c:spPr>
          <a:ln w="9525">
            <a:noFill/>
          </a:ln>
        </c:spPr>
        <c:crossAx val="526456416"/>
        <c:crosses val="max"/>
        <c:crossBetween val="midCat"/>
      </c:valAx>
      <c:spPr>
        <a:noFill/>
        <a:ln w="25400">
          <a:noFill/>
        </a:ln>
      </c:spPr>
    </c:plotArea>
    <c:plotVisOnly val="1"/>
    <c:dispBlanksAs val="gap"/>
    <c:showDLblsOverMax val="0"/>
  </c:chart>
  <c:spPr>
    <a:noFill/>
    <a:ln w="9525">
      <a:noFill/>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0"/>
          <c:order val="0"/>
          <c:tx>
            <c:v>National Maximum</c:v>
          </c:tx>
          <c:spPr>
            <a:pattFill prst="pct25">
              <a:fgClr>
                <a:srgbClr val="C0C0C0"/>
              </a:fgClr>
              <a:bgClr>
                <a:srgbClr val="FFFFFF"/>
              </a:bgClr>
            </a:pattFill>
            <a:ln w="25400">
              <a:noFill/>
            </a:ln>
          </c:spPr>
          <c:invertIfNegative val="0"/>
          <c:cat>
            <c:numLit>
              <c:formatCode>General</c:formatCode>
              <c:ptCount val="7"/>
            </c:numLit>
          </c:cat>
          <c:val>
            <c:numLit>
              <c:formatCode>General</c:formatCode>
              <c:ptCount val="7"/>
              <c:pt idx="0">
                <c:v>0.9285714285714286</c:v>
              </c:pt>
              <c:pt idx="1">
                <c:v>0.85714285714285732</c:v>
              </c:pt>
              <c:pt idx="2">
                <c:v>1</c:v>
              </c:pt>
              <c:pt idx="3">
                <c:v>1</c:v>
              </c:pt>
              <c:pt idx="4">
                <c:v>1</c:v>
              </c:pt>
              <c:pt idx="5">
                <c:v>1</c:v>
              </c:pt>
              <c:pt idx="6">
                <c:v>0.87500000000000022</c:v>
              </c:pt>
            </c:numLit>
          </c:val>
          <c:extLst>
            <c:ext xmlns:c16="http://schemas.microsoft.com/office/drawing/2014/chart" uri="{C3380CC4-5D6E-409C-BE32-E72D297353CC}">
              <c16:uniqueId val="{00000000-ECFE-45F9-B863-63B959EEA702}"/>
            </c:ext>
          </c:extLst>
        </c:ser>
        <c:ser>
          <c:idx val="9"/>
          <c:order val="1"/>
          <c:tx>
            <c:v>#REF!</c:v>
          </c:tx>
          <c:spPr>
            <a:pattFill prst="pct50">
              <a:fgClr>
                <a:srgbClr val="C0C0C0"/>
              </a:fgClr>
              <a:bgClr>
                <a:srgbClr val="FFFFFF"/>
              </a:bgClr>
            </a:pattFill>
            <a:ln w="25400">
              <a:noFill/>
            </a:ln>
          </c:spPr>
          <c:invertIfNegative val="0"/>
          <c:cat>
            <c:numLit>
              <c:formatCode>General</c:formatCode>
              <c:ptCount val="7"/>
            </c:numLit>
          </c:cat>
          <c:val>
            <c:numLit>
              <c:formatCode>General</c:formatCode>
              <c:ptCount val="1"/>
              <c:pt idx="0">
                <c:v>1</c:v>
              </c:pt>
            </c:numLit>
          </c:val>
          <c:extLst>
            <c:ext xmlns:c16="http://schemas.microsoft.com/office/drawing/2014/chart" uri="{C3380CC4-5D6E-409C-BE32-E72D297353CC}">
              <c16:uniqueId val="{00000001-ECFE-45F9-B863-63B959EEA702}"/>
            </c:ext>
          </c:extLst>
        </c:ser>
        <c:ser>
          <c:idx val="8"/>
          <c:order val="2"/>
          <c:tx>
            <c:v>National 75th Percentile</c:v>
          </c:tx>
          <c:spPr>
            <a:solidFill>
              <a:srgbClr val="C0C0C0"/>
            </a:solidFill>
            <a:ln w="25400">
              <a:noFill/>
            </a:ln>
          </c:spPr>
          <c:invertIfNegative val="0"/>
          <c:cat>
            <c:numLit>
              <c:formatCode>General</c:formatCode>
              <c:ptCount val="7"/>
            </c:numLit>
          </c:cat>
          <c:val>
            <c:numLit>
              <c:formatCode>General</c:formatCode>
              <c:ptCount val="7"/>
              <c:pt idx="0">
                <c:v>0.71428571428571452</c:v>
              </c:pt>
              <c:pt idx="1">
                <c:v>0.6428571428571429</c:v>
              </c:pt>
              <c:pt idx="2">
                <c:v>0.68181818181818177</c:v>
              </c:pt>
              <c:pt idx="3">
                <c:v>0.75000000000000022</c:v>
              </c:pt>
              <c:pt idx="4">
                <c:v>0.71428571428571452</c:v>
              </c:pt>
              <c:pt idx="5">
                <c:v>0.66666666666666663</c:v>
              </c:pt>
              <c:pt idx="6">
                <c:v>0.6875</c:v>
              </c:pt>
            </c:numLit>
          </c:val>
          <c:extLst>
            <c:ext xmlns:c16="http://schemas.microsoft.com/office/drawing/2014/chart" uri="{C3380CC4-5D6E-409C-BE32-E72D297353CC}">
              <c16:uniqueId val="{00000002-ECFE-45F9-B863-63B959EEA702}"/>
            </c:ext>
          </c:extLst>
        </c:ser>
        <c:ser>
          <c:idx val="6"/>
          <c:order val="4"/>
          <c:tx>
            <c:v>National 25th Percentile</c:v>
          </c:tx>
          <c:spPr>
            <a:pattFill prst="pct50">
              <a:fgClr>
                <a:srgbClr val="C0C0C0"/>
              </a:fgClr>
              <a:bgClr>
                <a:srgbClr val="FFFFFF"/>
              </a:bgClr>
            </a:pattFill>
            <a:ln w="25400">
              <a:noFill/>
            </a:ln>
          </c:spPr>
          <c:invertIfNegative val="0"/>
          <c:cat>
            <c:numLit>
              <c:formatCode>General</c:formatCode>
              <c:ptCount val="7"/>
            </c:numLit>
          </c:cat>
          <c:val>
            <c:numLit>
              <c:formatCode>General</c:formatCode>
              <c:ptCount val="7"/>
              <c:pt idx="0">
                <c:v>0.28571428571428586</c:v>
              </c:pt>
              <c:pt idx="1">
                <c:v>0.28571428571428586</c:v>
              </c:pt>
              <c:pt idx="2">
                <c:v>0.31818181818181834</c:v>
              </c:pt>
              <c:pt idx="3">
                <c:v>0.35000000000000009</c:v>
              </c:pt>
              <c:pt idx="4">
                <c:v>0.35714285714285737</c:v>
              </c:pt>
              <c:pt idx="5">
                <c:v>0.29166666666666685</c:v>
              </c:pt>
              <c:pt idx="6">
                <c:v>0.15625000000000006</c:v>
              </c:pt>
            </c:numLit>
          </c:val>
          <c:extLst>
            <c:ext xmlns:c16="http://schemas.microsoft.com/office/drawing/2014/chart" uri="{C3380CC4-5D6E-409C-BE32-E72D297353CC}">
              <c16:uniqueId val="{00000003-ECFE-45F9-B863-63B959EEA702}"/>
            </c:ext>
          </c:extLst>
        </c:ser>
        <c:ser>
          <c:idx val="5"/>
          <c:order val="5"/>
          <c:tx>
            <c:v>#REF!</c:v>
          </c:tx>
          <c:spPr>
            <a:pattFill prst="pct25">
              <a:fgClr>
                <a:srgbClr val="C0C0C0"/>
              </a:fgClr>
              <a:bgClr>
                <a:srgbClr val="FFFFFF"/>
              </a:bgClr>
            </a:pattFill>
            <a:ln w="25400">
              <a:noFill/>
            </a:ln>
          </c:spPr>
          <c:invertIfNegative val="0"/>
          <c:cat>
            <c:numLit>
              <c:formatCode>General</c:formatCode>
              <c:ptCount val="7"/>
            </c:numLit>
          </c:cat>
          <c:val>
            <c:numLit>
              <c:formatCode>General</c:formatCode>
              <c:ptCount val="1"/>
              <c:pt idx="0">
                <c:v>1</c:v>
              </c:pt>
            </c:numLit>
          </c:val>
          <c:extLst>
            <c:ext xmlns:c16="http://schemas.microsoft.com/office/drawing/2014/chart" uri="{C3380CC4-5D6E-409C-BE32-E72D297353CC}">
              <c16:uniqueId val="{00000004-ECFE-45F9-B863-63B959EEA702}"/>
            </c:ext>
          </c:extLst>
        </c:ser>
        <c:dLbls>
          <c:showLegendKey val="0"/>
          <c:showVal val="0"/>
          <c:showCatName val="0"/>
          <c:showSerName val="0"/>
          <c:showPercent val="0"/>
          <c:showBubbleSize val="0"/>
        </c:dLbls>
        <c:gapWidth val="400"/>
        <c:overlap val="100"/>
        <c:axId val="526524792"/>
        <c:axId val="526525184"/>
      </c:barChart>
      <c:lineChart>
        <c:grouping val="standard"/>
        <c:varyColors val="0"/>
        <c:ser>
          <c:idx val="7"/>
          <c:order val="3"/>
          <c:tx>
            <c:v>National Average</c:v>
          </c:tx>
          <c:spPr>
            <a:ln w="28575">
              <a:noFill/>
            </a:ln>
          </c:spPr>
          <c:marker>
            <c:symbol val="dash"/>
            <c:size val="2"/>
            <c:spPr>
              <a:noFill/>
              <a:ln>
                <a:solidFill>
                  <a:srgbClr val="808080"/>
                </a:solidFill>
                <a:prstDash val="solid"/>
              </a:ln>
            </c:spPr>
          </c:marker>
          <c:errBars>
            <c:errDir val="y"/>
            <c:errBarType val="both"/>
            <c:errValType val="percentage"/>
            <c:noEndCap val="0"/>
            <c:val val="0.1"/>
            <c:spPr>
              <a:ln w="12700">
                <a:solidFill>
                  <a:srgbClr val="808080"/>
                </a:solidFill>
                <a:prstDash val="solid"/>
              </a:ln>
            </c:spPr>
          </c:errBars>
          <c:cat>
            <c:numLit>
              <c:formatCode>General</c:formatCode>
              <c:ptCount val="7"/>
            </c:numLit>
          </c:cat>
          <c:val>
            <c:numLit>
              <c:formatCode>General</c:formatCode>
              <c:ptCount val="7"/>
              <c:pt idx="0">
                <c:v>0.5</c:v>
              </c:pt>
              <c:pt idx="1">
                <c:v>0.5</c:v>
              </c:pt>
              <c:pt idx="2">
                <c:v>0.5</c:v>
              </c:pt>
              <c:pt idx="3">
                <c:v>0.5</c:v>
              </c:pt>
              <c:pt idx="4">
                <c:v>0.5</c:v>
              </c:pt>
              <c:pt idx="5">
                <c:v>0.5</c:v>
              </c:pt>
              <c:pt idx="6">
                <c:v>0.5</c:v>
              </c:pt>
            </c:numLit>
          </c:val>
          <c:smooth val="0"/>
          <c:extLst>
            <c:ext xmlns:c16="http://schemas.microsoft.com/office/drawing/2014/chart" uri="{C3380CC4-5D6E-409C-BE32-E72D297353CC}">
              <c16:uniqueId val="{00000005-ECFE-45F9-B863-63B959EEA702}"/>
            </c:ext>
          </c:extLst>
        </c:ser>
        <c:ser>
          <c:idx val="4"/>
          <c:order val="6"/>
          <c:tx>
            <c:v>National Minimum</c:v>
          </c:tx>
          <c:spPr>
            <a:ln w="28575">
              <a:noFill/>
            </a:ln>
          </c:spPr>
          <c:marker>
            <c:symbol val="none"/>
          </c:marker>
          <c:cat>
            <c:numLit>
              <c:formatCode>General</c:formatCode>
              <c:ptCount val="7"/>
            </c:numLit>
          </c:cat>
          <c:val>
            <c:numLit>
              <c:formatCode>General</c:formatCode>
              <c:ptCount val="7"/>
              <c:pt idx="0">
                <c:v>0</c:v>
              </c:pt>
              <c:pt idx="1">
                <c:v>0</c:v>
              </c:pt>
              <c:pt idx="2">
                <c:v>9.0909090909090981E-2</c:v>
              </c:pt>
              <c:pt idx="3">
                <c:v>0.1</c:v>
              </c:pt>
              <c:pt idx="4">
                <c:v>0.14285714285714293</c:v>
              </c:pt>
              <c:pt idx="5">
                <c:v>0.16666666666666666</c:v>
              </c:pt>
              <c:pt idx="6">
                <c:v>0</c:v>
              </c:pt>
            </c:numLit>
          </c:val>
          <c:smooth val="0"/>
          <c:extLst>
            <c:ext xmlns:c16="http://schemas.microsoft.com/office/drawing/2014/chart" uri="{C3380CC4-5D6E-409C-BE32-E72D297353CC}">
              <c16:uniqueId val="{00000006-ECFE-45F9-B863-63B959EEA702}"/>
            </c:ext>
          </c:extLst>
        </c:ser>
        <c:ser>
          <c:idx val="0"/>
          <c:order val="7"/>
          <c:tx>
            <c:v>Statistic</c:v>
          </c:tx>
          <c:spPr>
            <a:ln w="28575">
              <a:noFill/>
            </a:ln>
          </c:spPr>
          <c:marker>
            <c:symbol val="circle"/>
            <c:size val="6"/>
            <c:spPr>
              <a:solidFill>
                <a:srgbClr val="000000"/>
              </a:solidFill>
              <a:ln>
                <a:solidFill>
                  <a:srgbClr val="000000"/>
                </a:solidFill>
                <a:prstDash val="solid"/>
              </a:ln>
            </c:spPr>
          </c:marker>
          <c:errBars>
            <c:errDir val="y"/>
            <c:errBarType val="both"/>
            <c:errValType val="percentage"/>
            <c:noEndCap val="0"/>
            <c:val val="0.1"/>
            <c:spPr>
              <a:ln w="12700">
                <a:solidFill>
                  <a:srgbClr val="333333"/>
                </a:solidFill>
                <a:prstDash val="solid"/>
              </a:ln>
            </c:spPr>
          </c:errBars>
          <c:cat>
            <c:numLit>
              <c:formatCode>General</c:formatCode>
              <c:ptCount val="7"/>
            </c:numLit>
          </c:cat>
          <c:val>
            <c:numLit>
              <c:formatCode>General</c:formatCode>
              <c:ptCount val="7"/>
              <c:pt idx="0">
                <c:v>0.64999999999999991</c:v>
              </c:pt>
              <c:pt idx="1">
                <c:v>0.6428571428571429</c:v>
              </c:pt>
              <c:pt idx="2">
                <c:v>0.62636363636363679</c:v>
              </c:pt>
              <c:pt idx="3">
                <c:v>0.53099999999999992</c:v>
              </c:pt>
              <c:pt idx="4">
                <c:v>0.56999999999999995</c:v>
              </c:pt>
              <c:pt idx="5">
                <c:v>0.36666666666666686</c:v>
              </c:pt>
              <c:pt idx="6">
                <c:v>0.26250000000000001</c:v>
              </c:pt>
            </c:numLit>
          </c:val>
          <c:smooth val="0"/>
          <c:extLst>
            <c:ext xmlns:c16="http://schemas.microsoft.com/office/drawing/2014/chart" uri="{C3380CC4-5D6E-409C-BE32-E72D297353CC}">
              <c16:uniqueId val="{00000007-ECFE-45F9-B863-63B959EEA702}"/>
            </c:ext>
          </c:extLst>
        </c:ser>
        <c:ser>
          <c:idx val="11"/>
          <c:order val="8"/>
          <c:tx>
            <c:v>Statistically Significantly Low</c:v>
          </c:tx>
          <c:spPr>
            <a:ln w="28575">
              <a:noFill/>
            </a:ln>
          </c:spPr>
          <c:marker>
            <c:symbol val="circle"/>
            <c:size val="6"/>
            <c:spPr>
              <a:solidFill>
                <a:srgbClr val="800080"/>
              </a:solidFill>
              <a:ln>
                <a:solidFill>
                  <a:srgbClr val="800080"/>
                </a:solidFill>
                <a:prstDash val="solid"/>
              </a:ln>
            </c:spPr>
          </c:marker>
          <c:errBars>
            <c:errDir val="y"/>
            <c:errBarType val="both"/>
            <c:errValType val="percentage"/>
            <c:noEndCap val="0"/>
            <c:val val="0.1"/>
            <c:spPr>
              <a:ln w="12700">
                <a:solidFill>
                  <a:srgbClr val="800080"/>
                </a:solidFill>
                <a:prstDash val="solid"/>
              </a:ln>
            </c:spPr>
          </c:errBars>
          <c:cat>
            <c:numLit>
              <c:formatCode>General</c:formatCode>
              <c:ptCount val="7"/>
            </c:numLit>
          </c:cat>
          <c:val>
            <c:numLit>
              <c:formatCode>General</c:formatCode>
              <c:ptCount val="7"/>
              <c:pt idx="0">
                <c:v>-999</c:v>
              </c:pt>
              <c:pt idx="1">
                <c:v>-999</c:v>
              </c:pt>
              <c:pt idx="2">
                <c:v>-999</c:v>
              </c:pt>
              <c:pt idx="3">
                <c:v>-999</c:v>
              </c:pt>
              <c:pt idx="4">
                <c:v>-999</c:v>
              </c:pt>
              <c:pt idx="5">
                <c:v>-999</c:v>
              </c:pt>
              <c:pt idx="6">
                <c:v>0.26250000000000001</c:v>
              </c:pt>
            </c:numLit>
          </c:val>
          <c:smooth val="0"/>
          <c:extLst>
            <c:ext xmlns:c16="http://schemas.microsoft.com/office/drawing/2014/chart" uri="{C3380CC4-5D6E-409C-BE32-E72D297353CC}">
              <c16:uniqueId val="{00000008-ECFE-45F9-B863-63B959EEA702}"/>
            </c:ext>
          </c:extLst>
        </c:ser>
        <c:ser>
          <c:idx val="12"/>
          <c:order val="9"/>
          <c:tx>
            <c:v>Statistically Significantly High</c:v>
          </c:tx>
          <c:spPr>
            <a:ln w="28575">
              <a:noFill/>
            </a:ln>
          </c:spPr>
          <c:marker>
            <c:symbol val="circle"/>
            <c:size val="6"/>
            <c:spPr>
              <a:solidFill>
                <a:srgbClr val="0000FF"/>
              </a:solidFill>
              <a:ln>
                <a:solidFill>
                  <a:srgbClr val="0000FF"/>
                </a:solidFill>
                <a:prstDash val="solid"/>
              </a:ln>
            </c:spPr>
          </c:marker>
          <c:errBars>
            <c:errDir val="y"/>
            <c:errBarType val="both"/>
            <c:errValType val="percentage"/>
            <c:noEndCap val="0"/>
            <c:val val="0.1"/>
            <c:spPr>
              <a:ln w="12700">
                <a:solidFill>
                  <a:srgbClr val="000080"/>
                </a:solidFill>
                <a:prstDash val="solid"/>
              </a:ln>
            </c:spPr>
          </c:errBars>
          <c:cat>
            <c:numLit>
              <c:formatCode>General</c:formatCode>
              <c:ptCount val="7"/>
            </c:numLit>
          </c:cat>
          <c:val>
            <c:numLit>
              <c:formatCode>General</c:formatCode>
              <c:ptCount val="7"/>
              <c:pt idx="0">
                <c:v>0.64999999999999991</c:v>
              </c:pt>
              <c:pt idx="1">
                <c:v>0.6428571428571429</c:v>
              </c:pt>
              <c:pt idx="2">
                <c:v>0.62636363636363679</c:v>
              </c:pt>
              <c:pt idx="3">
                <c:v>-999</c:v>
              </c:pt>
              <c:pt idx="4">
                <c:v>0.56999999999999995</c:v>
              </c:pt>
              <c:pt idx="5">
                <c:v>-999</c:v>
              </c:pt>
              <c:pt idx="6">
                <c:v>-999</c:v>
              </c:pt>
            </c:numLit>
          </c:val>
          <c:smooth val="0"/>
          <c:extLst>
            <c:ext xmlns:c16="http://schemas.microsoft.com/office/drawing/2014/chart" uri="{C3380CC4-5D6E-409C-BE32-E72D297353CC}">
              <c16:uniqueId val="{00000009-ECFE-45F9-B863-63B959EEA702}"/>
            </c:ext>
          </c:extLst>
        </c:ser>
        <c:dLbls>
          <c:showLegendKey val="0"/>
          <c:showVal val="0"/>
          <c:showCatName val="0"/>
          <c:showSerName val="0"/>
          <c:showPercent val="0"/>
          <c:showBubbleSize val="0"/>
        </c:dLbls>
        <c:marker val="1"/>
        <c:smooth val="0"/>
        <c:axId val="526524792"/>
        <c:axId val="526525184"/>
      </c:lineChart>
      <c:catAx>
        <c:axId val="526524792"/>
        <c:scaling>
          <c:orientation val="maxMin"/>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526525184"/>
        <c:crosses val="autoZero"/>
        <c:auto val="1"/>
        <c:lblAlgn val="ctr"/>
        <c:lblOffset val="100"/>
        <c:tickLblSkip val="1"/>
        <c:tickMarkSkip val="1"/>
        <c:noMultiLvlLbl val="0"/>
      </c:catAx>
      <c:valAx>
        <c:axId val="526525184"/>
        <c:scaling>
          <c:orientation val="minMax"/>
          <c:max val="1"/>
          <c:min val="0"/>
        </c:scaling>
        <c:delete val="0"/>
        <c:axPos val="r"/>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FFFFFF"/>
                </a:solidFill>
                <a:latin typeface="Arial"/>
                <a:ea typeface="Arial"/>
                <a:cs typeface="Arial"/>
              </a:defRPr>
            </a:pPr>
            <a:endParaRPr lang="en-US"/>
          </a:p>
        </c:txPr>
        <c:crossAx val="526524792"/>
        <c:crosses val="autoZero"/>
        <c:crossBetween val="between"/>
        <c:majorUnit val="1"/>
      </c:valAx>
      <c:spPr>
        <a:noFill/>
        <a:ln w="3175">
          <a:solidFill>
            <a:srgbClr val="000000"/>
          </a:solidFill>
          <a:prstDash val="solid"/>
        </a:ln>
      </c:spPr>
    </c:plotArea>
    <c:plotVisOnly val="1"/>
    <c:dispBlanksAs val="gap"/>
    <c:showDLblsOverMax val="0"/>
  </c:chart>
  <c:spPr>
    <a:no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4164305949008504E-2"/>
          <c:y val="9.5327709871757607E-3"/>
          <c:w val="0.96317280453257814"/>
          <c:h val="0.96542510120431413"/>
        </c:manualLayout>
      </c:layout>
      <c:barChart>
        <c:barDir val="bar"/>
        <c:grouping val="clustered"/>
        <c:varyColors val="0"/>
        <c:ser>
          <c:idx val="10"/>
          <c:order val="0"/>
          <c:tx>
            <c:strRef>
              <c:f>Calculation!$AE$86</c:f>
              <c:strCache>
                <c:ptCount val="1"/>
                <c:pt idx="0">
                  <c:v>Best</c:v>
                </c:pt>
              </c:strCache>
            </c:strRef>
          </c:tx>
          <c:spPr>
            <a:solidFill>
              <a:srgbClr val="C0C0C0"/>
            </a:solidFill>
            <a:ln w="25400">
              <a:noFill/>
            </a:ln>
          </c:spPr>
          <c:invertIfNegative val="0"/>
          <c:cat>
            <c:strRef>
              <c:f>Calculation!$V$86:$V$152</c:f>
              <c:strCache>
                <c:ptCount val="1"/>
                <c:pt idx="0">
                  <c:v>-</c:v>
                </c:pt>
              </c:strCache>
            </c:strRef>
          </c:cat>
          <c:val>
            <c:numRef>
              <c:f>Calculation!$AE$87:$AE$152</c:f>
              <c:numCache>
                <c:formatCode>0.00</c:formatCode>
                <c:ptCount val="66"/>
                <c:pt idx="1">
                  <c:v>0.78516670342650796</c:v>
                </c:pt>
                <c:pt idx="2">
                  <c:v>0.73939545835946863</c:v>
                </c:pt>
                <c:pt idx="3">
                  <c:v>1</c:v>
                </c:pt>
                <c:pt idx="4">
                  <c:v>0.84437634970083164</c:v>
                </c:pt>
                <c:pt idx="5">
                  <c:v>0.94838736778542421</c:v>
                </c:pt>
                <c:pt idx="6">
                  <c:v>0.78166261424026218</c:v>
                </c:pt>
                <c:pt idx="7">
                  <c:v>0.7379371657885212</c:v>
                </c:pt>
                <c:pt idx="8">
                  <c:v>1</c:v>
                </c:pt>
                <c:pt idx="9">
                  <c:v>0.95714345809968815</c:v>
                </c:pt>
                <c:pt idx="10">
                  <c:v>0.72795438215985941</c:v>
                </c:pt>
                <c:pt idx="11">
                  <c:v>0.84246105727158405</c:v>
                </c:pt>
                <c:pt idx="12">
                  <c:v>0.86668172901229257</c:v>
                </c:pt>
                <c:pt idx="13">
                  <c:v>1</c:v>
                </c:pt>
                <c:pt idx="14">
                  <c:v>1</c:v>
                </c:pt>
                <c:pt idx="15">
                  <c:v>0.90061611703144273</c:v>
                </c:pt>
                <c:pt idx="16">
                  <c:v>0.94318271130013254</c:v>
                </c:pt>
                <c:pt idx="17">
                  <c:v>1</c:v>
                </c:pt>
                <c:pt idx="18">
                  <c:v>0.92877409028659608</c:v>
                </c:pt>
                <c:pt idx="19">
                  <c:v>0.75348697642500495</c:v>
                </c:pt>
                <c:pt idx="20">
                  <c:v>1</c:v>
                </c:pt>
                <c:pt idx="21">
                  <c:v>1</c:v>
                </c:pt>
                <c:pt idx="22">
                  <c:v>1</c:v>
                </c:pt>
                <c:pt idx="23">
                  <c:v>0.92346086079848477</c:v>
                </c:pt>
                <c:pt idx="24">
                  <c:v>1</c:v>
                </c:pt>
                <c:pt idx="25">
                  <c:v>0.9779680197483217</c:v>
                </c:pt>
                <c:pt idx="26">
                  <c:v>0.93225262743836723</c:v>
                </c:pt>
                <c:pt idx="27">
                  <c:v>1</c:v>
                </c:pt>
                <c:pt idx="28">
                  <c:v>0.89845584533843259</c:v>
                </c:pt>
                <c:pt idx="29">
                  <c:v>0.81029615258303844</c:v>
                </c:pt>
                <c:pt idx="30">
                  <c:v>0.56928874941258922</c:v>
                </c:pt>
                <c:pt idx="31">
                  <c:v>1</c:v>
                </c:pt>
                <c:pt idx="32">
                  <c:v>1</c:v>
                </c:pt>
                <c:pt idx="33">
                  <c:v>0.95011468790948972</c:v>
                </c:pt>
                <c:pt idx="34">
                  <c:v>0.8557216709081169</c:v>
                </c:pt>
                <c:pt idx="35">
                  <c:v>0.94780777692956686</c:v>
                </c:pt>
                <c:pt idx="36">
                  <c:v>0.63027704687965469</c:v>
                </c:pt>
                <c:pt idx="37">
                  <c:v>1</c:v>
                </c:pt>
                <c:pt idx="38">
                  <c:v>1</c:v>
                </c:pt>
                <c:pt idx="39">
                  <c:v>0.79051785518135342</c:v>
                </c:pt>
                <c:pt idx="40">
                  <c:v>1</c:v>
                </c:pt>
                <c:pt idx="41">
                  <c:v>0.90572736353378935</c:v>
                </c:pt>
                <c:pt idx="42">
                  <c:v>0.90361840535203819</c:v>
                </c:pt>
                <c:pt idx="43">
                  <c:v>1</c:v>
                </c:pt>
                <c:pt idx="44">
                  <c:v>1</c:v>
                </c:pt>
                <c:pt idx="45">
                  <c:v>1</c:v>
                </c:pt>
                <c:pt idx="46">
                  <c:v>0.70351645548858333</c:v>
                </c:pt>
                <c:pt idx="47">
                  <c:v>1</c:v>
                </c:pt>
                <c:pt idx="48">
                  <c:v>0.87490473586292572</c:v>
                </c:pt>
                <c:pt idx="49">
                  <c:v>1</c:v>
                </c:pt>
                <c:pt idx="50">
                  <c:v>0.86526555230873547</c:v>
                </c:pt>
                <c:pt idx="51">
                  <c:v>0.84132971642581023</c:v>
                </c:pt>
                <c:pt idx="52">
                  <c:v>1</c:v>
                </c:pt>
                <c:pt idx="53">
                  <c:v>1</c:v>
                </c:pt>
                <c:pt idx="54">
                  <c:v>1</c:v>
                </c:pt>
                <c:pt idx="55">
                  <c:v>1</c:v>
                </c:pt>
                <c:pt idx="56">
                  <c:v>0.87004140954800657</c:v>
                </c:pt>
                <c:pt idx="57">
                  <c:v>0.77302518948187082</c:v>
                </c:pt>
                <c:pt idx="58">
                  <c:v>0.62638673627160246</c:v>
                </c:pt>
                <c:pt idx="59">
                  <c:v>1</c:v>
                </c:pt>
                <c:pt idx="60">
                  <c:v>1</c:v>
                </c:pt>
                <c:pt idx="61">
                  <c:v>0.82758788178578124</c:v>
                </c:pt>
                <c:pt idx="62">
                  <c:v>0.99508251404666404</c:v>
                </c:pt>
                <c:pt idx="63">
                  <c:v>0.72874904789005979</c:v>
                </c:pt>
                <c:pt idx="64">
                  <c:v>0.98037927911757705</c:v>
                </c:pt>
                <c:pt idx="65">
                  <c:v>0.7012310382741942</c:v>
                </c:pt>
              </c:numCache>
            </c:numRef>
          </c:val>
          <c:extLst>
            <c:ext xmlns:c16="http://schemas.microsoft.com/office/drawing/2014/chart" uri="{C3380CC4-5D6E-409C-BE32-E72D297353CC}">
              <c16:uniqueId val="{00000000-280D-40FD-907A-A5A43F6C5389}"/>
            </c:ext>
          </c:extLst>
        </c:ser>
        <c:ser>
          <c:idx val="8"/>
          <c:order val="1"/>
          <c:tx>
            <c:strRef>
              <c:f>Calculation!$AD$86</c:f>
              <c:strCache>
                <c:ptCount val="1"/>
                <c:pt idx="0">
                  <c:v>Top quartile</c:v>
                </c:pt>
              </c:strCache>
            </c:strRef>
          </c:tx>
          <c:spPr>
            <a:solidFill>
              <a:srgbClr val="969696"/>
            </a:solidFill>
            <a:ln w="25400">
              <a:noFill/>
            </a:ln>
          </c:spPr>
          <c:invertIfNegative val="0"/>
          <c:cat>
            <c:strRef>
              <c:f>Calculation!$V$86:$V$152</c:f>
              <c:strCache>
                <c:ptCount val="1"/>
                <c:pt idx="0">
                  <c:v>-</c:v>
                </c:pt>
              </c:strCache>
            </c:strRef>
          </c:cat>
          <c:val>
            <c:numRef>
              <c:f>Calculation!$AD$87:$AD$152</c:f>
              <c:numCache>
                <c:formatCode>0.00</c:formatCode>
                <c:ptCount val="66"/>
                <c:pt idx="1">
                  <c:v>0.58277757844948119</c:v>
                </c:pt>
                <c:pt idx="2">
                  <c:v>0.59299130332670147</c:v>
                </c:pt>
                <c:pt idx="3">
                  <c:v>0.53864839522709196</c:v>
                </c:pt>
                <c:pt idx="4">
                  <c:v>0.69551465245291233</c:v>
                </c:pt>
                <c:pt idx="5">
                  <c:v>0.79920175393896042</c:v>
                </c:pt>
                <c:pt idx="6">
                  <c:v>0.76430368001256932</c:v>
                </c:pt>
                <c:pt idx="7">
                  <c:v>0.68462716874313567</c:v>
                </c:pt>
                <c:pt idx="8">
                  <c:v>0.61118592443704312</c:v>
                </c:pt>
                <c:pt idx="9">
                  <c:v>0.67710617181570065</c:v>
                </c:pt>
                <c:pt idx="10">
                  <c:v>0.56166563849871221</c:v>
                </c:pt>
                <c:pt idx="11">
                  <c:v>0.54255979726962744</c:v>
                </c:pt>
                <c:pt idx="12">
                  <c:v>0.58693171140776679</c:v>
                </c:pt>
                <c:pt idx="13">
                  <c:v>0.62987798569548892</c:v>
                </c:pt>
                <c:pt idx="14">
                  <c:v>0.47433372934795082</c:v>
                </c:pt>
                <c:pt idx="15">
                  <c:v>0.59226911317278674</c:v>
                </c:pt>
                <c:pt idx="16">
                  <c:v>0.59484964310446409</c:v>
                </c:pt>
                <c:pt idx="17">
                  <c:v>0.63567131223016948</c:v>
                </c:pt>
                <c:pt idx="18">
                  <c:v>0.65481550236403296</c:v>
                </c:pt>
                <c:pt idx="19">
                  <c:v>0.60076799063734865</c:v>
                </c:pt>
                <c:pt idx="20">
                  <c:v>0.59039793850412192</c:v>
                </c:pt>
                <c:pt idx="21">
                  <c:v>0.57320615498135918</c:v>
                </c:pt>
                <c:pt idx="22">
                  <c:v>0.60066519694853948</c:v>
                </c:pt>
                <c:pt idx="23">
                  <c:v>0.67511545330568901</c:v>
                </c:pt>
                <c:pt idx="24">
                  <c:v>0.59755917828640903</c:v>
                </c:pt>
                <c:pt idx="25">
                  <c:v>0.75577955571081346</c:v>
                </c:pt>
                <c:pt idx="26">
                  <c:v>0.59628251401811649</c:v>
                </c:pt>
                <c:pt idx="27">
                  <c:v>0.81621743934660151</c:v>
                </c:pt>
                <c:pt idx="28">
                  <c:v>0.59959661041682466</c:v>
                </c:pt>
                <c:pt idx="29">
                  <c:v>0.58251436422182146</c:v>
                </c:pt>
                <c:pt idx="30">
                  <c:v>0.55607673527336943</c:v>
                </c:pt>
                <c:pt idx="31">
                  <c:v>0.68195214568477847</c:v>
                </c:pt>
                <c:pt idx="32">
                  <c:v>0.56875211742642939</c:v>
                </c:pt>
                <c:pt idx="33">
                  <c:v>0.7223437667268906</c:v>
                </c:pt>
                <c:pt idx="34">
                  <c:v>0.61834320754451177</c:v>
                </c:pt>
                <c:pt idx="35">
                  <c:v>0.70595982380954403</c:v>
                </c:pt>
                <c:pt idx="36">
                  <c:v>0.54116625711810151</c:v>
                </c:pt>
                <c:pt idx="37">
                  <c:v>0.6822183421264042</c:v>
                </c:pt>
                <c:pt idx="38">
                  <c:v>0.70044712823452948</c:v>
                </c:pt>
                <c:pt idx="39">
                  <c:v>0.67622165620500085</c:v>
                </c:pt>
                <c:pt idx="40">
                  <c:v>0.57342303769639835</c:v>
                </c:pt>
                <c:pt idx="41">
                  <c:v>0.62035198973653949</c:v>
                </c:pt>
                <c:pt idx="42">
                  <c:v>0.62864723331453032</c:v>
                </c:pt>
                <c:pt idx="43">
                  <c:v>0.73114033373080978</c:v>
                </c:pt>
                <c:pt idx="44">
                  <c:v>0.86333467090997207</c:v>
                </c:pt>
                <c:pt idx="45">
                  <c:v>0.79207279166361944</c:v>
                </c:pt>
                <c:pt idx="46">
                  <c:v>0.63136531496772696</c:v>
                </c:pt>
                <c:pt idx="47">
                  <c:v>0.56706392644080783</c:v>
                </c:pt>
                <c:pt idx="48">
                  <c:v>0.58902851523002586</c:v>
                </c:pt>
                <c:pt idx="49">
                  <c:v>0.5880410878735487</c:v>
                </c:pt>
                <c:pt idx="50">
                  <c:v>0.50341580740102898</c:v>
                </c:pt>
                <c:pt idx="51">
                  <c:v>0.63566341574018592</c:v>
                </c:pt>
                <c:pt idx="52">
                  <c:v>0.63959282648355387</c:v>
                </c:pt>
                <c:pt idx="53">
                  <c:v>0.57383690678146171</c:v>
                </c:pt>
                <c:pt idx="54">
                  <c:v>0.76490742395807532</c:v>
                </c:pt>
                <c:pt idx="55">
                  <c:v>0.63513527437533945</c:v>
                </c:pt>
                <c:pt idx="56">
                  <c:v>0.58566014394802268</c:v>
                </c:pt>
                <c:pt idx="57">
                  <c:v>0.52827938600819735</c:v>
                </c:pt>
                <c:pt idx="58">
                  <c:v>0.51732363697837669</c:v>
                </c:pt>
                <c:pt idx="59">
                  <c:v>0.5385776685069037</c:v>
                </c:pt>
                <c:pt idx="60">
                  <c:v>0.64539300358029672</c:v>
                </c:pt>
                <c:pt idx="61">
                  <c:v>0.6320461076163848</c:v>
                </c:pt>
                <c:pt idx="62">
                  <c:v>0.84101125999916193</c:v>
                </c:pt>
                <c:pt idx="63">
                  <c:v>0.66308832929365302</c:v>
                </c:pt>
                <c:pt idx="64">
                  <c:v>0.63551319114809368</c:v>
                </c:pt>
                <c:pt idx="65">
                  <c:v>0.59173997192527406</c:v>
                </c:pt>
              </c:numCache>
            </c:numRef>
          </c:val>
          <c:extLst>
            <c:ext xmlns:c16="http://schemas.microsoft.com/office/drawing/2014/chart" uri="{C3380CC4-5D6E-409C-BE32-E72D297353CC}">
              <c16:uniqueId val="{00000001-280D-40FD-907A-A5A43F6C5389}"/>
            </c:ext>
          </c:extLst>
        </c:ser>
        <c:ser>
          <c:idx val="6"/>
          <c:order val="3"/>
          <c:tx>
            <c:strRef>
              <c:f>Calculation!$AB$86</c:f>
              <c:strCache>
                <c:ptCount val="1"/>
                <c:pt idx="0">
                  <c:v>Bottom quartile</c:v>
                </c:pt>
              </c:strCache>
            </c:strRef>
          </c:tx>
          <c:spPr>
            <a:solidFill>
              <a:srgbClr val="C0C0C0"/>
            </a:solidFill>
            <a:ln w="25400">
              <a:noFill/>
            </a:ln>
          </c:spPr>
          <c:invertIfNegative val="0"/>
          <c:cat>
            <c:strRef>
              <c:f>Calculation!$V$86:$V$152</c:f>
              <c:strCache>
                <c:ptCount val="1"/>
                <c:pt idx="0">
                  <c:v>-</c:v>
                </c:pt>
              </c:strCache>
            </c:strRef>
          </c:cat>
          <c:val>
            <c:numRef>
              <c:f>Calculation!$AB$87:$AB$152</c:f>
              <c:numCache>
                <c:formatCode>0.00</c:formatCode>
                <c:ptCount val="66"/>
                <c:pt idx="1">
                  <c:v>0.42091958488299275</c:v>
                </c:pt>
                <c:pt idx="2">
                  <c:v>0.45441138125612907</c:v>
                </c:pt>
                <c:pt idx="3">
                  <c:v>0.38989181038536042</c:v>
                </c:pt>
                <c:pt idx="4">
                  <c:v>0.37851206032247886</c:v>
                </c:pt>
                <c:pt idx="5">
                  <c:v>0.45970550507687169</c:v>
                </c:pt>
                <c:pt idx="6">
                  <c:v>0.29302493359993809</c:v>
                </c:pt>
                <c:pt idx="7">
                  <c:v>0.33428184001461608</c:v>
                </c:pt>
                <c:pt idx="8">
                  <c:v>0.46940311852337518</c:v>
                </c:pt>
                <c:pt idx="9">
                  <c:v>0.40706386832225</c:v>
                </c:pt>
                <c:pt idx="10">
                  <c:v>0.43436334269777238</c:v>
                </c:pt>
                <c:pt idx="11">
                  <c:v>0.45280653959829398</c:v>
                </c:pt>
                <c:pt idx="12">
                  <c:v>0.43743332102670535</c:v>
                </c:pt>
                <c:pt idx="13">
                  <c:v>0.38423493599362718</c:v>
                </c:pt>
                <c:pt idx="14">
                  <c:v>0.36896170193037164</c:v>
                </c:pt>
                <c:pt idx="15">
                  <c:v>0.43415071224356033</c:v>
                </c:pt>
                <c:pt idx="16">
                  <c:v>0.38296204107126447</c:v>
                </c:pt>
                <c:pt idx="17">
                  <c:v>0.32106591733694956</c:v>
                </c:pt>
                <c:pt idx="18">
                  <c:v>0.43669191010075303</c:v>
                </c:pt>
                <c:pt idx="19">
                  <c:v>0.37453530461534351</c:v>
                </c:pt>
                <c:pt idx="20">
                  <c:v>0.34676826457052423</c:v>
                </c:pt>
                <c:pt idx="21">
                  <c:v>0.37889000133285128</c:v>
                </c:pt>
                <c:pt idx="22">
                  <c:v>0.33234320925683553</c:v>
                </c:pt>
                <c:pt idx="23">
                  <c:v>0.41922476134155656</c:v>
                </c:pt>
                <c:pt idx="24">
                  <c:v>0.468553041166199</c:v>
                </c:pt>
                <c:pt idx="25">
                  <c:v>0.38250361632377378</c:v>
                </c:pt>
                <c:pt idx="26">
                  <c:v>0.3847558255488282</c:v>
                </c:pt>
                <c:pt idx="27">
                  <c:v>0.39660979570344651</c:v>
                </c:pt>
                <c:pt idx="28">
                  <c:v>0.43793866620091454</c:v>
                </c:pt>
                <c:pt idx="29">
                  <c:v>0.42093990056936648</c:v>
                </c:pt>
                <c:pt idx="30">
                  <c:v>0.48145753691558169</c:v>
                </c:pt>
                <c:pt idx="31">
                  <c:v>0.31004831621077139</c:v>
                </c:pt>
                <c:pt idx="32">
                  <c:v>0.43814170296661625</c:v>
                </c:pt>
                <c:pt idx="33">
                  <c:v>0.29409998828417366</c:v>
                </c:pt>
                <c:pt idx="34">
                  <c:v>0.44630552499837212</c:v>
                </c:pt>
                <c:pt idx="35">
                  <c:v>0.32356101711375113</c:v>
                </c:pt>
                <c:pt idx="36">
                  <c:v>0.47093086908129389</c:v>
                </c:pt>
                <c:pt idx="37">
                  <c:v>0.40580775279201792</c:v>
                </c:pt>
                <c:pt idx="38">
                  <c:v>0.43822791828381225</c:v>
                </c:pt>
                <c:pt idx="39">
                  <c:v>0.25326961895522926</c:v>
                </c:pt>
                <c:pt idx="40">
                  <c:v>0.40754694096606092</c:v>
                </c:pt>
                <c:pt idx="41">
                  <c:v>0.39364376200927975</c:v>
                </c:pt>
                <c:pt idx="42">
                  <c:v>0.49172293514249599</c:v>
                </c:pt>
                <c:pt idx="43">
                  <c:v>0.38893767485949782</c:v>
                </c:pt>
                <c:pt idx="44">
                  <c:v>0.3069103338054725</c:v>
                </c:pt>
                <c:pt idx="45">
                  <c:v>0.35580501692340116</c:v>
                </c:pt>
                <c:pt idx="46">
                  <c:v>0.32084396702953405</c:v>
                </c:pt>
                <c:pt idx="47">
                  <c:v>0.43627509748841781</c:v>
                </c:pt>
                <c:pt idx="48">
                  <c:v>0.39000791921003031</c:v>
                </c:pt>
                <c:pt idx="49">
                  <c:v>0.42095182495069189</c:v>
                </c:pt>
                <c:pt idx="50">
                  <c:v>0.23099558934339695</c:v>
                </c:pt>
                <c:pt idx="51">
                  <c:v>0.30655632021682155</c:v>
                </c:pt>
                <c:pt idx="52">
                  <c:v>0.41861643951392097</c:v>
                </c:pt>
                <c:pt idx="53">
                  <c:v>0.42551662043215593</c:v>
                </c:pt>
                <c:pt idx="54">
                  <c:v>0.42111784617225556</c:v>
                </c:pt>
                <c:pt idx="55">
                  <c:v>0.49330264812372493</c:v>
                </c:pt>
                <c:pt idx="56">
                  <c:v>0.43857995948529543</c:v>
                </c:pt>
                <c:pt idx="57">
                  <c:v>0.46066510386266735</c:v>
                </c:pt>
                <c:pt idx="58">
                  <c:v>0.44824855753702342</c:v>
                </c:pt>
                <c:pt idx="59">
                  <c:v>0.44528628472844511</c:v>
                </c:pt>
                <c:pt idx="60">
                  <c:v>0.40605848818724993</c:v>
                </c:pt>
                <c:pt idx="61">
                  <c:v>0.34464748878203455</c:v>
                </c:pt>
                <c:pt idx="62">
                  <c:v>0.34871118287740627</c:v>
                </c:pt>
                <c:pt idx="63">
                  <c:v>0.2459937815075455</c:v>
                </c:pt>
                <c:pt idx="64">
                  <c:v>0.22624132579300307</c:v>
                </c:pt>
                <c:pt idx="65">
                  <c:v>0.46711712902431607</c:v>
                </c:pt>
              </c:numCache>
            </c:numRef>
          </c:val>
          <c:extLst>
            <c:ext xmlns:c16="http://schemas.microsoft.com/office/drawing/2014/chart" uri="{C3380CC4-5D6E-409C-BE32-E72D297353CC}">
              <c16:uniqueId val="{00000002-280D-40FD-907A-A5A43F6C5389}"/>
            </c:ext>
          </c:extLst>
        </c:ser>
        <c:ser>
          <c:idx val="4"/>
          <c:order val="4"/>
          <c:tx>
            <c:strRef>
              <c:f>Calculation!$AA$86</c:f>
              <c:strCache>
                <c:ptCount val="1"/>
                <c:pt idx="0">
                  <c:v>Worst</c:v>
                </c:pt>
              </c:strCache>
            </c:strRef>
          </c:tx>
          <c:spPr>
            <a:solidFill>
              <a:srgbClr val="FFFFFF"/>
            </a:solidFill>
            <a:ln w="25400">
              <a:noFill/>
            </a:ln>
          </c:spPr>
          <c:invertIfNegative val="0"/>
          <c:cat>
            <c:strRef>
              <c:f>Calculation!$V$86:$V$152</c:f>
              <c:strCache>
                <c:ptCount val="1"/>
                <c:pt idx="0">
                  <c:v>-</c:v>
                </c:pt>
              </c:strCache>
            </c:strRef>
          </c:cat>
          <c:val>
            <c:numRef>
              <c:f>Calculation!$AA$87:$AA$152</c:f>
              <c:numCache>
                <c:formatCode>0.00</c:formatCode>
                <c:ptCount val="66"/>
                <c:pt idx="1">
                  <c:v>0</c:v>
                </c:pt>
                <c:pt idx="2">
                  <c:v>0</c:v>
                </c:pt>
                <c:pt idx="3">
                  <c:v>0.34059168921064414</c:v>
                </c:pt>
                <c:pt idx="4">
                  <c:v>0</c:v>
                </c:pt>
                <c:pt idx="5">
                  <c:v>0</c:v>
                </c:pt>
                <c:pt idx="6">
                  <c:v>0</c:v>
                </c:pt>
                <c:pt idx="7">
                  <c:v>0</c:v>
                </c:pt>
                <c:pt idx="8">
                  <c:v>0.19182749255268841</c:v>
                </c:pt>
                <c:pt idx="9">
                  <c:v>0</c:v>
                </c:pt>
                <c:pt idx="10">
                  <c:v>0</c:v>
                </c:pt>
                <c:pt idx="11">
                  <c:v>0</c:v>
                </c:pt>
                <c:pt idx="12">
                  <c:v>0</c:v>
                </c:pt>
                <c:pt idx="13">
                  <c:v>0.21884558827709852</c:v>
                </c:pt>
                <c:pt idx="14">
                  <c:v>0.28272673433806422</c:v>
                </c:pt>
                <c:pt idx="15">
                  <c:v>0</c:v>
                </c:pt>
                <c:pt idx="16">
                  <c:v>0</c:v>
                </c:pt>
                <c:pt idx="17">
                  <c:v>0.19336431259765485</c:v>
                </c:pt>
                <c:pt idx="18">
                  <c:v>0</c:v>
                </c:pt>
                <c:pt idx="19">
                  <c:v>0</c:v>
                </c:pt>
                <c:pt idx="20">
                  <c:v>0.16923576577985922</c:v>
                </c:pt>
                <c:pt idx="21">
                  <c:v>0.2595798770669755</c:v>
                </c:pt>
                <c:pt idx="22">
                  <c:v>0.12990738394525736</c:v>
                </c:pt>
                <c:pt idx="23">
                  <c:v>0</c:v>
                </c:pt>
                <c:pt idx="24">
                  <c:v>0.11383254063936803</c:v>
                </c:pt>
                <c:pt idx="25">
                  <c:v>0</c:v>
                </c:pt>
                <c:pt idx="26">
                  <c:v>0</c:v>
                </c:pt>
                <c:pt idx="27">
                  <c:v>3.2741365786048082E-2</c:v>
                </c:pt>
                <c:pt idx="28">
                  <c:v>0</c:v>
                </c:pt>
                <c:pt idx="29">
                  <c:v>0</c:v>
                </c:pt>
                <c:pt idx="30">
                  <c:v>0</c:v>
                </c:pt>
                <c:pt idx="31">
                  <c:v>0.15295509892065576</c:v>
                </c:pt>
                <c:pt idx="32">
                  <c:v>4.530684938769082E-2</c:v>
                </c:pt>
                <c:pt idx="33">
                  <c:v>0</c:v>
                </c:pt>
                <c:pt idx="34">
                  <c:v>0</c:v>
                </c:pt>
                <c:pt idx="35">
                  <c:v>0</c:v>
                </c:pt>
                <c:pt idx="36">
                  <c:v>0</c:v>
                </c:pt>
                <c:pt idx="37">
                  <c:v>3.4090187809401165E-2</c:v>
                </c:pt>
                <c:pt idx="38">
                  <c:v>0.16319189804814466</c:v>
                </c:pt>
                <c:pt idx="39">
                  <c:v>0</c:v>
                </c:pt>
                <c:pt idx="40">
                  <c:v>0.26228035411432749</c:v>
                </c:pt>
                <c:pt idx="41">
                  <c:v>0</c:v>
                </c:pt>
                <c:pt idx="42">
                  <c:v>0</c:v>
                </c:pt>
                <c:pt idx="43">
                  <c:v>8.0452157423973839E-2</c:v>
                </c:pt>
                <c:pt idx="44">
                  <c:v>0.14705760651441577</c:v>
                </c:pt>
                <c:pt idx="45">
                  <c:v>0.11800578641482656</c:v>
                </c:pt>
                <c:pt idx="46">
                  <c:v>0</c:v>
                </c:pt>
                <c:pt idx="47">
                  <c:v>0.18466266788562591</c:v>
                </c:pt>
                <c:pt idx="48">
                  <c:v>0</c:v>
                </c:pt>
                <c:pt idx="49">
                  <c:v>0.18925855158613186</c:v>
                </c:pt>
                <c:pt idx="50">
                  <c:v>0</c:v>
                </c:pt>
                <c:pt idx="51">
                  <c:v>0</c:v>
                </c:pt>
                <c:pt idx="52">
                  <c:v>0.19292340509262848</c:v>
                </c:pt>
                <c:pt idx="53">
                  <c:v>0.18408013099703588</c:v>
                </c:pt>
                <c:pt idx="54">
                  <c:v>0.15712291615241045</c:v>
                </c:pt>
                <c:pt idx="55">
                  <c:v>0.2763974109338026</c:v>
                </c:pt>
                <c:pt idx="56">
                  <c:v>0</c:v>
                </c:pt>
                <c:pt idx="57">
                  <c:v>0</c:v>
                </c:pt>
                <c:pt idx="58">
                  <c:v>0</c:v>
                </c:pt>
                <c:pt idx="59">
                  <c:v>0.34532198427268573</c:v>
                </c:pt>
                <c:pt idx="60">
                  <c:v>0.16899866508024033</c:v>
                </c:pt>
                <c:pt idx="61">
                  <c:v>0</c:v>
                </c:pt>
                <c:pt idx="62">
                  <c:v>0</c:v>
                </c:pt>
                <c:pt idx="63">
                  <c:v>0</c:v>
                </c:pt>
                <c:pt idx="64">
                  <c:v>0</c:v>
                </c:pt>
                <c:pt idx="65">
                  <c:v>0</c:v>
                </c:pt>
              </c:numCache>
            </c:numRef>
          </c:val>
          <c:extLst>
            <c:ext xmlns:c16="http://schemas.microsoft.com/office/drawing/2014/chart" uri="{C3380CC4-5D6E-409C-BE32-E72D297353CC}">
              <c16:uniqueId val="{00000003-280D-40FD-907A-A5A43F6C5389}"/>
            </c:ext>
          </c:extLst>
        </c:ser>
        <c:dLbls>
          <c:showLegendKey val="0"/>
          <c:showVal val="0"/>
          <c:showCatName val="0"/>
          <c:showSerName val="0"/>
          <c:showPercent val="0"/>
          <c:showBubbleSize val="0"/>
        </c:dLbls>
        <c:gapWidth val="60"/>
        <c:overlap val="100"/>
        <c:axId val="526525968"/>
        <c:axId val="523287016"/>
      </c:barChart>
      <c:scatterChart>
        <c:scatterStyle val="lineMarker"/>
        <c:varyColors val="0"/>
        <c:ser>
          <c:idx val="7"/>
          <c:order val="2"/>
          <c:tx>
            <c:strRef>
              <c:f>Calculation!$AC$86</c:f>
              <c:strCache>
                <c:ptCount val="1"/>
                <c:pt idx="0">
                  <c:v>CCG Average</c:v>
                </c:pt>
              </c:strCache>
            </c:strRef>
          </c:tx>
          <c:spPr>
            <a:ln w="25400">
              <a:solidFill>
                <a:srgbClr val="FF0000"/>
              </a:solidFill>
              <a:prstDash val="solid"/>
            </a:ln>
          </c:spPr>
          <c:marker>
            <c:symbol val="square"/>
            <c:size val="2"/>
            <c:spPr>
              <a:noFill/>
              <a:ln w="9525">
                <a:noFill/>
              </a:ln>
            </c:spPr>
          </c:marker>
          <c:xVal>
            <c:numRef>
              <c:f>Calculation!$AC$87:$AC$152</c:f>
              <c:numCache>
                <c:formatCode>0.00</c:formatCode>
                <c:ptCount val="66"/>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0.5</c:v>
                </c:pt>
                <c:pt idx="35">
                  <c:v>0.5</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pt idx="55">
                  <c:v>0.5</c:v>
                </c:pt>
                <c:pt idx="56">
                  <c:v>0.5</c:v>
                </c:pt>
                <c:pt idx="57">
                  <c:v>0.5</c:v>
                </c:pt>
                <c:pt idx="58">
                  <c:v>0.5</c:v>
                </c:pt>
                <c:pt idx="59">
                  <c:v>0.5</c:v>
                </c:pt>
                <c:pt idx="60">
                  <c:v>0.5</c:v>
                </c:pt>
                <c:pt idx="61">
                  <c:v>0.5</c:v>
                </c:pt>
                <c:pt idx="62">
                  <c:v>0.5</c:v>
                </c:pt>
                <c:pt idx="63">
                  <c:v>0.5</c:v>
                </c:pt>
                <c:pt idx="64">
                  <c:v>0.5</c:v>
                </c:pt>
                <c:pt idx="65">
                  <c:v>0.5</c:v>
                </c:pt>
              </c:numCache>
            </c:numRef>
          </c:xVal>
          <c:yVal>
            <c:numRef>
              <c:f>Calculation!$AO$87:$AO$152</c:f>
              <c:numCache>
                <c:formatCode>General</c:formatCode>
                <c:ptCount val="66"/>
                <c:pt idx="1">
                  <c:v>0.67300000000000004</c:v>
                </c:pt>
                <c:pt idx="2" formatCode="0.0000">
                  <c:v>1.1125</c:v>
                </c:pt>
                <c:pt idx="3" formatCode="0.0000">
                  <c:v>1.552</c:v>
                </c:pt>
                <c:pt idx="4" formatCode="0.0000">
                  <c:v>1.9915</c:v>
                </c:pt>
                <c:pt idx="5" formatCode="0.0000">
                  <c:v>2.431</c:v>
                </c:pt>
                <c:pt idx="6" formatCode="0.0000">
                  <c:v>2.8704999999999998</c:v>
                </c:pt>
                <c:pt idx="7" formatCode="0.0000">
                  <c:v>3.3099999999999996</c:v>
                </c:pt>
                <c:pt idx="8" formatCode="0.0000">
                  <c:v>3.7494999999999994</c:v>
                </c:pt>
                <c:pt idx="9" formatCode="0.0000">
                  <c:v>4.1889999999999992</c:v>
                </c:pt>
                <c:pt idx="10" formatCode="0.0000">
                  <c:v>4.6284999999999989</c:v>
                </c:pt>
                <c:pt idx="11" formatCode="0.0000">
                  <c:v>5.0679999999999987</c:v>
                </c:pt>
                <c:pt idx="12" formatCode="0.0000">
                  <c:v>5.5074999999999985</c:v>
                </c:pt>
                <c:pt idx="13" formatCode="0.0000">
                  <c:v>5.9469999999999983</c:v>
                </c:pt>
                <c:pt idx="14" formatCode="0.0000">
                  <c:v>6.3864999999999981</c:v>
                </c:pt>
                <c:pt idx="15" formatCode="0.0000">
                  <c:v>6.8259999999999978</c:v>
                </c:pt>
                <c:pt idx="16" formatCode="0.0000">
                  <c:v>7.2654999999999976</c:v>
                </c:pt>
                <c:pt idx="17" formatCode="0.0000">
                  <c:v>7.7049999999999974</c:v>
                </c:pt>
                <c:pt idx="18" formatCode="0.0000">
                  <c:v>8.1444999999999972</c:v>
                </c:pt>
                <c:pt idx="19" formatCode="0.0000">
                  <c:v>8.5839999999999979</c:v>
                </c:pt>
                <c:pt idx="20" formatCode="0.0000">
                  <c:v>9.0234999999999985</c:v>
                </c:pt>
                <c:pt idx="21" formatCode="0.0000">
                  <c:v>9.4629999999999992</c:v>
                </c:pt>
                <c:pt idx="22" formatCode="0.0000">
                  <c:v>9.9024999999999999</c:v>
                </c:pt>
                <c:pt idx="23" formatCode="0.0000">
                  <c:v>10.342000000000001</c:v>
                </c:pt>
                <c:pt idx="24" formatCode="0.0000">
                  <c:v>10.781500000000001</c:v>
                </c:pt>
                <c:pt idx="25" formatCode="0.0000">
                  <c:v>11.221000000000002</c:v>
                </c:pt>
                <c:pt idx="26" formatCode="0.0000">
                  <c:v>11.660500000000003</c:v>
                </c:pt>
                <c:pt idx="27" formatCode="0.0000">
                  <c:v>12.100000000000003</c:v>
                </c:pt>
                <c:pt idx="28" formatCode="0.0000">
                  <c:v>12.539500000000004</c:v>
                </c:pt>
                <c:pt idx="29" formatCode="0.0000">
                  <c:v>12.979000000000005</c:v>
                </c:pt>
                <c:pt idx="30" formatCode="0.0000">
                  <c:v>13.418500000000005</c:v>
                </c:pt>
                <c:pt idx="31" formatCode="0.0000">
                  <c:v>13.858000000000006</c:v>
                </c:pt>
                <c:pt idx="32" formatCode="0.0000">
                  <c:v>14.297500000000007</c:v>
                </c:pt>
                <c:pt idx="33" formatCode="0.0000">
                  <c:v>14.737000000000007</c:v>
                </c:pt>
                <c:pt idx="34" formatCode="0.0000">
                  <c:v>15.176500000000008</c:v>
                </c:pt>
                <c:pt idx="35" formatCode="0.0000">
                  <c:v>15.616000000000009</c:v>
                </c:pt>
                <c:pt idx="36" formatCode="0.0000">
                  <c:v>16.055500000000009</c:v>
                </c:pt>
                <c:pt idx="37" formatCode="0.0000">
                  <c:v>16.495000000000008</c:v>
                </c:pt>
                <c:pt idx="38" formatCode="0.0000">
                  <c:v>16.934500000000007</c:v>
                </c:pt>
                <c:pt idx="39" formatCode="0.0000">
                  <c:v>17.374000000000006</c:v>
                </c:pt>
                <c:pt idx="40" formatCode="0.0000">
                  <c:v>17.813500000000005</c:v>
                </c:pt>
                <c:pt idx="41" formatCode="0.0000">
                  <c:v>18.253000000000004</c:v>
                </c:pt>
                <c:pt idx="42" formatCode="0.0000">
                  <c:v>18.692500000000003</c:v>
                </c:pt>
                <c:pt idx="43" formatCode="0.0000">
                  <c:v>19.132000000000001</c:v>
                </c:pt>
                <c:pt idx="44" formatCode="0.0000">
                  <c:v>19.5715</c:v>
                </c:pt>
                <c:pt idx="45" formatCode="0.0000">
                  <c:v>20.010999999999999</c:v>
                </c:pt>
                <c:pt idx="46" formatCode="0.0000">
                  <c:v>20.450499999999998</c:v>
                </c:pt>
                <c:pt idx="47" formatCode="0.0000">
                  <c:v>20.889999999999997</c:v>
                </c:pt>
                <c:pt idx="48" formatCode="0.0000">
                  <c:v>21.329499999999996</c:v>
                </c:pt>
                <c:pt idx="49" formatCode="0.0000">
                  <c:v>21.768999999999995</c:v>
                </c:pt>
                <c:pt idx="50" formatCode="0.0000">
                  <c:v>22.208499999999994</c:v>
                </c:pt>
                <c:pt idx="51" formatCode="0.0000">
                  <c:v>22.647999999999993</c:v>
                </c:pt>
                <c:pt idx="52" formatCode="0.0000">
                  <c:v>23.087499999999991</c:v>
                </c:pt>
                <c:pt idx="53" formatCode="0.0000">
                  <c:v>23.52699999999999</c:v>
                </c:pt>
                <c:pt idx="54" formatCode="0.0000">
                  <c:v>23.966499999999989</c:v>
                </c:pt>
                <c:pt idx="55" formatCode="0.0000">
                  <c:v>24.405999999999988</c:v>
                </c:pt>
                <c:pt idx="56" formatCode="0.0000">
                  <c:v>24.845499999999987</c:v>
                </c:pt>
                <c:pt idx="57" formatCode="0.0000">
                  <c:v>25.284999999999986</c:v>
                </c:pt>
                <c:pt idx="58" formatCode="0.0000">
                  <c:v>25.724499999999985</c:v>
                </c:pt>
                <c:pt idx="59" formatCode="0.0000">
                  <c:v>26.163999999999984</c:v>
                </c:pt>
                <c:pt idx="60" formatCode="0.0000">
                  <c:v>26.603499999999983</c:v>
                </c:pt>
                <c:pt idx="61" formatCode="0.0000">
                  <c:v>27.042999999999981</c:v>
                </c:pt>
                <c:pt idx="62" formatCode="0.0000">
                  <c:v>27.48249999999998</c:v>
                </c:pt>
                <c:pt idx="63" formatCode="0.0000">
                  <c:v>27.921999999999979</c:v>
                </c:pt>
                <c:pt idx="64" formatCode="0.0000">
                  <c:v>28.361499999999978</c:v>
                </c:pt>
                <c:pt idx="65" formatCode="0.0000">
                  <c:v>28.800999999999977</c:v>
                </c:pt>
              </c:numCache>
            </c:numRef>
          </c:yVal>
          <c:smooth val="1"/>
          <c:extLst>
            <c:ext xmlns:c16="http://schemas.microsoft.com/office/drawing/2014/chart" uri="{C3380CC4-5D6E-409C-BE32-E72D297353CC}">
              <c16:uniqueId val="{00000004-280D-40FD-907A-A5A43F6C5389}"/>
            </c:ext>
          </c:extLst>
        </c:ser>
        <c:ser>
          <c:idx val="5"/>
          <c:order val="5"/>
          <c:tx>
            <c:strRef>
              <c:f>Calculation!$AN$86</c:f>
              <c:strCache>
                <c:ptCount val="1"/>
                <c:pt idx="0">
                  <c:v>Comparator Average</c:v>
                </c:pt>
              </c:strCache>
            </c:strRef>
          </c:tx>
          <c:spPr>
            <a:ln>
              <a:noFill/>
            </a:ln>
          </c:spPr>
          <c:marker>
            <c:symbol val="diamond"/>
            <c:size val="8"/>
            <c:spPr>
              <a:solidFill>
                <a:srgbClr val="FFFFFF"/>
              </a:solidFill>
              <a:ln>
                <a:solidFill>
                  <a:srgbClr val="333333"/>
                </a:solidFill>
              </a:ln>
            </c:spPr>
          </c:marker>
          <c:xVal>
            <c:numRef>
              <c:f>Calculation!$AN$88:$AN$152</c:f>
              <c:numCache>
                <c:formatCode>0.00</c:formatCode>
                <c:ptCount val="65"/>
                <c:pt idx="0">
                  <c:v>-999</c:v>
                </c:pt>
                <c:pt idx="1">
                  <c:v>-999</c:v>
                </c:pt>
                <c:pt idx="2">
                  <c:v>-999</c:v>
                </c:pt>
                <c:pt idx="3">
                  <c:v>-999</c:v>
                </c:pt>
                <c:pt idx="4">
                  <c:v>-999</c:v>
                </c:pt>
                <c:pt idx="5">
                  <c:v>-999</c:v>
                </c:pt>
                <c:pt idx="6">
                  <c:v>-999</c:v>
                </c:pt>
                <c:pt idx="7">
                  <c:v>-999</c:v>
                </c:pt>
                <c:pt idx="8">
                  <c:v>-999</c:v>
                </c:pt>
                <c:pt idx="9">
                  <c:v>-999</c:v>
                </c:pt>
                <c:pt idx="10">
                  <c:v>-999</c:v>
                </c:pt>
                <c:pt idx="11">
                  <c:v>-999</c:v>
                </c:pt>
                <c:pt idx="12">
                  <c:v>-999</c:v>
                </c:pt>
                <c:pt idx="13">
                  <c:v>-999</c:v>
                </c:pt>
                <c:pt idx="14">
                  <c:v>-999</c:v>
                </c:pt>
                <c:pt idx="15">
                  <c:v>-999</c:v>
                </c:pt>
                <c:pt idx="16">
                  <c:v>-999</c:v>
                </c:pt>
                <c:pt idx="17">
                  <c:v>-999</c:v>
                </c:pt>
                <c:pt idx="18">
                  <c:v>-999</c:v>
                </c:pt>
                <c:pt idx="19">
                  <c:v>-999</c:v>
                </c:pt>
                <c:pt idx="20">
                  <c:v>-999</c:v>
                </c:pt>
                <c:pt idx="21">
                  <c:v>-999</c:v>
                </c:pt>
                <c:pt idx="22">
                  <c:v>-999</c:v>
                </c:pt>
                <c:pt idx="23">
                  <c:v>-999</c:v>
                </c:pt>
                <c:pt idx="24">
                  <c:v>-999</c:v>
                </c:pt>
                <c:pt idx="25">
                  <c:v>-999</c:v>
                </c:pt>
                <c:pt idx="26">
                  <c:v>-999</c:v>
                </c:pt>
                <c:pt idx="27">
                  <c:v>-999</c:v>
                </c:pt>
                <c:pt idx="28">
                  <c:v>-999</c:v>
                </c:pt>
                <c:pt idx="29">
                  <c:v>-999</c:v>
                </c:pt>
                <c:pt idx="30">
                  <c:v>-999</c:v>
                </c:pt>
                <c:pt idx="31">
                  <c:v>-999</c:v>
                </c:pt>
                <c:pt idx="32">
                  <c:v>-999</c:v>
                </c:pt>
                <c:pt idx="33">
                  <c:v>-999</c:v>
                </c:pt>
                <c:pt idx="34">
                  <c:v>-999</c:v>
                </c:pt>
                <c:pt idx="35">
                  <c:v>-999</c:v>
                </c:pt>
                <c:pt idx="36">
                  <c:v>-999</c:v>
                </c:pt>
                <c:pt idx="37">
                  <c:v>-999</c:v>
                </c:pt>
                <c:pt idx="38">
                  <c:v>-999</c:v>
                </c:pt>
                <c:pt idx="39">
                  <c:v>-999</c:v>
                </c:pt>
                <c:pt idx="40">
                  <c:v>-999</c:v>
                </c:pt>
                <c:pt idx="41">
                  <c:v>-999</c:v>
                </c:pt>
                <c:pt idx="42">
                  <c:v>-999</c:v>
                </c:pt>
                <c:pt idx="43">
                  <c:v>-999</c:v>
                </c:pt>
                <c:pt idx="44">
                  <c:v>-999</c:v>
                </c:pt>
                <c:pt idx="45">
                  <c:v>-999</c:v>
                </c:pt>
                <c:pt idx="46">
                  <c:v>-999</c:v>
                </c:pt>
                <c:pt idx="47">
                  <c:v>-999</c:v>
                </c:pt>
                <c:pt idx="48">
                  <c:v>-999</c:v>
                </c:pt>
                <c:pt idx="49">
                  <c:v>-999</c:v>
                </c:pt>
                <c:pt idx="50">
                  <c:v>-999</c:v>
                </c:pt>
                <c:pt idx="51">
                  <c:v>-999</c:v>
                </c:pt>
                <c:pt idx="52">
                  <c:v>-999</c:v>
                </c:pt>
                <c:pt idx="53">
                  <c:v>-999</c:v>
                </c:pt>
                <c:pt idx="54">
                  <c:v>-999</c:v>
                </c:pt>
                <c:pt idx="55">
                  <c:v>-999</c:v>
                </c:pt>
                <c:pt idx="56">
                  <c:v>-999</c:v>
                </c:pt>
                <c:pt idx="57">
                  <c:v>-999</c:v>
                </c:pt>
                <c:pt idx="58">
                  <c:v>-999</c:v>
                </c:pt>
                <c:pt idx="59">
                  <c:v>-999</c:v>
                </c:pt>
                <c:pt idx="60">
                  <c:v>-999</c:v>
                </c:pt>
                <c:pt idx="61">
                  <c:v>-999</c:v>
                </c:pt>
                <c:pt idx="62">
                  <c:v>-999</c:v>
                </c:pt>
                <c:pt idx="63">
                  <c:v>-999</c:v>
                </c:pt>
                <c:pt idx="64">
                  <c:v>-999</c:v>
                </c:pt>
              </c:numCache>
            </c:numRef>
          </c:xVal>
          <c:yVal>
            <c:numRef>
              <c:f>Calculation!$AO$88:$AO$152</c:f>
              <c:numCache>
                <c:formatCode>0.0000</c:formatCode>
                <c:ptCount val="65"/>
                <c:pt idx="0" formatCode="General">
                  <c:v>0.67300000000000004</c:v>
                </c:pt>
                <c:pt idx="1">
                  <c:v>1.1125</c:v>
                </c:pt>
                <c:pt idx="2">
                  <c:v>1.552</c:v>
                </c:pt>
                <c:pt idx="3">
                  <c:v>1.9915</c:v>
                </c:pt>
                <c:pt idx="4">
                  <c:v>2.431</c:v>
                </c:pt>
                <c:pt idx="5">
                  <c:v>2.8704999999999998</c:v>
                </c:pt>
                <c:pt idx="6">
                  <c:v>3.3099999999999996</c:v>
                </c:pt>
                <c:pt idx="7">
                  <c:v>3.7494999999999994</c:v>
                </c:pt>
                <c:pt idx="8">
                  <c:v>4.1889999999999992</c:v>
                </c:pt>
                <c:pt idx="9">
                  <c:v>4.6284999999999989</c:v>
                </c:pt>
                <c:pt idx="10">
                  <c:v>5.0679999999999987</c:v>
                </c:pt>
                <c:pt idx="11">
                  <c:v>5.5074999999999985</c:v>
                </c:pt>
                <c:pt idx="12">
                  <c:v>5.9469999999999983</c:v>
                </c:pt>
                <c:pt idx="13">
                  <c:v>6.3864999999999981</c:v>
                </c:pt>
                <c:pt idx="14">
                  <c:v>6.8259999999999978</c:v>
                </c:pt>
                <c:pt idx="15">
                  <c:v>7.2654999999999976</c:v>
                </c:pt>
                <c:pt idx="16">
                  <c:v>7.7049999999999974</c:v>
                </c:pt>
                <c:pt idx="17">
                  <c:v>8.1444999999999972</c:v>
                </c:pt>
                <c:pt idx="18">
                  <c:v>8.5839999999999979</c:v>
                </c:pt>
                <c:pt idx="19">
                  <c:v>9.0234999999999985</c:v>
                </c:pt>
                <c:pt idx="20">
                  <c:v>9.4629999999999992</c:v>
                </c:pt>
                <c:pt idx="21">
                  <c:v>9.9024999999999999</c:v>
                </c:pt>
                <c:pt idx="22">
                  <c:v>10.342000000000001</c:v>
                </c:pt>
                <c:pt idx="23">
                  <c:v>10.781500000000001</c:v>
                </c:pt>
                <c:pt idx="24">
                  <c:v>11.221000000000002</c:v>
                </c:pt>
                <c:pt idx="25">
                  <c:v>11.660500000000003</c:v>
                </c:pt>
                <c:pt idx="26">
                  <c:v>12.100000000000003</c:v>
                </c:pt>
                <c:pt idx="27">
                  <c:v>12.539500000000004</c:v>
                </c:pt>
                <c:pt idx="28">
                  <c:v>12.979000000000005</c:v>
                </c:pt>
                <c:pt idx="29">
                  <c:v>13.418500000000005</c:v>
                </c:pt>
                <c:pt idx="30">
                  <c:v>13.858000000000006</c:v>
                </c:pt>
                <c:pt idx="31">
                  <c:v>14.297500000000007</c:v>
                </c:pt>
                <c:pt idx="32">
                  <c:v>14.737000000000007</c:v>
                </c:pt>
                <c:pt idx="33">
                  <c:v>15.176500000000008</c:v>
                </c:pt>
                <c:pt idx="34">
                  <c:v>15.616000000000009</c:v>
                </c:pt>
                <c:pt idx="35">
                  <c:v>16.055500000000009</c:v>
                </c:pt>
                <c:pt idx="36">
                  <c:v>16.495000000000008</c:v>
                </c:pt>
                <c:pt idx="37">
                  <c:v>16.934500000000007</c:v>
                </c:pt>
                <c:pt idx="38">
                  <c:v>17.374000000000006</c:v>
                </c:pt>
                <c:pt idx="39">
                  <c:v>17.813500000000005</c:v>
                </c:pt>
                <c:pt idx="40">
                  <c:v>18.253000000000004</c:v>
                </c:pt>
                <c:pt idx="41">
                  <c:v>18.692500000000003</c:v>
                </c:pt>
                <c:pt idx="42">
                  <c:v>19.132000000000001</c:v>
                </c:pt>
                <c:pt idx="43">
                  <c:v>19.5715</c:v>
                </c:pt>
                <c:pt idx="44">
                  <c:v>20.010999999999999</c:v>
                </c:pt>
                <c:pt idx="45">
                  <c:v>20.450499999999998</c:v>
                </c:pt>
                <c:pt idx="46">
                  <c:v>20.889999999999997</c:v>
                </c:pt>
                <c:pt idx="47">
                  <c:v>21.329499999999996</c:v>
                </c:pt>
                <c:pt idx="48">
                  <c:v>21.768999999999995</c:v>
                </c:pt>
                <c:pt idx="49">
                  <c:v>22.208499999999994</c:v>
                </c:pt>
                <c:pt idx="50">
                  <c:v>22.647999999999993</c:v>
                </c:pt>
                <c:pt idx="51">
                  <c:v>23.087499999999991</c:v>
                </c:pt>
                <c:pt idx="52">
                  <c:v>23.52699999999999</c:v>
                </c:pt>
                <c:pt idx="53">
                  <c:v>23.966499999999989</c:v>
                </c:pt>
                <c:pt idx="54">
                  <c:v>24.405999999999988</c:v>
                </c:pt>
                <c:pt idx="55">
                  <c:v>24.845499999999987</c:v>
                </c:pt>
                <c:pt idx="56">
                  <c:v>25.284999999999986</c:v>
                </c:pt>
                <c:pt idx="57">
                  <c:v>25.724499999999985</c:v>
                </c:pt>
                <c:pt idx="58">
                  <c:v>26.163999999999984</c:v>
                </c:pt>
                <c:pt idx="59">
                  <c:v>26.603499999999983</c:v>
                </c:pt>
                <c:pt idx="60">
                  <c:v>27.042999999999981</c:v>
                </c:pt>
                <c:pt idx="61">
                  <c:v>27.48249999999998</c:v>
                </c:pt>
                <c:pt idx="62">
                  <c:v>27.921999999999979</c:v>
                </c:pt>
                <c:pt idx="63">
                  <c:v>28.361499999999978</c:v>
                </c:pt>
                <c:pt idx="64">
                  <c:v>28.800999999999977</c:v>
                </c:pt>
              </c:numCache>
            </c:numRef>
          </c:yVal>
          <c:smooth val="0"/>
          <c:extLst>
            <c:ext xmlns:c16="http://schemas.microsoft.com/office/drawing/2014/chart" uri="{C3380CC4-5D6E-409C-BE32-E72D297353CC}">
              <c16:uniqueId val="{00000005-280D-40FD-907A-A5A43F6C5389}"/>
            </c:ext>
          </c:extLst>
        </c:ser>
        <c:ser>
          <c:idx val="12"/>
          <c:order val="6"/>
          <c:tx>
            <c:strRef>
              <c:f>Calculation!$AJ$86</c:f>
              <c:strCache>
                <c:ptCount val="1"/>
                <c:pt idx="0">
                  <c:v>CHART Significantly Worse (1 - Red)</c:v>
                </c:pt>
              </c:strCache>
            </c:strRef>
          </c:tx>
          <c:spPr>
            <a:ln w="28575">
              <a:noFill/>
            </a:ln>
          </c:spPr>
          <c:marker>
            <c:symbol val="circle"/>
            <c:size val="9"/>
            <c:spPr>
              <a:solidFill>
                <a:srgbClr val="FF0000"/>
              </a:solidFill>
              <a:ln>
                <a:solidFill>
                  <a:srgbClr val="000000"/>
                </a:solidFill>
                <a:prstDash val="solid"/>
              </a:ln>
            </c:spPr>
          </c:marker>
          <c:xVal>
            <c:numRef>
              <c:f>Calculation!$AJ$87:$AJ$152</c:f>
              <c:numCache>
                <c:formatCode>0.00</c:formatCode>
                <c:ptCount val="66"/>
                <c:pt idx="1">
                  <c:v>-999</c:v>
                </c:pt>
                <c:pt idx="2">
                  <c:v>-999</c:v>
                </c:pt>
                <c:pt idx="3">
                  <c:v>-999</c:v>
                </c:pt>
                <c:pt idx="4">
                  <c:v>-999</c:v>
                </c:pt>
                <c:pt idx="5">
                  <c:v>-999</c:v>
                </c:pt>
                <c:pt idx="6">
                  <c:v>-999</c:v>
                </c:pt>
                <c:pt idx="7">
                  <c:v>-999</c:v>
                </c:pt>
                <c:pt idx="8">
                  <c:v>-999</c:v>
                </c:pt>
                <c:pt idx="9">
                  <c:v>-999</c:v>
                </c:pt>
                <c:pt idx="10">
                  <c:v>-999</c:v>
                </c:pt>
                <c:pt idx="11">
                  <c:v>-999</c:v>
                </c:pt>
                <c:pt idx="12">
                  <c:v>-999</c:v>
                </c:pt>
                <c:pt idx="13">
                  <c:v>0.47111248497427416</c:v>
                </c:pt>
                <c:pt idx="14">
                  <c:v>0.37201145308171568</c:v>
                </c:pt>
                <c:pt idx="15">
                  <c:v>0.46554732809959648</c:v>
                </c:pt>
                <c:pt idx="16">
                  <c:v>-999</c:v>
                </c:pt>
                <c:pt idx="17">
                  <c:v>0.37376499645174954</c:v>
                </c:pt>
                <c:pt idx="18">
                  <c:v>-999</c:v>
                </c:pt>
                <c:pt idx="19">
                  <c:v>-999</c:v>
                </c:pt>
                <c:pt idx="20">
                  <c:v>0.36813494237476513</c:v>
                </c:pt>
                <c:pt idx="21">
                  <c:v>0.376875312073922</c:v>
                </c:pt>
                <c:pt idx="22">
                  <c:v>-999</c:v>
                </c:pt>
                <c:pt idx="23">
                  <c:v>-999</c:v>
                </c:pt>
                <c:pt idx="24">
                  <c:v>-999</c:v>
                </c:pt>
                <c:pt idx="25">
                  <c:v>-999</c:v>
                </c:pt>
                <c:pt idx="26">
                  <c:v>-999</c:v>
                </c:pt>
                <c:pt idx="27">
                  <c:v>-999</c:v>
                </c:pt>
                <c:pt idx="28">
                  <c:v>-999</c:v>
                </c:pt>
                <c:pt idx="29">
                  <c:v>-999</c:v>
                </c:pt>
                <c:pt idx="30">
                  <c:v>-999</c:v>
                </c:pt>
                <c:pt idx="31">
                  <c:v>0.30324426931676174</c:v>
                </c:pt>
                <c:pt idx="32">
                  <c:v>-999</c:v>
                </c:pt>
                <c:pt idx="33">
                  <c:v>0.40031592612268468</c:v>
                </c:pt>
                <c:pt idx="34">
                  <c:v>-999</c:v>
                </c:pt>
                <c:pt idx="35">
                  <c:v>-999</c:v>
                </c:pt>
                <c:pt idx="36">
                  <c:v>0.47688601890207283</c:v>
                </c:pt>
                <c:pt idx="37">
                  <c:v>-999</c:v>
                </c:pt>
                <c:pt idx="38">
                  <c:v>-999</c:v>
                </c:pt>
                <c:pt idx="39">
                  <c:v>-999</c:v>
                </c:pt>
                <c:pt idx="40">
                  <c:v>0.45480066831519061</c:v>
                </c:pt>
                <c:pt idx="41">
                  <c:v>0.38172346540737062</c:v>
                </c:pt>
                <c:pt idx="42">
                  <c:v>-999</c:v>
                </c:pt>
                <c:pt idx="43">
                  <c:v>-999</c:v>
                </c:pt>
                <c:pt idx="44">
                  <c:v>0.30233377913171677</c:v>
                </c:pt>
                <c:pt idx="45">
                  <c:v>-999</c:v>
                </c:pt>
                <c:pt idx="46">
                  <c:v>-999</c:v>
                </c:pt>
                <c:pt idx="47">
                  <c:v>-999</c:v>
                </c:pt>
                <c:pt idx="48">
                  <c:v>-999</c:v>
                </c:pt>
                <c:pt idx="49">
                  <c:v>-999</c:v>
                </c:pt>
                <c:pt idx="50">
                  <c:v>0.28084647690613945</c:v>
                </c:pt>
                <c:pt idx="51">
                  <c:v>0.27211229245452168</c:v>
                </c:pt>
                <c:pt idx="52">
                  <c:v>-999</c:v>
                </c:pt>
                <c:pt idx="53">
                  <c:v>-999</c:v>
                </c:pt>
                <c:pt idx="54">
                  <c:v>-999</c:v>
                </c:pt>
                <c:pt idx="55">
                  <c:v>-999</c:v>
                </c:pt>
                <c:pt idx="56">
                  <c:v>-999</c:v>
                </c:pt>
                <c:pt idx="57">
                  <c:v>-999</c:v>
                </c:pt>
                <c:pt idx="58">
                  <c:v>-999</c:v>
                </c:pt>
                <c:pt idx="59">
                  <c:v>-999</c:v>
                </c:pt>
                <c:pt idx="60">
                  <c:v>-999</c:v>
                </c:pt>
                <c:pt idx="61">
                  <c:v>-999</c:v>
                </c:pt>
                <c:pt idx="62">
                  <c:v>0.3451476818188508</c:v>
                </c:pt>
                <c:pt idx="63">
                  <c:v>-999</c:v>
                </c:pt>
                <c:pt idx="64">
                  <c:v>-999</c:v>
                </c:pt>
                <c:pt idx="65">
                  <c:v>-999</c:v>
                </c:pt>
              </c:numCache>
            </c:numRef>
          </c:xVal>
          <c:yVal>
            <c:numRef>
              <c:f>Calculation!$AO$87:$AO$152</c:f>
              <c:numCache>
                <c:formatCode>General</c:formatCode>
                <c:ptCount val="66"/>
                <c:pt idx="1">
                  <c:v>0.67300000000000004</c:v>
                </c:pt>
                <c:pt idx="2" formatCode="0.0000">
                  <c:v>1.1125</c:v>
                </c:pt>
                <c:pt idx="3" formatCode="0.0000">
                  <c:v>1.552</c:v>
                </c:pt>
                <c:pt idx="4" formatCode="0.0000">
                  <c:v>1.9915</c:v>
                </c:pt>
                <c:pt idx="5" formatCode="0.0000">
                  <c:v>2.431</c:v>
                </c:pt>
                <c:pt idx="6" formatCode="0.0000">
                  <c:v>2.8704999999999998</c:v>
                </c:pt>
                <c:pt idx="7" formatCode="0.0000">
                  <c:v>3.3099999999999996</c:v>
                </c:pt>
                <c:pt idx="8" formatCode="0.0000">
                  <c:v>3.7494999999999994</c:v>
                </c:pt>
                <c:pt idx="9" formatCode="0.0000">
                  <c:v>4.1889999999999992</c:v>
                </c:pt>
                <c:pt idx="10" formatCode="0.0000">
                  <c:v>4.6284999999999989</c:v>
                </c:pt>
                <c:pt idx="11" formatCode="0.0000">
                  <c:v>5.0679999999999987</c:v>
                </c:pt>
                <c:pt idx="12" formatCode="0.0000">
                  <c:v>5.5074999999999985</c:v>
                </c:pt>
                <c:pt idx="13" formatCode="0.0000">
                  <c:v>5.9469999999999983</c:v>
                </c:pt>
                <c:pt idx="14" formatCode="0.0000">
                  <c:v>6.3864999999999981</c:v>
                </c:pt>
                <c:pt idx="15" formatCode="0.0000">
                  <c:v>6.8259999999999978</c:v>
                </c:pt>
                <c:pt idx="16" formatCode="0.0000">
                  <c:v>7.2654999999999976</c:v>
                </c:pt>
                <c:pt idx="17" formatCode="0.0000">
                  <c:v>7.7049999999999974</c:v>
                </c:pt>
                <c:pt idx="18" formatCode="0.0000">
                  <c:v>8.1444999999999972</c:v>
                </c:pt>
                <c:pt idx="19" formatCode="0.0000">
                  <c:v>8.5839999999999979</c:v>
                </c:pt>
                <c:pt idx="20" formatCode="0.0000">
                  <c:v>9.0234999999999985</c:v>
                </c:pt>
                <c:pt idx="21" formatCode="0.0000">
                  <c:v>9.4629999999999992</c:v>
                </c:pt>
                <c:pt idx="22" formatCode="0.0000">
                  <c:v>9.9024999999999999</c:v>
                </c:pt>
                <c:pt idx="23" formatCode="0.0000">
                  <c:v>10.342000000000001</c:v>
                </c:pt>
                <c:pt idx="24" formatCode="0.0000">
                  <c:v>10.781500000000001</c:v>
                </c:pt>
                <c:pt idx="25" formatCode="0.0000">
                  <c:v>11.221000000000002</c:v>
                </c:pt>
                <c:pt idx="26" formatCode="0.0000">
                  <c:v>11.660500000000003</c:v>
                </c:pt>
                <c:pt idx="27" formatCode="0.0000">
                  <c:v>12.100000000000003</c:v>
                </c:pt>
                <c:pt idx="28" formatCode="0.0000">
                  <c:v>12.539500000000004</c:v>
                </c:pt>
                <c:pt idx="29" formatCode="0.0000">
                  <c:v>12.979000000000005</c:v>
                </c:pt>
                <c:pt idx="30" formatCode="0.0000">
                  <c:v>13.418500000000005</c:v>
                </c:pt>
                <c:pt idx="31" formatCode="0.0000">
                  <c:v>13.858000000000006</c:v>
                </c:pt>
                <c:pt idx="32" formatCode="0.0000">
                  <c:v>14.297500000000007</c:v>
                </c:pt>
                <c:pt idx="33" formatCode="0.0000">
                  <c:v>14.737000000000007</c:v>
                </c:pt>
                <c:pt idx="34" formatCode="0.0000">
                  <c:v>15.176500000000008</c:v>
                </c:pt>
                <c:pt idx="35" formatCode="0.0000">
                  <c:v>15.616000000000009</c:v>
                </c:pt>
                <c:pt idx="36" formatCode="0.0000">
                  <c:v>16.055500000000009</c:v>
                </c:pt>
                <c:pt idx="37" formatCode="0.0000">
                  <c:v>16.495000000000008</c:v>
                </c:pt>
                <c:pt idx="38" formatCode="0.0000">
                  <c:v>16.934500000000007</c:v>
                </c:pt>
                <c:pt idx="39" formatCode="0.0000">
                  <c:v>17.374000000000006</c:v>
                </c:pt>
                <c:pt idx="40" formatCode="0.0000">
                  <c:v>17.813500000000005</c:v>
                </c:pt>
                <c:pt idx="41" formatCode="0.0000">
                  <c:v>18.253000000000004</c:v>
                </c:pt>
                <c:pt idx="42" formatCode="0.0000">
                  <c:v>18.692500000000003</c:v>
                </c:pt>
                <c:pt idx="43" formatCode="0.0000">
                  <c:v>19.132000000000001</c:v>
                </c:pt>
                <c:pt idx="44" formatCode="0.0000">
                  <c:v>19.5715</c:v>
                </c:pt>
                <c:pt idx="45" formatCode="0.0000">
                  <c:v>20.010999999999999</c:v>
                </c:pt>
                <c:pt idx="46" formatCode="0.0000">
                  <c:v>20.450499999999998</c:v>
                </c:pt>
                <c:pt idx="47" formatCode="0.0000">
                  <c:v>20.889999999999997</c:v>
                </c:pt>
                <c:pt idx="48" formatCode="0.0000">
                  <c:v>21.329499999999996</c:v>
                </c:pt>
                <c:pt idx="49" formatCode="0.0000">
                  <c:v>21.768999999999995</c:v>
                </c:pt>
                <c:pt idx="50" formatCode="0.0000">
                  <c:v>22.208499999999994</c:v>
                </c:pt>
                <c:pt idx="51" formatCode="0.0000">
                  <c:v>22.647999999999993</c:v>
                </c:pt>
                <c:pt idx="52" formatCode="0.0000">
                  <c:v>23.087499999999991</c:v>
                </c:pt>
                <c:pt idx="53" formatCode="0.0000">
                  <c:v>23.52699999999999</c:v>
                </c:pt>
                <c:pt idx="54" formatCode="0.0000">
                  <c:v>23.966499999999989</c:v>
                </c:pt>
                <c:pt idx="55" formatCode="0.0000">
                  <c:v>24.405999999999988</c:v>
                </c:pt>
                <c:pt idx="56" formatCode="0.0000">
                  <c:v>24.845499999999987</c:v>
                </c:pt>
                <c:pt idx="57" formatCode="0.0000">
                  <c:v>25.284999999999986</c:v>
                </c:pt>
                <c:pt idx="58" formatCode="0.0000">
                  <c:v>25.724499999999985</c:v>
                </c:pt>
                <c:pt idx="59" formatCode="0.0000">
                  <c:v>26.163999999999984</c:v>
                </c:pt>
                <c:pt idx="60" formatCode="0.0000">
                  <c:v>26.603499999999983</c:v>
                </c:pt>
                <c:pt idx="61" formatCode="0.0000">
                  <c:v>27.042999999999981</c:v>
                </c:pt>
                <c:pt idx="62" formatCode="0.0000">
                  <c:v>27.48249999999998</c:v>
                </c:pt>
                <c:pt idx="63" formatCode="0.0000">
                  <c:v>27.921999999999979</c:v>
                </c:pt>
                <c:pt idx="64" formatCode="0.0000">
                  <c:v>28.361499999999978</c:v>
                </c:pt>
                <c:pt idx="65" formatCode="0.0000">
                  <c:v>28.800999999999977</c:v>
                </c:pt>
              </c:numCache>
            </c:numRef>
          </c:yVal>
          <c:smooth val="0"/>
          <c:extLst>
            <c:ext xmlns:c16="http://schemas.microsoft.com/office/drawing/2014/chart" uri="{C3380CC4-5D6E-409C-BE32-E72D297353CC}">
              <c16:uniqueId val="{00000006-280D-40FD-907A-A5A43F6C5389}"/>
            </c:ext>
          </c:extLst>
        </c:ser>
        <c:ser>
          <c:idx val="1"/>
          <c:order val="7"/>
          <c:tx>
            <c:strRef>
              <c:f>Calculation!$AK$86</c:f>
              <c:strCache>
                <c:ptCount val="1"/>
                <c:pt idx="0">
                  <c:v>CHART Significantly Better (2 - Green)</c:v>
                </c:pt>
              </c:strCache>
            </c:strRef>
          </c:tx>
          <c:spPr>
            <a:ln w="28575">
              <a:noFill/>
            </a:ln>
          </c:spPr>
          <c:marker>
            <c:symbol val="circle"/>
            <c:size val="9"/>
            <c:spPr>
              <a:solidFill>
                <a:srgbClr val="92D050"/>
              </a:solidFill>
              <a:ln>
                <a:solidFill>
                  <a:schemeClr val="tx1"/>
                </a:solidFill>
              </a:ln>
            </c:spPr>
          </c:marker>
          <c:xVal>
            <c:numRef>
              <c:f>Calculation!$AK$87:$AK$152</c:f>
              <c:numCache>
                <c:formatCode>0.00</c:formatCode>
                <c:ptCount val="66"/>
                <c:pt idx="1">
                  <c:v>-999</c:v>
                </c:pt>
                <c:pt idx="2">
                  <c:v>-999</c:v>
                </c:pt>
                <c:pt idx="3">
                  <c:v>-999</c:v>
                </c:pt>
                <c:pt idx="4">
                  <c:v>-999</c:v>
                </c:pt>
                <c:pt idx="5">
                  <c:v>0.52426383397202936</c:v>
                </c:pt>
                <c:pt idx="6">
                  <c:v>-999</c:v>
                </c:pt>
                <c:pt idx="7">
                  <c:v>-999</c:v>
                </c:pt>
                <c:pt idx="8">
                  <c:v>-999</c:v>
                </c:pt>
                <c:pt idx="9">
                  <c:v>-999</c:v>
                </c:pt>
                <c:pt idx="10">
                  <c:v>-999</c:v>
                </c:pt>
                <c:pt idx="11">
                  <c:v>-999</c:v>
                </c:pt>
                <c:pt idx="12">
                  <c:v>-999</c:v>
                </c:pt>
                <c:pt idx="13">
                  <c:v>-999</c:v>
                </c:pt>
                <c:pt idx="14">
                  <c:v>-999</c:v>
                </c:pt>
                <c:pt idx="15">
                  <c:v>-999</c:v>
                </c:pt>
                <c:pt idx="16">
                  <c:v>-999</c:v>
                </c:pt>
                <c:pt idx="17">
                  <c:v>-999</c:v>
                </c:pt>
                <c:pt idx="18">
                  <c:v>-999</c:v>
                </c:pt>
                <c:pt idx="19">
                  <c:v>-999</c:v>
                </c:pt>
                <c:pt idx="20">
                  <c:v>-999</c:v>
                </c:pt>
                <c:pt idx="21">
                  <c:v>-999</c:v>
                </c:pt>
                <c:pt idx="22">
                  <c:v>-999</c:v>
                </c:pt>
                <c:pt idx="23">
                  <c:v>-999</c:v>
                </c:pt>
                <c:pt idx="24">
                  <c:v>-999</c:v>
                </c:pt>
                <c:pt idx="25">
                  <c:v>-999</c:v>
                </c:pt>
                <c:pt idx="26">
                  <c:v>-999</c:v>
                </c:pt>
                <c:pt idx="27">
                  <c:v>-999</c:v>
                </c:pt>
                <c:pt idx="28">
                  <c:v>-999</c:v>
                </c:pt>
                <c:pt idx="29">
                  <c:v>-999</c:v>
                </c:pt>
                <c:pt idx="30">
                  <c:v>-999</c:v>
                </c:pt>
                <c:pt idx="31">
                  <c:v>-999</c:v>
                </c:pt>
                <c:pt idx="32">
                  <c:v>-999</c:v>
                </c:pt>
                <c:pt idx="33">
                  <c:v>-999</c:v>
                </c:pt>
                <c:pt idx="34">
                  <c:v>-999</c:v>
                </c:pt>
                <c:pt idx="35">
                  <c:v>-999</c:v>
                </c:pt>
                <c:pt idx="36">
                  <c:v>-999</c:v>
                </c:pt>
                <c:pt idx="37">
                  <c:v>-999</c:v>
                </c:pt>
                <c:pt idx="38">
                  <c:v>0.62555944522964524</c:v>
                </c:pt>
                <c:pt idx="39">
                  <c:v>-999</c:v>
                </c:pt>
                <c:pt idx="40">
                  <c:v>-999</c:v>
                </c:pt>
                <c:pt idx="41">
                  <c:v>-999</c:v>
                </c:pt>
                <c:pt idx="42">
                  <c:v>0.59099827777831504</c:v>
                </c:pt>
                <c:pt idx="43">
                  <c:v>-999</c:v>
                </c:pt>
                <c:pt idx="44">
                  <c:v>-999</c:v>
                </c:pt>
                <c:pt idx="45">
                  <c:v>-999</c:v>
                </c:pt>
                <c:pt idx="46">
                  <c:v>-999</c:v>
                </c:pt>
                <c:pt idx="47">
                  <c:v>-999</c:v>
                </c:pt>
                <c:pt idx="48">
                  <c:v>-999</c:v>
                </c:pt>
                <c:pt idx="49">
                  <c:v>-999</c:v>
                </c:pt>
                <c:pt idx="50">
                  <c:v>-999</c:v>
                </c:pt>
                <c:pt idx="51">
                  <c:v>-999</c:v>
                </c:pt>
                <c:pt idx="52">
                  <c:v>-999</c:v>
                </c:pt>
                <c:pt idx="53">
                  <c:v>-999</c:v>
                </c:pt>
                <c:pt idx="54">
                  <c:v>-999</c:v>
                </c:pt>
                <c:pt idx="55">
                  <c:v>-999</c:v>
                </c:pt>
                <c:pt idx="56">
                  <c:v>0.54450652136830535</c:v>
                </c:pt>
                <c:pt idx="57">
                  <c:v>-999</c:v>
                </c:pt>
                <c:pt idx="58">
                  <c:v>-999</c:v>
                </c:pt>
                <c:pt idx="59">
                  <c:v>-999</c:v>
                </c:pt>
                <c:pt idx="60">
                  <c:v>-999</c:v>
                </c:pt>
                <c:pt idx="61">
                  <c:v>-999</c:v>
                </c:pt>
                <c:pt idx="62">
                  <c:v>-999</c:v>
                </c:pt>
                <c:pt idx="63">
                  <c:v>0.68845277798348237</c:v>
                </c:pt>
                <c:pt idx="64">
                  <c:v>-999</c:v>
                </c:pt>
                <c:pt idx="65">
                  <c:v>0.59535379382114462</c:v>
                </c:pt>
              </c:numCache>
            </c:numRef>
          </c:xVal>
          <c:yVal>
            <c:numRef>
              <c:f>Calculation!$AO$87:$AO$152</c:f>
              <c:numCache>
                <c:formatCode>General</c:formatCode>
                <c:ptCount val="66"/>
                <c:pt idx="1">
                  <c:v>0.67300000000000004</c:v>
                </c:pt>
                <c:pt idx="2" formatCode="0.0000">
                  <c:v>1.1125</c:v>
                </c:pt>
                <c:pt idx="3" formatCode="0.0000">
                  <c:v>1.552</c:v>
                </c:pt>
                <c:pt idx="4" formatCode="0.0000">
                  <c:v>1.9915</c:v>
                </c:pt>
                <c:pt idx="5" formatCode="0.0000">
                  <c:v>2.431</c:v>
                </c:pt>
                <c:pt idx="6" formatCode="0.0000">
                  <c:v>2.8704999999999998</c:v>
                </c:pt>
                <c:pt idx="7" formatCode="0.0000">
                  <c:v>3.3099999999999996</c:v>
                </c:pt>
                <c:pt idx="8" formatCode="0.0000">
                  <c:v>3.7494999999999994</c:v>
                </c:pt>
                <c:pt idx="9" formatCode="0.0000">
                  <c:v>4.1889999999999992</c:v>
                </c:pt>
                <c:pt idx="10" formatCode="0.0000">
                  <c:v>4.6284999999999989</c:v>
                </c:pt>
                <c:pt idx="11" formatCode="0.0000">
                  <c:v>5.0679999999999987</c:v>
                </c:pt>
                <c:pt idx="12" formatCode="0.0000">
                  <c:v>5.5074999999999985</c:v>
                </c:pt>
                <c:pt idx="13" formatCode="0.0000">
                  <c:v>5.9469999999999983</c:v>
                </c:pt>
                <c:pt idx="14" formatCode="0.0000">
                  <c:v>6.3864999999999981</c:v>
                </c:pt>
                <c:pt idx="15" formatCode="0.0000">
                  <c:v>6.8259999999999978</c:v>
                </c:pt>
                <c:pt idx="16" formatCode="0.0000">
                  <c:v>7.2654999999999976</c:v>
                </c:pt>
                <c:pt idx="17" formatCode="0.0000">
                  <c:v>7.7049999999999974</c:v>
                </c:pt>
                <c:pt idx="18" formatCode="0.0000">
                  <c:v>8.1444999999999972</c:v>
                </c:pt>
                <c:pt idx="19" formatCode="0.0000">
                  <c:v>8.5839999999999979</c:v>
                </c:pt>
                <c:pt idx="20" formatCode="0.0000">
                  <c:v>9.0234999999999985</c:v>
                </c:pt>
                <c:pt idx="21" formatCode="0.0000">
                  <c:v>9.4629999999999992</c:v>
                </c:pt>
                <c:pt idx="22" formatCode="0.0000">
                  <c:v>9.9024999999999999</c:v>
                </c:pt>
                <c:pt idx="23" formatCode="0.0000">
                  <c:v>10.342000000000001</c:v>
                </c:pt>
                <c:pt idx="24" formatCode="0.0000">
                  <c:v>10.781500000000001</c:v>
                </c:pt>
                <c:pt idx="25" formatCode="0.0000">
                  <c:v>11.221000000000002</c:v>
                </c:pt>
                <c:pt idx="26" formatCode="0.0000">
                  <c:v>11.660500000000003</c:v>
                </c:pt>
                <c:pt idx="27" formatCode="0.0000">
                  <c:v>12.100000000000003</c:v>
                </c:pt>
                <c:pt idx="28" formatCode="0.0000">
                  <c:v>12.539500000000004</c:v>
                </c:pt>
                <c:pt idx="29" formatCode="0.0000">
                  <c:v>12.979000000000005</c:v>
                </c:pt>
                <c:pt idx="30" formatCode="0.0000">
                  <c:v>13.418500000000005</c:v>
                </c:pt>
                <c:pt idx="31" formatCode="0.0000">
                  <c:v>13.858000000000006</c:v>
                </c:pt>
                <c:pt idx="32" formatCode="0.0000">
                  <c:v>14.297500000000007</c:v>
                </c:pt>
                <c:pt idx="33" formatCode="0.0000">
                  <c:v>14.737000000000007</c:v>
                </c:pt>
                <c:pt idx="34" formatCode="0.0000">
                  <c:v>15.176500000000008</c:v>
                </c:pt>
                <c:pt idx="35" formatCode="0.0000">
                  <c:v>15.616000000000009</c:v>
                </c:pt>
                <c:pt idx="36" formatCode="0.0000">
                  <c:v>16.055500000000009</c:v>
                </c:pt>
                <c:pt idx="37" formatCode="0.0000">
                  <c:v>16.495000000000008</c:v>
                </c:pt>
                <c:pt idx="38" formatCode="0.0000">
                  <c:v>16.934500000000007</c:v>
                </c:pt>
                <c:pt idx="39" formatCode="0.0000">
                  <c:v>17.374000000000006</c:v>
                </c:pt>
                <c:pt idx="40" formatCode="0.0000">
                  <c:v>17.813500000000005</c:v>
                </c:pt>
                <c:pt idx="41" formatCode="0.0000">
                  <c:v>18.253000000000004</c:v>
                </c:pt>
                <c:pt idx="42" formatCode="0.0000">
                  <c:v>18.692500000000003</c:v>
                </c:pt>
                <c:pt idx="43" formatCode="0.0000">
                  <c:v>19.132000000000001</c:v>
                </c:pt>
                <c:pt idx="44" formatCode="0.0000">
                  <c:v>19.5715</c:v>
                </c:pt>
                <c:pt idx="45" formatCode="0.0000">
                  <c:v>20.010999999999999</c:v>
                </c:pt>
                <c:pt idx="46" formatCode="0.0000">
                  <c:v>20.450499999999998</c:v>
                </c:pt>
                <c:pt idx="47" formatCode="0.0000">
                  <c:v>20.889999999999997</c:v>
                </c:pt>
                <c:pt idx="48" formatCode="0.0000">
                  <c:v>21.329499999999996</c:v>
                </c:pt>
                <c:pt idx="49" formatCode="0.0000">
                  <c:v>21.768999999999995</c:v>
                </c:pt>
                <c:pt idx="50" formatCode="0.0000">
                  <c:v>22.208499999999994</c:v>
                </c:pt>
                <c:pt idx="51" formatCode="0.0000">
                  <c:v>22.647999999999993</c:v>
                </c:pt>
                <c:pt idx="52" formatCode="0.0000">
                  <c:v>23.087499999999991</c:v>
                </c:pt>
                <c:pt idx="53" formatCode="0.0000">
                  <c:v>23.52699999999999</c:v>
                </c:pt>
                <c:pt idx="54" formatCode="0.0000">
                  <c:v>23.966499999999989</c:v>
                </c:pt>
                <c:pt idx="55" formatCode="0.0000">
                  <c:v>24.405999999999988</c:v>
                </c:pt>
                <c:pt idx="56" formatCode="0.0000">
                  <c:v>24.845499999999987</c:v>
                </c:pt>
                <c:pt idx="57" formatCode="0.0000">
                  <c:v>25.284999999999986</c:v>
                </c:pt>
                <c:pt idx="58" formatCode="0.0000">
                  <c:v>25.724499999999985</c:v>
                </c:pt>
                <c:pt idx="59" formatCode="0.0000">
                  <c:v>26.163999999999984</c:v>
                </c:pt>
                <c:pt idx="60" formatCode="0.0000">
                  <c:v>26.603499999999983</c:v>
                </c:pt>
                <c:pt idx="61" formatCode="0.0000">
                  <c:v>27.042999999999981</c:v>
                </c:pt>
                <c:pt idx="62" formatCode="0.0000">
                  <c:v>27.48249999999998</c:v>
                </c:pt>
                <c:pt idx="63" formatCode="0.0000">
                  <c:v>27.921999999999979</c:v>
                </c:pt>
                <c:pt idx="64" formatCode="0.0000">
                  <c:v>28.361499999999978</c:v>
                </c:pt>
                <c:pt idx="65" formatCode="0.0000">
                  <c:v>28.800999999999977</c:v>
                </c:pt>
              </c:numCache>
            </c:numRef>
          </c:yVal>
          <c:smooth val="0"/>
          <c:extLst>
            <c:ext xmlns:c16="http://schemas.microsoft.com/office/drawing/2014/chart" uri="{C3380CC4-5D6E-409C-BE32-E72D297353CC}">
              <c16:uniqueId val="{00000007-280D-40FD-907A-A5A43F6C5389}"/>
            </c:ext>
          </c:extLst>
        </c:ser>
        <c:ser>
          <c:idx val="2"/>
          <c:order val="8"/>
          <c:tx>
            <c:strRef>
              <c:f>Calculation!$AL$86</c:f>
              <c:strCache>
                <c:ptCount val="1"/>
                <c:pt idx="0">
                  <c:v>CHART Significantly Lower (3 - Dark Blue)</c:v>
                </c:pt>
              </c:strCache>
            </c:strRef>
          </c:tx>
          <c:spPr>
            <a:ln w="28575">
              <a:noFill/>
            </a:ln>
          </c:spPr>
          <c:marker>
            <c:symbol val="circle"/>
            <c:size val="9"/>
            <c:spPr>
              <a:solidFill>
                <a:srgbClr val="0070C0"/>
              </a:solidFill>
              <a:ln>
                <a:solidFill>
                  <a:schemeClr val="tx1"/>
                </a:solidFill>
              </a:ln>
            </c:spPr>
          </c:marker>
          <c:xVal>
            <c:numRef>
              <c:f>Calculation!$AL$87:$AL$152</c:f>
              <c:numCache>
                <c:formatCode>0.00</c:formatCode>
                <c:ptCount val="66"/>
                <c:pt idx="1">
                  <c:v>-999</c:v>
                </c:pt>
                <c:pt idx="2">
                  <c:v>-999</c:v>
                </c:pt>
                <c:pt idx="3">
                  <c:v>0.37788053774749575</c:v>
                </c:pt>
                <c:pt idx="4">
                  <c:v>-999</c:v>
                </c:pt>
                <c:pt idx="5">
                  <c:v>-999</c:v>
                </c:pt>
                <c:pt idx="6">
                  <c:v>-999</c:v>
                </c:pt>
                <c:pt idx="7">
                  <c:v>-999</c:v>
                </c:pt>
                <c:pt idx="8">
                  <c:v>-999</c:v>
                </c:pt>
                <c:pt idx="9">
                  <c:v>-999</c:v>
                </c:pt>
                <c:pt idx="10">
                  <c:v>-999</c:v>
                </c:pt>
                <c:pt idx="11">
                  <c:v>-999</c:v>
                </c:pt>
                <c:pt idx="12">
                  <c:v>-999</c:v>
                </c:pt>
                <c:pt idx="13">
                  <c:v>-999</c:v>
                </c:pt>
                <c:pt idx="14">
                  <c:v>-999</c:v>
                </c:pt>
                <c:pt idx="15">
                  <c:v>-999</c:v>
                </c:pt>
                <c:pt idx="16">
                  <c:v>-999</c:v>
                </c:pt>
                <c:pt idx="17">
                  <c:v>-999</c:v>
                </c:pt>
                <c:pt idx="18">
                  <c:v>-999</c:v>
                </c:pt>
                <c:pt idx="19">
                  <c:v>-999</c:v>
                </c:pt>
                <c:pt idx="20">
                  <c:v>-999</c:v>
                </c:pt>
                <c:pt idx="21">
                  <c:v>-999</c:v>
                </c:pt>
                <c:pt idx="22">
                  <c:v>-999</c:v>
                </c:pt>
                <c:pt idx="23">
                  <c:v>-999</c:v>
                </c:pt>
                <c:pt idx="24">
                  <c:v>-999</c:v>
                </c:pt>
                <c:pt idx="25">
                  <c:v>-999</c:v>
                </c:pt>
                <c:pt idx="26">
                  <c:v>-999</c:v>
                </c:pt>
                <c:pt idx="27">
                  <c:v>-999</c:v>
                </c:pt>
                <c:pt idx="28">
                  <c:v>-999</c:v>
                </c:pt>
                <c:pt idx="29">
                  <c:v>-999</c:v>
                </c:pt>
                <c:pt idx="30">
                  <c:v>-999</c:v>
                </c:pt>
                <c:pt idx="31">
                  <c:v>-999</c:v>
                </c:pt>
                <c:pt idx="32">
                  <c:v>-999</c:v>
                </c:pt>
                <c:pt idx="33">
                  <c:v>-999</c:v>
                </c:pt>
                <c:pt idx="34">
                  <c:v>-999</c:v>
                </c:pt>
                <c:pt idx="35">
                  <c:v>-999</c:v>
                </c:pt>
                <c:pt idx="36">
                  <c:v>-999</c:v>
                </c:pt>
                <c:pt idx="37">
                  <c:v>-999</c:v>
                </c:pt>
                <c:pt idx="38">
                  <c:v>-999</c:v>
                </c:pt>
                <c:pt idx="39">
                  <c:v>-999</c:v>
                </c:pt>
                <c:pt idx="40">
                  <c:v>-999</c:v>
                </c:pt>
                <c:pt idx="41">
                  <c:v>-999</c:v>
                </c:pt>
                <c:pt idx="42">
                  <c:v>-999</c:v>
                </c:pt>
                <c:pt idx="43">
                  <c:v>-999</c:v>
                </c:pt>
                <c:pt idx="44">
                  <c:v>-999</c:v>
                </c:pt>
                <c:pt idx="45">
                  <c:v>-999</c:v>
                </c:pt>
                <c:pt idx="46">
                  <c:v>-999</c:v>
                </c:pt>
                <c:pt idx="47">
                  <c:v>-999</c:v>
                </c:pt>
                <c:pt idx="48">
                  <c:v>-999</c:v>
                </c:pt>
                <c:pt idx="49">
                  <c:v>-999</c:v>
                </c:pt>
                <c:pt idx="50">
                  <c:v>-999</c:v>
                </c:pt>
                <c:pt idx="51">
                  <c:v>-999</c:v>
                </c:pt>
                <c:pt idx="52">
                  <c:v>-999</c:v>
                </c:pt>
                <c:pt idx="53">
                  <c:v>-999</c:v>
                </c:pt>
                <c:pt idx="54">
                  <c:v>-999</c:v>
                </c:pt>
                <c:pt idx="55">
                  <c:v>-999</c:v>
                </c:pt>
                <c:pt idx="56">
                  <c:v>-999</c:v>
                </c:pt>
                <c:pt idx="57">
                  <c:v>-999</c:v>
                </c:pt>
                <c:pt idx="58">
                  <c:v>-999</c:v>
                </c:pt>
                <c:pt idx="59">
                  <c:v>-999</c:v>
                </c:pt>
                <c:pt idx="60">
                  <c:v>-999</c:v>
                </c:pt>
                <c:pt idx="61">
                  <c:v>-999</c:v>
                </c:pt>
                <c:pt idx="62">
                  <c:v>-999</c:v>
                </c:pt>
                <c:pt idx="63">
                  <c:v>-999</c:v>
                </c:pt>
                <c:pt idx="64">
                  <c:v>-999</c:v>
                </c:pt>
                <c:pt idx="65">
                  <c:v>-999</c:v>
                </c:pt>
              </c:numCache>
            </c:numRef>
          </c:xVal>
          <c:yVal>
            <c:numRef>
              <c:f>Calculation!$AO$87:$AO$152</c:f>
              <c:numCache>
                <c:formatCode>General</c:formatCode>
                <c:ptCount val="66"/>
                <c:pt idx="1">
                  <c:v>0.67300000000000004</c:v>
                </c:pt>
                <c:pt idx="2" formatCode="0.0000">
                  <c:v>1.1125</c:v>
                </c:pt>
                <c:pt idx="3" formatCode="0.0000">
                  <c:v>1.552</c:v>
                </c:pt>
                <c:pt idx="4" formatCode="0.0000">
                  <c:v>1.9915</c:v>
                </c:pt>
                <c:pt idx="5" formatCode="0.0000">
                  <c:v>2.431</c:v>
                </c:pt>
                <c:pt idx="6" formatCode="0.0000">
                  <c:v>2.8704999999999998</c:v>
                </c:pt>
                <c:pt idx="7" formatCode="0.0000">
                  <c:v>3.3099999999999996</c:v>
                </c:pt>
                <c:pt idx="8" formatCode="0.0000">
                  <c:v>3.7494999999999994</c:v>
                </c:pt>
                <c:pt idx="9" formatCode="0.0000">
                  <c:v>4.1889999999999992</c:v>
                </c:pt>
                <c:pt idx="10" formatCode="0.0000">
                  <c:v>4.6284999999999989</c:v>
                </c:pt>
                <c:pt idx="11" formatCode="0.0000">
                  <c:v>5.0679999999999987</c:v>
                </c:pt>
                <c:pt idx="12" formatCode="0.0000">
                  <c:v>5.5074999999999985</c:v>
                </c:pt>
                <c:pt idx="13" formatCode="0.0000">
                  <c:v>5.9469999999999983</c:v>
                </c:pt>
                <c:pt idx="14" formatCode="0.0000">
                  <c:v>6.3864999999999981</c:v>
                </c:pt>
                <c:pt idx="15" formatCode="0.0000">
                  <c:v>6.8259999999999978</c:v>
                </c:pt>
                <c:pt idx="16" formatCode="0.0000">
                  <c:v>7.2654999999999976</c:v>
                </c:pt>
                <c:pt idx="17" formatCode="0.0000">
                  <c:v>7.7049999999999974</c:v>
                </c:pt>
                <c:pt idx="18" formatCode="0.0000">
                  <c:v>8.1444999999999972</c:v>
                </c:pt>
                <c:pt idx="19" formatCode="0.0000">
                  <c:v>8.5839999999999979</c:v>
                </c:pt>
                <c:pt idx="20" formatCode="0.0000">
                  <c:v>9.0234999999999985</c:v>
                </c:pt>
                <c:pt idx="21" formatCode="0.0000">
                  <c:v>9.4629999999999992</c:v>
                </c:pt>
                <c:pt idx="22" formatCode="0.0000">
                  <c:v>9.9024999999999999</c:v>
                </c:pt>
                <c:pt idx="23" formatCode="0.0000">
                  <c:v>10.342000000000001</c:v>
                </c:pt>
                <c:pt idx="24" formatCode="0.0000">
                  <c:v>10.781500000000001</c:v>
                </c:pt>
                <c:pt idx="25" formatCode="0.0000">
                  <c:v>11.221000000000002</c:v>
                </c:pt>
                <c:pt idx="26" formatCode="0.0000">
                  <c:v>11.660500000000003</c:v>
                </c:pt>
                <c:pt idx="27" formatCode="0.0000">
                  <c:v>12.100000000000003</c:v>
                </c:pt>
                <c:pt idx="28" formatCode="0.0000">
                  <c:v>12.539500000000004</c:v>
                </c:pt>
                <c:pt idx="29" formatCode="0.0000">
                  <c:v>12.979000000000005</c:v>
                </c:pt>
                <c:pt idx="30" formatCode="0.0000">
                  <c:v>13.418500000000005</c:v>
                </c:pt>
                <c:pt idx="31" formatCode="0.0000">
                  <c:v>13.858000000000006</c:v>
                </c:pt>
                <c:pt idx="32" formatCode="0.0000">
                  <c:v>14.297500000000007</c:v>
                </c:pt>
                <c:pt idx="33" formatCode="0.0000">
                  <c:v>14.737000000000007</c:v>
                </c:pt>
                <c:pt idx="34" formatCode="0.0000">
                  <c:v>15.176500000000008</c:v>
                </c:pt>
                <c:pt idx="35" formatCode="0.0000">
                  <c:v>15.616000000000009</c:v>
                </c:pt>
                <c:pt idx="36" formatCode="0.0000">
                  <c:v>16.055500000000009</c:v>
                </c:pt>
                <c:pt idx="37" formatCode="0.0000">
                  <c:v>16.495000000000008</c:v>
                </c:pt>
                <c:pt idx="38" formatCode="0.0000">
                  <c:v>16.934500000000007</c:v>
                </c:pt>
                <c:pt idx="39" formatCode="0.0000">
                  <c:v>17.374000000000006</c:v>
                </c:pt>
                <c:pt idx="40" formatCode="0.0000">
                  <c:v>17.813500000000005</c:v>
                </c:pt>
                <c:pt idx="41" formatCode="0.0000">
                  <c:v>18.253000000000004</c:v>
                </c:pt>
                <c:pt idx="42" formatCode="0.0000">
                  <c:v>18.692500000000003</c:v>
                </c:pt>
                <c:pt idx="43" formatCode="0.0000">
                  <c:v>19.132000000000001</c:v>
                </c:pt>
                <c:pt idx="44" formatCode="0.0000">
                  <c:v>19.5715</c:v>
                </c:pt>
                <c:pt idx="45" formatCode="0.0000">
                  <c:v>20.010999999999999</c:v>
                </c:pt>
                <c:pt idx="46" formatCode="0.0000">
                  <c:v>20.450499999999998</c:v>
                </c:pt>
                <c:pt idx="47" formatCode="0.0000">
                  <c:v>20.889999999999997</c:v>
                </c:pt>
                <c:pt idx="48" formatCode="0.0000">
                  <c:v>21.329499999999996</c:v>
                </c:pt>
                <c:pt idx="49" formatCode="0.0000">
                  <c:v>21.768999999999995</c:v>
                </c:pt>
                <c:pt idx="50" formatCode="0.0000">
                  <c:v>22.208499999999994</c:v>
                </c:pt>
                <c:pt idx="51" formatCode="0.0000">
                  <c:v>22.647999999999993</c:v>
                </c:pt>
                <c:pt idx="52" formatCode="0.0000">
                  <c:v>23.087499999999991</c:v>
                </c:pt>
                <c:pt idx="53" formatCode="0.0000">
                  <c:v>23.52699999999999</c:v>
                </c:pt>
                <c:pt idx="54" formatCode="0.0000">
                  <c:v>23.966499999999989</c:v>
                </c:pt>
                <c:pt idx="55" formatCode="0.0000">
                  <c:v>24.405999999999988</c:v>
                </c:pt>
                <c:pt idx="56" formatCode="0.0000">
                  <c:v>24.845499999999987</c:v>
                </c:pt>
                <c:pt idx="57" formatCode="0.0000">
                  <c:v>25.284999999999986</c:v>
                </c:pt>
                <c:pt idx="58" formatCode="0.0000">
                  <c:v>25.724499999999985</c:v>
                </c:pt>
                <c:pt idx="59" formatCode="0.0000">
                  <c:v>26.163999999999984</c:v>
                </c:pt>
                <c:pt idx="60" formatCode="0.0000">
                  <c:v>26.603499999999983</c:v>
                </c:pt>
                <c:pt idx="61" formatCode="0.0000">
                  <c:v>27.042999999999981</c:v>
                </c:pt>
                <c:pt idx="62" formatCode="0.0000">
                  <c:v>27.48249999999998</c:v>
                </c:pt>
                <c:pt idx="63" formatCode="0.0000">
                  <c:v>27.921999999999979</c:v>
                </c:pt>
                <c:pt idx="64" formatCode="0.0000">
                  <c:v>28.361499999999978</c:v>
                </c:pt>
                <c:pt idx="65" formatCode="0.0000">
                  <c:v>28.800999999999977</c:v>
                </c:pt>
              </c:numCache>
            </c:numRef>
          </c:yVal>
          <c:smooth val="0"/>
          <c:extLst>
            <c:ext xmlns:c16="http://schemas.microsoft.com/office/drawing/2014/chart" uri="{C3380CC4-5D6E-409C-BE32-E72D297353CC}">
              <c16:uniqueId val="{00000008-280D-40FD-907A-A5A43F6C5389}"/>
            </c:ext>
          </c:extLst>
        </c:ser>
        <c:ser>
          <c:idx val="3"/>
          <c:order val="9"/>
          <c:tx>
            <c:strRef>
              <c:f>Calculation!$AM$86</c:f>
              <c:strCache>
                <c:ptCount val="1"/>
                <c:pt idx="0">
                  <c:v>CHART Significantly Higher (4 - Light Blue)</c:v>
                </c:pt>
              </c:strCache>
            </c:strRef>
          </c:tx>
          <c:spPr>
            <a:ln w="28575">
              <a:noFill/>
            </a:ln>
          </c:spPr>
          <c:marker>
            <c:symbol val="circle"/>
            <c:size val="9"/>
            <c:spPr>
              <a:solidFill>
                <a:schemeClr val="tx2">
                  <a:lumMod val="20000"/>
                  <a:lumOff val="80000"/>
                </a:schemeClr>
              </a:solidFill>
              <a:ln>
                <a:solidFill>
                  <a:schemeClr val="tx1"/>
                </a:solidFill>
              </a:ln>
            </c:spPr>
          </c:marker>
          <c:xVal>
            <c:numRef>
              <c:f>Calculation!$AM$87:$AM$152</c:f>
              <c:numCache>
                <c:formatCode>0.00</c:formatCode>
                <c:ptCount val="66"/>
                <c:pt idx="1">
                  <c:v>0.60116818114593062</c:v>
                </c:pt>
                <c:pt idx="2">
                  <c:v>0.60154111425925205</c:v>
                </c:pt>
                <c:pt idx="3">
                  <c:v>-999</c:v>
                </c:pt>
                <c:pt idx="4">
                  <c:v>0.6482437217306386</c:v>
                </c:pt>
                <c:pt idx="5">
                  <c:v>-999</c:v>
                </c:pt>
                <c:pt idx="6">
                  <c:v>0.75814169176480639</c:v>
                </c:pt>
                <c:pt idx="7">
                  <c:v>0.69422893975522137</c:v>
                </c:pt>
                <c:pt idx="8">
                  <c:v>-999</c:v>
                </c:pt>
                <c:pt idx="9">
                  <c:v>-999</c:v>
                </c:pt>
                <c:pt idx="10">
                  <c:v>-999</c:v>
                </c:pt>
                <c:pt idx="11">
                  <c:v>-999</c:v>
                </c:pt>
                <c:pt idx="12">
                  <c:v>-999</c:v>
                </c:pt>
                <c:pt idx="13">
                  <c:v>-999</c:v>
                </c:pt>
                <c:pt idx="14">
                  <c:v>-999</c:v>
                </c:pt>
                <c:pt idx="15">
                  <c:v>-999</c:v>
                </c:pt>
                <c:pt idx="16">
                  <c:v>-999</c:v>
                </c:pt>
                <c:pt idx="17">
                  <c:v>-999</c:v>
                </c:pt>
                <c:pt idx="18">
                  <c:v>-999</c:v>
                </c:pt>
                <c:pt idx="19">
                  <c:v>-999</c:v>
                </c:pt>
                <c:pt idx="20">
                  <c:v>-999</c:v>
                </c:pt>
                <c:pt idx="21">
                  <c:v>-999</c:v>
                </c:pt>
                <c:pt idx="22">
                  <c:v>-999</c:v>
                </c:pt>
                <c:pt idx="23">
                  <c:v>-999</c:v>
                </c:pt>
                <c:pt idx="24">
                  <c:v>-999</c:v>
                </c:pt>
                <c:pt idx="25">
                  <c:v>-999</c:v>
                </c:pt>
                <c:pt idx="26">
                  <c:v>-999</c:v>
                </c:pt>
                <c:pt idx="27">
                  <c:v>-999</c:v>
                </c:pt>
                <c:pt idx="28">
                  <c:v>-999</c:v>
                </c:pt>
                <c:pt idx="29">
                  <c:v>-999</c:v>
                </c:pt>
                <c:pt idx="30">
                  <c:v>-999</c:v>
                </c:pt>
                <c:pt idx="31">
                  <c:v>-999</c:v>
                </c:pt>
                <c:pt idx="32">
                  <c:v>-999</c:v>
                </c:pt>
                <c:pt idx="33">
                  <c:v>-999</c:v>
                </c:pt>
                <c:pt idx="34">
                  <c:v>-999</c:v>
                </c:pt>
                <c:pt idx="35">
                  <c:v>-999</c:v>
                </c:pt>
                <c:pt idx="36">
                  <c:v>-999</c:v>
                </c:pt>
                <c:pt idx="37">
                  <c:v>-999</c:v>
                </c:pt>
                <c:pt idx="38">
                  <c:v>-999</c:v>
                </c:pt>
                <c:pt idx="39">
                  <c:v>-999</c:v>
                </c:pt>
                <c:pt idx="40">
                  <c:v>-999</c:v>
                </c:pt>
                <c:pt idx="41">
                  <c:v>-999</c:v>
                </c:pt>
                <c:pt idx="42">
                  <c:v>-999</c:v>
                </c:pt>
                <c:pt idx="43">
                  <c:v>-999</c:v>
                </c:pt>
                <c:pt idx="44">
                  <c:v>-999</c:v>
                </c:pt>
                <c:pt idx="45">
                  <c:v>-999</c:v>
                </c:pt>
                <c:pt idx="46">
                  <c:v>-999</c:v>
                </c:pt>
                <c:pt idx="47">
                  <c:v>-999</c:v>
                </c:pt>
                <c:pt idx="48">
                  <c:v>-999</c:v>
                </c:pt>
                <c:pt idx="49">
                  <c:v>-999</c:v>
                </c:pt>
                <c:pt idx="50">
                  <c:v>-999</c:v>
                </c:pt>
                <c:pt idx="51">
                  <c:v>-999</c:v>
                </c:pt>
                <c:pt idx="52">
                  <c:v>-999</c:v>
                </c:pt>
                <c:pt idx="53">
                  <c:v>-999</c:v>
                </c:pt>
                <c:pt idx="54">
                  <c:v>-999</c:v>
                </c:pt>
                <c:pt idx="55">
                  <c:v>-999</c:v>
                </c:pt>
                <c:pt idx="56">
                  <c:v>-999</c:v>
                </c:pt>
                <c:pt idx="57">
                  <c:v>-999</c:v>
                </c:pt>
                <c:pt idx="58">
                  <c:v>-999</c:v>
                </c:pt>
                <c:pt idx="59">
                  <c:v>-999</c:v>
                </c:pt>
                <c:pt idx="60">
                  <c:v>-999</c:v>
                </c:pt>
                <c:pt idx="61">
                  <c:v>-999</c:v>
                </c:pt>
                <c:pt idx="62">
                  <c:v>-999</c:v>
                </c:pt>
                <c:pt idx="63">
                  <c:v>-999</c:v>
                </c:pt>
                <c:pt idx="64">
                  <c:v>0.62720294002262289</c:v>
                </c:pt>
                <c:pt idx="65">
                  <c:v>-999</c:v>
                </c:pt>
              </c:numCache>
            </c:numRef>
          </c:xVal>
          <c:yVal>
            <c:numRef>
              <c:f>Calculation!$AO$87:$AO$152</c:f>
              <c:numCache>
                <c:formatCode>General</c:formatCode>
                <c:ptCount val="66"/>
                <c:pt idx="1">
                  <c:v>0.67300000000000004</c:v>
                </c:pt>
                <c:pt idx="2" formatCode="0.0000">
                  <c:v>1.1125</c:v>
                </c:pt>
                <c:pt idx="3" formatCode="0.0000">
                  <c:v>1.552</c:v>
                </c:pt>
                <c:pt idx="4" formatCode="0.0000">
                  <c:v>1.9915</c:v>
                </c:pt>
                <c:pt idx="5" formatCode="0.0000">
                  <c:v>2.431</c:v>
                </c:pt>
                <c:pt idx="6" formatCode="0.0000">
                  <c:v>2.8704999999999998</c:v>
                </c:pt>
                <c:pt idx="7" formatCode="0.0000">
                  <c:v>3.3099999999999996</c:v>
                </c:pt>
                <c:pt idx="8" formatCode="0.0000">
                  <c:v>3.7494999999999994</c:v>
                </c:pt>
                <c:pt idx="9" formatCode="0.0000">
                  <c:v>4.1889999999999992</c:v>
                </c:pt>
                <c:pt idx="10" formatCode="0.0000">
                  <c:v>4.6284999999999989</c:v>
                </c:pt>
                <c:pt idx="11" formatCode="0.0000">
                  <c:v>5.0679999999999987</c:v>
                </c:pt>
                <c:pt idx="12" formatCode="0.0000">
                  <c:v>5.5074999999999985</c:v>
                </c:pt>
                <c:pt idx="13" formatCode="0.0000">
                  <c:v>5.9469999999999983</c:v>
                </c:pt>
                <c:pt idx="14" formatCode="0.0000">
                  <c:v>6.3864999999999981</c:v>
                </c:pt>
                <c:pt idx="15" formatCode="0.0000">
                  <c:v>6.8259999999999978</c:v>
                </c:pt>
                <c:pt idx="16" formatCode="0.0000">
                  <c:v>7.2654999999999976</c:v>
                </c:pt>
                <c:pt idx="17" formatCode="0.0000">
                  <c:v>7.7049999999999974</c:v>
                </c:pt>
                <c:pt idx="18" formatCode="0.0000">
                  <c:v>8.1444999999999972</c:v>
                </c:pt>
                <c:pt idx="19" formatCode="0.0000">
                  <c:v>8.5839999999999979</c:v>
                </c:pt>
                <c:pt idx="20" formatCode="0.0000">
                  <c:v>9.0234999999999985</c:v>
                </c:pt>
                <c:pt idx="21" formatCode="0.0000">
                  <c:v>9.4629999999999992</c:v>
                </c:pt>
                <c:pt idx="22" formatCode="0.0000">
                  <c:v>9.9024999999999999</c:v>
                </c:pt>
                <c:pt idx="23" formatCode="0.0000">
                  <c:v>10.342000000000001</c:v>
                </c:pt>
                <c:pt idx="24" formatCode="0.0000">
                  <c:v>10.781500000000001</c:v>
                </c:pt>
                <c:pt idx="25" formatCode="0.0000">
                  <c:v>11.221000000000002</c:v>
                </c:pt>
                <c:pt idx="26" formatCode="0.0000">
                  <c:v>11.660500000000003</c:v>
                </c:pt>
                <c:pt idx="27" formatCode="0.0000">
                  <c:v>12.100000000000003</c:v>
                </c:pt>
                <c:pt idx="28" formatCode="0.0000">
                  <c:v>12.539500000000004</c:v>
                </c:pt>
                <c:pt idx="29" formatCode="0.0000">
                  <c:v>12.979000000000005</c:v>
                </c:pt>
                <c:pt idx="30" formatCode="0.0000">
                  <c:v>13.418500000000005</c:v>
                </c:pt>
                <c:pt idx="31" formatCode="0.0000">
                  <c:v>13.858000000000006</c:v>
                </c:pt>
                <c:pt idx="32" formatCode="0.0000">
                  <c:v>14.297500000000007</c:v>
                </c:pt>
                <c:pt idx="33" formatCode="0.0000">
                  <c:v>14.737000000000007</c:v>
                </c:pt>
                <c:pt idx="34" formatCode="0.0000">
                  <c:v>15.176500000000008</c:v>
                </c:pt>
                <c:pt idx="35" formatCode="0.0000">
                  <c:v>15.616000000000009</c:v>
                </c:pt>
                <c:pt idx="36" formatCode="0.0000">
                  <c:v>16.055500000000009</c:v>
                </c:pt>
                <c:pt idx="37" formatCode="0.0000">
                  <c:v>16.495000000000008</c:v>
                </c:pt>
                <c:pt idx="38" formatCode="0.0000">
                  <c:v>16.934500000000007</c:v>
                </c:pt>
                <c:pt idx="39" formatCode="0.0000">
                  <c:v>17.374000000000006</c:v>
                </c:pt>
                <c:pt idx="40" formatCode="0.0000">
                  <c:v>17.813500000000005</c:v>
                </c:pt>
                <c:pt idx="41" formatCode="0.0000">
                  <c:v>18.253000000000004</c:v>
                </c:pt>
                <c:pt idx="42" formatCode="0.0000">
                  <c:v>18.692500000000003</c:v>
                </c:pt>
                <c:pt idx="43" formatCode="0.0000">
                  <c:v>19.132000000000001</c:v>
                </c:pt>
                <c:pt idx="44" formatCode="0.0000">
                  <c:v>19.5715</c:v>
                </c:pt>
                <c:pt idx="45" formatCode="0.0000">
                  <c:v>20.010999999999999</c:v>
                </c:pt>
                <c:pt idx="46" formatCode="0.0000">
                  <c:v>20.450499999999998</c:v>
                </c:pt>
                <c:pt idx="47" formatCode="0.0000">
                  <c:v>20.889999999999997</c:v>
                </c:pt>
                <c:pt idx="48" formatCode="0.0000">
                  <c:v>21.329499999999996</c:v>
                </c:pt>
                <c:pt idx="49" formatCode="0.0000">
                  <c:v>21.768999999999995</c:v>
                </c:pt>
                <c:pt idx="50" formatCode="0.0000">
                  <c:v>22.208499999999994</c:v>
                </c:pt>
                <c:pt idx="51" formatCode="0.0000">
                  <c:v>22.647999999999993</c:v>
                </c:pt>
                <c:pt idx="52" formatCode="0.0000">
                  <c:v>23.087499999999991</c:v>
                </c:pt>
                <c:pt idx="53" formatCode="0.0000">
                  <c:v>23.52699999999999</c:v>
                </c:pt>
                <c:pt idx="54" formatCode="0.0000">
                  <c:v>23.966499999999989</c:v>
                </c:pt>
                <c:pt idx="55" formatCode="0.0000">
                  <c:v>24.405999999999988</c:v>
                </c:pt>
                <c:pt idx="56" formatCode="0.0000">
                  <c:v>24.845499999999987</c:v>
                </c:pt>
                <c:pt idx="57" formatCode="0.0000">
                  <c:v>25.284999999999986</c:v>
                </c:pt>
                <c:pt idx="58" formatCode="0.0000">
                  <c:v>25.724499999999985</c:v>
                </c:pt>
                <c:pt idx="59" formatCode="0.0000">
                  <c:v>26.163999999999984</c:v>
                </c:pt>
                <c:pt idx="60" formatCode="0.0000">
                  <c:v>26.603499999999983</c:v>
                </c:pt>
                <c:pt idx="61" formatCode="0.0000">
                  <c:v>27.042999999999981</c:v>
                </c:pt>
                <c:pt idx="62" formatCode="0.0000">
                  <c:v>27.48249999999998</c:v>
                </c:pt>
                <c:pt idx="63" formatCode="0.0000">
                  <c:v>27.921999999999979</c:v>
                </c:pt>
                <c:pt idx="64" formatCode="0.0000">
                  <c:v>28.361499999999978</c:v>
                </c:pt>
                <c:pt idx="65" formatCode="0.0000">
                  <c:v>28.800999999999977</c:v>
                </c:pt>
              </c:numCache>
            </c:numRef>
          </c:yVal>
          <c:smooth val="0"/>
          <c:extLst>
            <c:ext xmlns:c16="http://schemas.microsoft.com/office/drawing/2014/chart" uri="{C3380CC4-5D6E-409C-BE32-E72D297353CC}">
              <c16:uniqueId val="{00000009-280D-40FD-907A-A5A43F6C5389}"/>
            </c:ext>
          </c:extLst>
        </c:ser>
        <c:ser>
          <c:idx val="11"/>
          <c:order val="10"/>
          <c:tx>
            <c:strRef>
              <c:f>Calculation!$AI$86</c:f>
              <c:strCache>
                <c:ptCount val="1"/>
                <c:pt idx="0">
                  <c:v>CHART Similar (5 - Yellow)</c:v>
                </c:pt>
              </c:strCache>
            </c:strRef>
          </c:tx>
          <c:spPr>
            <a:ln w="25400">
              <a:noFill/>
            </a:ln>
          </c:spPr>
          <c:marker>
            <c:symbol val="circle"/>
            <c:size val="9"/>
            <c:spPr>
              <a:solidFill>
                <a:srgbClr val="FFFF99"/>
              </a:solidFill>
              <a:ln>
                <a:solidFill>
                  <a:srgbClr val="000000"/>
                </a:solidFill>
                <a:prstDash val="solid"/>
              </a:ln>
            </c:spPr>
          </c:marker>
          <c:xVal>
            <c:numRef>
              <c:f>Calculation!$AI$87:$AI$152</c:f>
              <c:numCache>
                <c:formatCode>0.00</c:formatCode>
                <c:ptCount val="66"/>
                <c:pt idx="1">
                  <c:v>-999</c:v>
                </c:pt>
                <c:pt idx="2">
                  <c:v>-999</c:v>
                </c:pt>
                <c:pt idx="3">
                  <c:v>-999</c:v>
                </c:pt>
                <c:pt idx="4">
                  <c:v>-999</c:v>
                </c:pt>
                <c:pt idx="5">
                  <c:v>-999</c:v>
                </c:pt>
                <c:pt idx="6">
                  <c:v>-999</c:v>
                </c:pt>
                <c:pt idx="7">
                  <c:v>-999</c:v>
                </c:pt>
                <c:pt idx="8">
                  <c:v>0.48678894159087144</c:v>
                </c:pt>
                <c:pt idx="9">
                  <c:v>0.49691467491042673</c:v>
                </c:pt>
                <c:pt idx="10">
                  <c:v>0.50147380980962875</c:v>
                </c:pt>
                <c:pt idx="11">
                  <c:v>0.49891287104604848</c:v>
                </c:pt>
                <c:pt idx="12">
                  <c:v>0.49954949972537044</c:v>
                </c:pt>
                <c:pt idx="13">
                  <c:v>-999</c:v>
                </c:pt>
                <c:pt idx="14">
                  <c:v>-999</c:v>
                </c:pt>
                <c:pt idx="15">
                  <c:v>-999</c:v>
                </c:pt>
                <c:pt idx="16">
                  <c:v>0.5119457367760708</c:v>
                </c:pt>
                <c:pt idx="17">
                  <c:v>-999</c:v>
                </c:pt>
                <c:pt idx="18">
                  <c:v>0.54081464893129549</c:v>
                </c:pt>
                <c:pt idx="19">
                  <c:v>0.52131628943276143</c:v>
                </c:pt>
                <c:pt idx="20">
                  <c:v>-999</c:v>
                </c:pt>
                <c:pt idx="21">
                  <c:v>-999</c:v>
                </c:pt>
                <c:pt idx="22">
                  <c:v>0.49919251846479196</c:v>
                </c:pt>
                <c:pt idx="23">
                  <c:v>0.46845240799544069</c:v>
                </c:pt>
                <c:pt idx="24">
                  <c:v>0.5369098265930381</c:v>
                </c:pt>
                <c:pt idx="25">
                  <c:v>0.41211686746759912</c:v>
                </c:pt>
                <c:pt idx="26">
                  <c:v>0.51414524562419783</c:v>
                </c:pt>
                <c:pt idx="27">
                  <c:v>0.50415480958347603</c:v>
                </c:pt>
                <c:pt idx="28">
                  <c:v>0.41912661750470026</c:v>
                </c:pt>
                <c:pt idx="29">
                  <c:v>0.49355288529681396</c:v>
                </c:pt>
                <c:pt idx="30">
                  <c:v>0.47917009385695786</c:v>
                </c:pt>
                <c:pt idx="31">
                  <c:v>-999</c:v>
                </c:pt>
                <c:pt idx="32">
                  <c:v>0.5120771765468376</c:v>
                </c:pt>
                <c:pt idx="33">
                  <c:v>-999</c:v>
                </c:pt>
                <c:pt idx="34">
                  <c:v>0.5247809907569474</c:v>
                </c:pt>
                <c:pt idx="35">
                  <c:v>0.45593656235432101</c:v>
                </c:pt>
                <c:pt idx="36">
                  <c:v>-999</c:v>
                </c:pt>
                <c:pt idx="37">
                  <c:v>0.42938224837224237</c:v>
                </c:pt>
                <c:pt idx="38">
                  <c:v>-999</c:v>
                </c:pt>
                <c:pt idx="39">
                  <c:v>0.49685708122790989</c:v>
                </c:pt>
                <c:pt idx="40">
                  <c:v>-999</c:v>
                </c:pt>
                <c:pt idx="41">
                  <c:v>-999</c:v>
                </c:pt>
                <c:pt idx="42">
                  <c:v>-999</c:v>
                </c:pt>
                <c:pt idx="43">
                  <c:v>0.59770719485472568</c:v>
                </c:pt>
                <c:pt idx="44">
                  <c:v>-999</c:v>
                </c:pt>
                <c:pt idx="45">
                  <c:v>0.38509530403577047</c:v>
                </c:pt>
                <c:pt idx="46">
                  <c:v>0.66355494246337199</c:v>
                </c:pt>
                <c:pt idx="47">
                  <c:v>0.46304179557615532</c:v>
                </c:pt>
                <c:pt idx="48">
                  <c:v>0.52661773156713021</c:v>
                </c:pt>
                <c:pt idx="49">
                  <c:v>0.47234668946515751</c:v>
                </c:pt>
                <c:pt idx="50">
                  <c:v>-999</c:v>
                </c:pt>
                <c:pt idx="51">
                  <c:v>-999</c:v>
                </c:pt>
                <c:pt idx="52">
                  <c:v>0.54413447493307487</c:v>
                </c:pt>
                <c:pt idx="53">
                  <c:v>0.58931401334305544</c:v>
                </c:pt>
                <c:pt idx="54">
                  <c:v>0.34161086600027207</c:v>
                </c:pt>
                <c:pt idx="55">
                  <c:v>0.48664961250520133</c:v>
                </c:pt>
                <c:pt idx="56">
                  <c:v>-999</c:v>
                </c:pt>
                <c:pt idx="57">
                  <c:v>0.50070193057583134</c:v>
                </c:pt>
                <c:pt idx="58">
                  <c:v>0.4973003035405697</c:v>
                </c:pt>
                <c:pt idx="59">
                  <c:v>0.48325109849955783</c:v>
                </c:pt>
                <c:pt idx="60">
                  <c:v>0.49314478421901353</c:v>
                </c:pt>
                <c:pt idx="61">
                  <c:v>0.46134782240333766</c:v>
                </c:pt>
                <c:pt idx="62">
                  <c:v>-999</c:v>
                </c:pt>
                <c:pt idx="63">
                  <c:v>-999</c:v>
                </c:pt>
                <c:pt idx="64">
                  <c:v>-999</c:v>
                </c:pt>
                <c:pt idx="65">
                  <c:v>-999</c:v>
                </c:pt>
              </c:numCache>
            </c:numRef>
          </c:xVal>
          <c:yVal>
            <c:numRef>
              <c:f>Calculation!$AO$87:$AO$152</c:f>
              <c:numCache>
                <c:formatCode>General</c:formatCode>
                <c:ptCount val="66"/>
                <c:pt idx="1">
                  <c:v>0.67300000000000004</c:v>
                </c:pt>
                <c:pt idx="2" formatCode="0.0000">
                  <c:v>1.1125</c:v>
                </c:pt>
                <c:pt idx="3" formatCode="0.0000">
                  <c:v>1.552</c:v>
                </c:pt>
                <c:pt idx="4" formatCode="0.0000">
                  <c:v>1.9915</c:v>
                </c:pt>
                <c:pt idx="5" formatCode="0.0000">
                  <c:v>2.431</c:v>
                </c:pt>
                <c:pt idx="6" formatCode="0.0000">
                  <c:v>2.8704999999999998</c:v>
                </c:pt>
                <c:pt idx="7" formatCode="0.0000">
                  <c:v>3.3099999999999996</c:v>
                </c:pt>
                <c:pt idx="8" formatCode="0.0000">
                  <c:v>3.7494999999999994</c:v>
                </c:pt>
                <c:pt idx="9" formatCode="0.0000">
                  <c:v>4.1889999999999992</c:v>
                </c:pt>
                <c:pt idx="10" formatCode="0.0000">
                  <c:v>4.6284999999999989</c:v>
                </c:pt>
                <c:pt idx="11" formatCode="0.0000">
                  <c:v>5.0679999999999987</c:v>
                </c:pt>
                <c:pt idx="12" formatCode="0.0000">
                  <c:v>5.5074999999999985</c:v>
                </c:pt>
                <c:pt idx="13" formatCode="0.0000">
                  <c:v>5.9469999999999983</c:v>
                </c:pt>
                <c:pt idx="14" formatCode="0.0000">
                  <c:v>6.3864999999999981</c:v>
                </c:pt>
                <c:pt idx="15" formatCode="0.0000">
                  <c:v>6.8259999999999978</c:v>
                </c:pt>
                <c:pt idx="16" formatCode="0.0000">
                  <c:v>7.2654999999999976</c:v>
                </c:pt>
                <c:pt idx="17" formatCode="0.0000">
                  <c:v>7.7049999999999974</c:v>
                </c:pt>
                <c:pt idx="18" formatCode="0.0000">
                  <c:v>8.1444999999999972</c:v>
                </c:pt>
                <c:pt idx="19" formatCode="0.0000">
                  <c:v>8.5839999999999979</c:v>
                </c:pt>
                <c:pt idx="20" formatCode="0.0000">
                  <c:v>9.0234999999999985</c:v>
                </c:pt>
                <c:pt idx="21" formatCode="0.0000">
                  <c:v>9.4629999999999992</c:v>
                </c:pt>
                <c:pt idx="22" formatCode="0.0000">
                  <c:v>9.9024999999999999</c:v>
                </c:pt>
                <c:pt idx="23" formatCode="0.0000">
                  <c:v>10.342000000000001</c:v>
                </c:pt>
                <c:pt idx="24" formatCode="0.0000">
                  <c:v>10.781500000000001</c:v>
                </c:pt>
                <c:pt idx="25" formatCode="0.0000">
                  <c:v>11.221000000000002</c:v>
                </c:pt>
                <c:pt idx="26" formatCode="0.0000">
                  <c:v>11.660500000000003</c:v>
                </c:pt>
                <c:pt idx="27" formatCode="0.0000">
                  <c:v>12.100000000000003</c:v>
                </c:pt>
                <c:pt idx="28" formatCode="0.0000">
                  <c:v>12.539500000000004</c:v>
                </c:pt>
                <c:pt idx="29" formatCode="0.0000">
                  <c:v>12.979000000000005</c:v>
                </c:pt>
                <c:pt idx="30" formatCode="0.0000">
                  <c:v>13.418500000000005</c:v>
                </c:pt>
                <c:pt idx="31" formatCode="0.0000">
                  <c:v>13.858000000000006</c:v>
                </c:pt>
                <c:pt idx="32" formatCode="0.0000">
                  <c:v>14.297500000000007</c:v>
                </c:pt>
                <c:pt idx="33" formatCode="0.0000">
                  <c:v>14.737000000000007</c:v>
                </c:pt>
                <c:pt idx="34" formatCode="0.0000">
                  <c:v>15.176500000000008</c:v>
                </c:pt>
                <c:pt idx="35" formatCode="0.0000">
                  <c:v>15.616000000000009</c:v>
                </c:pt>
                <c:pt idx="36" formatCode="0.0000">
                  <c:v>16.055500000000009</c:v>
                </c:pt>
                <c:pt idx="37" formatCode="0.0000">
                  <c:v>16.495000000000008</c:v>
                </c:pt>
                <c:pt idx="38" formatCode="0.0000">
                  <c:v>16.934500000000007</c:v>
                </c:pt>
                <c:pt idx="39" formatCode="0.0000">
                  <c:v>17.374000000000006</c:v>
                </c:pt>
                <c:pt idx="40" formatCode="0.0000">
                  <c:v>17.813500000000005</c:v>
                </c:pt>
                <c:pt idx="41" formatCode="0.0000">
                  <c:v>18.253000000000004</c:v>
                </c:pt>
                <c:pt idx="42" formatCode="0.0000">
                  <c:v>18.692500000000003</c:v>
                </c:pt>
                <c:pt idx="43" formatCode="0.0000">
                  <c:v>19.132000000000001</c:v>
                </c:pt>
                <c:pt idx="44" formatCode="0.0000">
                  <c:v>19.5715</c:v>
                </c:pt>
                <c:pt idx="45" formatCode="0.0000">
                  <c:v>20.010999999999999</c:v>
                </c:pt>
                <c:pt idx="46" formatCode="0.0000">
                  <c:v>20.450499999999998</c:v>
                </c:pt>
                <c:pt idx="47" formatCode="0.0000">
                  <c:v>20.889999999999997</c:v>
                </c:pt>
                <c:pt idx="48" formatCode="0.0000">
                  <c:v>21.329499999999996</c:v>
                </c:pt>
                <c:pt idx="49" formatCode="0.0000">
                  <c:v>21.768999999999995</c:v>
                </c:pt>
                <c:pt idx="50" formatCode="0.0000">
                  <c:v>22.208499999999994</c:v>
                </c:pt>
                <c:pt idx="51" formatCode="0.0000">
                  <c:v>22.647999999999993</c:v>
                </c:pt>
                <c:pt idx="52" formatCode="0.0000">
                  <c:v>23.087499999999991</c:v>
                </c:pt>
                <c:pt idx="53" formatCode="0.0000">
                  <c:v>23.52699999999999</c:v>
                </c:pt>
                <c:pt idx="54" formatCode="0.0000">
                  <c:v>23.966499999999989</c:v>
                </c:pt>
                <c:pt idx="55" formatCode="0.0000">
                  <c:v>24.405999999999988</c:v>
                </c:pt>
                <c:pt idx="56" formatCode="0.0000">
                  <c:v>24.845499999999987</c:v>
                </c:pt>
                <c:pt idx="57" formatCode="0.0000">
                  <c:v>25.284999999999986</c:v>
                </c:pt>
                <c:pt idx="58" formatCode="0.0000">
                  <c:v>25.724499999999985</c:v>
                </c:pt>
                <c:pt idx="59" formatCode="0.0000">
                  <c:v>26.163999999999984</c:v>
                </c:pt>
                <c:pt idx="60" formatCode="0.0000">
                  <c:v>26.603499999999983</c:v>
                </c:pt>
                <c:pt idx="61" formatCode="0.0000">
                  <c:v>27.042999999999981</c:v>
                </c:pt>
                <c:pt idx="62" formatCode="0.0000">
                  <c:v>27.48249999999998</c:v>
                </c:pt>
                <c:pt idx="63" formatCode="0.0000">
                  <c:v>27.921999999999979</c:v>
                </c:pt>
                <c:pt idx="64" formatCode="0.0000">
                  <c:v>28.361499999999978</c:v>
                </c:pt>
                <c:pt idx="65" formatCode="0.0000">
                  <c:v>28.800999999999977</c:v>
                </c:pt>
              </c:numCache>
            </c:numRef>
          </c:yVal>
          <c:smooth val="0"/>
          <c:extLst>
            <c:ext xmlns:c16="http://schemas.microsoft.com/office/drawing/2014/chart" uri="{C3380CC4-5D6E-409C-BE32-E72D297353CC}">
              <c16:uniqueId val="{0000000A-280D-40FD-907A-A5A43F6C5389}"/>
            </c:ext>
          </c:extLst>
        </c:ser>
        <c:ser>
          <c:idx val="0"/>
          <c:order val="11"/>
          <c:tx>
            <c:strRef>
              <c:f>Calculation!$AH$86</c:f>
              <c:strCache>
                <c:ptCount val="1"/>
                <c:pt idx="0">
                  <c:v>CHART Significance not calculated (6 - White)</c:v>
                </c:pt>
              </c:strCache>
            </c:strRef>
          </c:tx>
          <c:spPr>
            <a:ln w="28575">
              <a:noFill/>
            </a:ln>
          </c:spPr>
          <c:marker>
            <c:symbol val="circle"/>
            <c:size val="9"/>
            <c:spPr>
              <a:solidFill>
                <a:srgbClr val="FFFFFF"/>
              </a:solidFill>
              <a:ln>
                <a:solidFill>
                  <a:srgbClr val="000000"/>
                </a:solidFill>
                <a:prstDash val="solid"/>
              </a:ln>
            </c:spPr>
          </c:marker>
          <c:xVal>
            <c:numRef>
              <c:f>Calculation!$AH$87:$AH$152</c:f>
              <c:numCache>
                <c:formatCode>0.00</c:formatCode>
                <c:ptCount val="66"/>
                <c:pt idx="1">
                  <c:v>-999</c:v>
                </c:pt>
                <c:pt idx="2">
                  <c:v>-999</c:v>
                </c:pt>
                <c:pt idx="3">
                  <c:v>-999</c:v>
                </c:pt>
                <c:pt idx="4">
                  <c:v>-999</c:v>
                </c:pt>
                <c:pt idx="5">
                  <c:v>-999</c:v>
                </c:pt>
                <c:pt idx="6">
                  <c:v>-999</c:v>
                </c:pt>
                <c:pt idx="7">
                  <c:v>-999</c:v>
                </c:pt>
                <c:pt idx="8">
                  <c:v>-999</c:v>
                </c:pt>
                <c:pt idx="9">
                  <c:v>-999</c:v>
                </c:pt>
                <c:pt idx="10">
                  <c:v>-999</c:v>
                </c:pt>
                <c:pt idx="11">
                  <c:v>-999</c:v>
                </c:pt>
                <c:pt idx="12">
                  <c:v>-999</c:v>
                </c:pt>
                <c:pt idx="13">
                  <c:v>-999</c:v>
                </c:pt>
                <c:pt idx="14">
                  <c:v>-999</c:v>
                </c:pt>
                <c:pt idx="15">
                  <c:v>-999</c:v>
                </c:pt>
                <c:pt idx="16">
                  <c:v>-999</c:v>
                </c:pt>
                <c:pt idx="17">
                  <c:v>-999</c:v>
                </c:pt>
                <c:pt idx="18">
                  <c:v>-999</c:v>
                </c:pt>
                <c:pt idx="19">
                  <c:v>-999</c:v>
                </c:pt>
                <c:pt idx="20">
                  <c:v>-999</c:v>
                </c:pt>
                <c:pt idx="21">
                  <c:v>-999</c:v>
                </c:pt>
                <c:pt idx="22">
                  <c:v>-999</c:v>
                </c:pt>
                <c:pt idx="23">
                  <c:v>-999</c:v>
                </c:pt>
                <c:pt idx="24">
                  <c:v>-999</c:v>
                </c:pt>
                <c:pt idx="25">
                  <c:v>-999</c:v>
                </c:pt>
                <c:pt idx="26">
                  <c:v>-999</c:v>
                </c:pt>
                <c:pt idx="27">
                  <c:v>-999</c:v>
                </c:pt>
                <c:pt idx="28">
                  <c:v>-999</c:v>
                </c:pt>
                <c:pt idx="29">
                  <c:v>-999</c:v>
                </c:pt>
                <c:pt idx="30">
                  <c:v>-999</c:v>
                </c:pt>
                <c:pt idx="31">
                  <c:v>-999</c:v>
                </c:pt>
                <c:pt idx="32">
                  <c:v>-999</c:v>
                </c:pt>
                <c:pt idx="33">
                  <c:v>-999</c:v>
                </c:pt>
                <c:pt idx="34">
                  <c:v>-999</c:v>
                </c:pt>
                <c:pt idx="35">
                  <c:v>-999</c:v>
                </c:pt>
                <c:pt idx="36">
                  <c:v>-999</c:v>
                </c:pt>
                <c:pt idx="37">
                  <c:v>-999</c:v>
                </c:pt>
                <c:pt idx="38">
                  <c:v>-999</c:v>
                </c:pt>
                <c:pt idx="39">
                  <c:v>-999</c:v>
                </c:pt>
                <c:pt idx="40">
                  <c:v>-999</c:v>
                </c:pt>
                <c:pt idx="41">
                  <c:v>-999</c:v>
                </c:pt>
                <c:pt idx="42">
                  <c:v>-999</c:v>
                </c:pt>
                <c:pt idx="43">
                  <c:v>-999</c:v>
                </c:pt>
                <c:pt idx="44">
                  <c:v>-999</c:v>
                </c:pt>
                <c:pt idx="45">
                  <c:v>-999</c:v>
                </c:pt>
                <c:pt idx="46">
                  <c:v>-999</c:v>
                </c:pt>
                <c:pt idx="47">
                  <c:v>-999</c:v>
                </c:pt>
                <c:pt idx="48">
                  <c:v>-999</c:v>
                </c:pt>
                <c:pt idx="49">
                  <c:v>-999</c:v>
                </c:pt>
                <c:pt idx="50">
                  <c:v>-999</c:v>
                </c:pt>
                <c:pt idx="51">
                  <c:v>-999</c:v>
                </c:pt>
                <c:pt idx="52">
                  <c:v>-999</c:v>
                </c:pt>
                <c:pt idx="53">
                  <c:v>-999</c:v>
                </c:pt>
                <c:pt idx="54">
                  <c:v>-999</c:v>
                </c:pt>
                <c:pt idx="55">
                  <c:v>-999</c:v>
                </c:pt>
                <c:pt idx="56">
                  <c:v>-999</c:v>
                </c:pt>
                <c:pt idx="57">
                  <c:v>-999</c:v>
                </c:pt>
                <c:pt idx="58">
                  <c:v>-999</c:v>
                </c:pt>
                <c:pt idx="59">
                  <c:v>-999</c:v>
                </c:pt>
                <c:pt idx="60">
                  <c:v>-999</c:v>
                </c:pt>
                <c:pt idx="61">
                  <c:v>-999</c:v>
                </c:pt>
                <c:pt idx="62">
                  <c:v>-999</c:v>
                </c:pt>
                <c:pt idx="63">
                  <c:v>-999</c:v>
                </c:pt>
                <c:pt idx="64">
                  <c:v>-999</c:v>
                </c:pt>
                <c:pt idx="65">
                  <c:v>-999</c:v>
                </c:pt>
              </c:numCache>
            </c:numRef>
          </c:xVal>
          <c:yVal>
            <c:numRef>
              <c:f>Calculation!$AO$87:$AO$152</c:f>
              <c:numCache>
                <c:formatCode>General</c:formatCode>
                <c:ptCount val="66"/>
                <c:pt idx="1">
                  <c:v>0.67300000000000004</c:v>
                </c:pt>
                <c:pt idx="2" formatCode="0.0000">
                  <c:v>1.1125</c:v>
                </c:pt>
                <c:pt idx="3" formatCode="0.0000">
                  <c:v>1.552</c:v>
                </c:pt>
                <c:pt idx="4" formatCode="0.0000">
                  <c:v>1.9915</c:v>
                </c:pt>
                <c:pt idx="5" formatCode="0.0000">
                  <c:v>2.431</c:v>
                </c:pt>
                <c:pt idx="6" formatCode="0.0000">
                  <c:v>2.8704999999999998</c:v>
                </c:pt>
                <c:pt idx="7" formatCode="0.0000">
                  <c:v>3.3099999999999996</c:v>
                </c:pt>
                <c:pt idx="8" formatCode="0.0000">
                  <c:v>3.7494999999999994</c:v>
                </c:pt>
                <c:pt idx="9" formatCode="0.0000">
                  <c:v>4.1889999999999992</c:v>
                </c:pt>
                <c:pt idx="10" formatCode="0.0000">
                  <c:v>4.6284999999999989</c:v>
                </c:pt>
                <c:pt idx="11" formatCode="0.0000">
                  <c:v>5.0679999999999987</c:v>
                </c:pt>
                <c:pt idx="12" formatCode="0.0000">
                  <c:v>5.5074999999999985</c:v>
                </c:pt>
                <c:pt idx="13" formatCode="0.0000">
                  <c:v>5.9469999999999983</c:v>
                </c:pt>
                <c:pt idx="14" formatCode="0.0000">
                  <c:v>6.3864999999999981</c:v>
                </c:pt>
                <c:pt idx="15" formatCode="0.0000">
                  <c:v>6.8259999999999978</c:v>
                </c:pt>
                <c:pt idx="16" formatCode="0.0000">
                  <c:v>7.2654999999999976</c:v>
                </c:pt>
                <c:pt idx="17" formatCode="0.0000">
                  <c:v>7.7049999999999974</c:v>
                </c:pt>
                <c:pt idx="18" formatCode="0.0000">
                  <c:v>8.1444999999999972</c:v>
                </c:pt>
                <c:pt idx="19" formatCode="0.0000">
                  <c:v>8.5839999999999979</c:v>
                </c:pt>
                <c:pt idx="20" formatCode="0.0000">
                  <c:v>9.0234999999999985</c:v>
                </c:pt>
                <c:pt idx="21" formatCode="0.0000">
                  <c:v>9.4629999999999992</c:v>
                </c:pt>
                <c:pt idx="22" formatCode="0.0000">
                  <c:v>9.9024999999999999</c:v>
                </c:pt>
                <c:pt idx="23" formatCode="0.0000">
                  <c:v>10.342000000000001</c:v>
                </c:pt>
                <c:pt idx="24" formatCode="0.0000">
                  <c:v>10.781500000000001</c:v>
                </c:pt>
                <c:pt idx="25" formatCode="0.0000">
                  <c:v>11.221000000000002</c:v>
                </c:pt>
                <c:pt idx="26" formatCode="0.0000">
                  <c:v>11.660500000000003</c:v>
                </c:pt>
                <c:pt idx="27" formatCode="0.0000">
                  <c:v>12.100000000000003</c:v>
                </c:pt>
                <c:pt idx="28" formatCode="0.0000">
                  <c:v>12.539500000000004</c:v>
                </c:pt>
                <c:pt idx="29" formatCode="0.0000">
                  <c:v>12.979000000000005</c:v>
                </c:pt>
                <c:pt idx="30" formatCode="0.0000">
                  <c:v>13.418500000000005</c:v>
                </c:pt>
                <c:pt idx="31" formatCode="0.0000">
                  <c:v>13.858000000000006</c:v>
                </c:pt>
                <c:pt idx="32" formatCode="0.0000">
                  <c:v>14.297500000000007</c:v>
                </c:pt>
                <c:pt idx="33" formatCode="0.0000">
                  <c:v>14.737000000000007</c:v>
                </c:pt>
                <c:pt idx="34" formatCode="0.0000">
                  <c:v>15.176500000000008</c:v>
                </c:pt>
                <c:pt idx="35" formatCode="0.0000">
                  <c:v>15.616000000000009</c:v>
                </c:pt>
                <c:pt idx="36" formatCode="0.0000">
                  <c:v>16.055500000000009</c:v>
                </c:pt>
                <c:pt idx="37" formatCode="0.0000">
                  <c:v>16.495000000000008</c:v>
                </c:pt>
                <c:pt idx="38" formatCode="0.0000">
                  <c:v>16.934500000000007</c:v>
                </c:pt>
                <c:pt idx="39" formatCode="0.0000">
                  <c:v>17.374000000000006</c:v>
                </c:pt>
                <c:pt idx="40" formatCode="0.0000">
                  <c:v>17.813500000000005</c:v>
                </c:pt>
                <c:pt idx="41" formatCode="0.0000">
                  <c:v>18.253000000000004</c:v>
                </c:pt>
                <c:pt idx="42" formatCode="0.0000">
                  <c:v>18.692500000000003</c:v>
                </c:pt>
                <c:pt idx="43" formatCode="0.0000">
                  <c:v>19.132000000000001</c:v>
                </c:pt>
                <c:pt idx="44" formatCode="0.0000">
                  <c:v>19.5715</c:v>
                </c:pt>
                <c:pt idx="45" formatCode="0.0000">
                  <c:v>20.010999999999999</c:v>
                </c:pt>
                <c:pt idx="46" formatCode="0.0000">
                  <c:v>20.450499999999998</c:v>
                </c:pt>
                <c:pt idx="47" formatCode="0.0000">
                  <c:v>20.889999999999997</c:v>
                </c:pt>
                <c:pt idx="48" formatCode="0.0000">
                  <c:v>21.329499999999996</c:v>
                </c:pt>
                <c:pt idx="49" formatCode="0.0000">
                  <c:v>21.768999999999995</c:v>
                </c:pt>
                <c:pt idx="50" formatCode="0.0000">
                  <c:v>22.208499999999994</c:v>
                </c:pt>
                <c:pt idx="51" formatCode="0.0000">
                  <c:v>22.647999999999993</c:v>
                </c:pt>
                <c:pt idx="52" formatCode="0.0000">
                  <c:v>23.087499999999991</c:v>
                </c:pt>
                <c:pt idx="53" formatCode="0.0000">
                  <c:v>23.52699999999999</c:v>
                </c:pt>
                <c:pt idx="54" formatCode="0.0000">
                  <c:v>23.966499999999989</c:v>
                </c:pt>
                <c:pt idx="55" formatCode="0.0000">
                  <c:v>24.405999999999988</c:v>
                </c:pt>
                <c:pt idx="56" formatCode="0.0000">
                  <c:v>24.845499999999987</c:v>
                </c:pt>
                <c:pt idx="57" formatCode="0.0000">
                  <c:v>25.284999999999986</c:v>
                </c:pt>
                <c:pt idx="58" formatCode="0.0000">
                  <c:v>25.724499999999985</c:v>
                </c:pt>
                <c:pt idx="59" formatCode="0.0000">
                  <c:v>26.163999999999984</c:v>
                </c:pt>
                <c:pt idx="60" formatCode="0.0000">
                  <c:v>26.603499999999983</c:v>
                </c:pt>
                <c:pt idx="61" formatCode="0.0000">
                  <c:v>27.042999999999981</c:v>
                </c:pt>
                <c:pt idx="62" formatCode="0.0000">
                  <c:v>27.48249999999998</c:v>
                </c:pt>
                <c:pt idx="63" formatCode="0.0000">
                  <c:v>27.921999999999979</c:v>
                </c:pt>
                <c:pt idx="64" formatCode="0.0000">
                  <c:v>28.361499999999978</c:v>
                </c:pt>
                <c:pt idx="65" formatCode="0.0000">
                  <c:v>28.800999999999977</c:v>
                </c:pt>
              </c:numCache>
            </c:numRef>
          </c:yVal>
          <c:smooth val="0"/>
          <c:extLst>
            <c:ext xmlns:c16="http://schemas.microsoft.com/office/drawing/2014/chart" uri="{C3380CC4-5D6E-409C-BE32-E72D297353CC}">
              <c16:uniqueId val="{0000000B-280D-40FD-907A-A5A43F6C5389}"/>
            </c:ext>
          </c:extLst>
        </c:ser>
        <c:ser>
          <c:idx val="9"/>
          <c:order val="12"/>
          <c:tx>
            <c:v>Locality minimum practice</c:v>
          </c:tx>
          <c:spPr>
            <a:ln>
              <a:noFill/>
            </a:ln>
          </c:spPr>
          <c:marker>
            <c:symbol val="triangle"/>
            <c:size val="5"/>
            <c:spPr>
              <a:solidFill>
                <a:schemeClr val="tx1"/>
              </a:solidFill>
              <a:ln>
                <a:noFill/>
              </a:ln>
            </c:spPr>
          </c:marker>
          <c:xVal>
            <c:numRef>
              <c:f>Calculation!$AF$88:$AF$152</c:f>
              <c:numCache>
                <c:formatCode>0.00</c:formatCode>
                <c:ptCount val="65"/>
                <c:pt idx="0">
                  <c:v>0.3878271237768669</c:v>
                </c:pt>
                <c:pt idx="1">
                  <c:v>0.48405965886782815</c:v>
                </c:pt>
                <c:pt idx="2">
                  <c:v>0.34059168921064414</c:v>
                </c:pt>
                <c:pt idx="3">
                  <c:v>0.5578644454254964</c:v>
                </c:pt>
                <c:pt idx="4">
                  <c:v>0.79920175393896042</c:v>
                </c:pt>
                <c:pt idx="5">
                  <c:v>0.74545933867739622</c:v>
                </c:pt>
                <c:pt idx="6">
                  <c:v>0.68158016841719438</c:v>
                </c:pt>
                <c:pt idx="7">
                  <c:v>0.37140421725449618</c:v>
                </c:pt>
                <c:pt idx="8">
                  <c:v>0.25994502392271035</c:v>
                </c:pt>
                <c:pt idx="9">
                  <c:v>0.60950339828553901</c:v>
                </c:pt>
                <c:pt idx="10">
                  <c:v>0.61477915216621881</c:v>
                </c:pt>
                <c:pt idx="11">
                  <c:v>0.59492079283880994</c:v>
                </c:pt>
                <c:pt idx="12">
                  <c:v>0.68662025512739844</c:v>
                </c:pt>
                <c:pt idx="13">
                  <c:v>0.4608812530829286</c:v>
                </c:pt>
                <c:pt idx="14">
                  <c:v>0.56727282648047328</c:v>
                </c:pt>
                <c:pt idx="15">
                  <c:v>0.69989688687387819</c:v>
                </c:pt>
                <c:pt idx="16">
                  <c:v>0.57834731973467879</c:v>
                </c:pt>
                <c:pt idx="17">
                  <c:v>0.65481550236403296</c:v>
                </c:pt>
                <c:pt idx="18">
                  <c:v>0.61322565993681033</c:v>
                </c:pt>
                <c:pt idx="19">
                  <c:v>0.53646145896212116</c:v>
                </c:pt>
                <c:pt idx="20">
                  <c:v>0.51025377017727136</c:v>
                </c:pt>
                <c:pt idx="21">
                  <c:v>0.67877058612568975</c:v>
                </c:pt>
                <c:pt idx="22">
                  <c:v>0.59258980120673688</c:v>
                </c:pt>
                <c:pt idx="23">
                  <c:v>0.59755917828640903</c:v>
                </c:pt>
                <c:pt idx="24">
                  <c:v>0.58176342872254849</c:v>
                </c:pt>
                <c:pt idx="25">
                  <c:v>0.56360672239363507</c:v>
                </c:pt>
                <c:pt idx="26">
                  <c:v>0.51252888519685835</c:v>
                </c:pt>
                <c:pt idx="27">
                  <c:v>0.59959661041682466</c:v>
                </c:pt>
                <c:pt idx="28">
                  <c:v>0.63947290206445773</c:v>
                </c:pt>
                <c:pt idx="29">
                  <c:v>0.56928874941258922</c:v>
                </c:pt>
                <c:pt idx="30">
                  <c:v>0.44478871672328313</c:v>
                </c:pt>
                <c:pt idx="31">
                  <c:v>0.6696724218604474</c:v>
                </c:pt>
                <c:pt idx="32">
                  <c:v>0.95011468790948972</c:v>
                </c:pt>
                <c:pt idx="33">
                  <c:v>0.66102967050941186</c:v>
                </c:pt>
                <c:pt idx="34">
                  <c:v>0.84273351767376814</c:v>
                </c:pt>
                <c:pt idx="35">
                  <c:v>0.53039209277014887</c:v>
                </c:pt>
                <c:pt idx="36">
                  <c:v>0.83380631642893377</c:v>
                </c:pt>
                <c:pt idx="37">
                  <c:v>0.80670247341535639</c:v>
                </c:pt>
                <c:pt idx="38">
                  <c:v>0.7311025591977599</c:v>
                </c:pt>
                <c:pt idx="39">
                  <c:v>0.61014827841507213</c:v>
                </c:pt>
                <c:pt idx="40">
                  <c:v>0.56707547460800789</c:v>
                </c:pt>
                <c:pt idx="41">
                  <c:v>0.73394703714206788</c:v>
                </c:pt>
                <c:pt idx="42">
                  <c:v>1</c:v>
                </c:pt>
                <c:pt idx="43">
                  <c:v>0.19595799714525755</c:v>
                </c:pt>
                <c:pt idx="44">
                  <c:v>0.65483036727151034</c:v>
                </c:pt>
                <c:pt idx="45">
                  <c:v>0.70351645548858333</c:v>
                </c:pt>
                <c:pt idx="46">
                  <c:v>0.78505752893170111</c:v>
                </c:pt>
                <c:pt idx="47">
                  <c:v>0.82727406927258584</c:v>
                </c:pt>
                <c:pt idx="48">
                  <c:v>0.55038612426306965</c:v>
                </c:pt>
                <c:pt idx="49">
                  <c:v>0.50341580740102898</c:v>
                </c:pt>
                <c:pt idx="50">
                  <c:v>0.51545410408905123</c:v>
                </c:pt>
                <c:pt idx="51">
                  <c:v>0.60551110163616195</c:v>
                </c:pt>
                <c:pt idx="52">
                  <c:v>0.73286813136574835</c:v>
                </c:pt>
                <c:pt idx="53">
                  <c:v>0.73117410441498676</c:v>
                </c:pt>
                <c:pt idx="54">
                  <c:v>0.61555200786129627</c:v>
                </c:pt>
                <c:pt idx="55">
                  <c:v>0.3848598541106909</c:v>
                </c:pt>
                <c:pt idx="56">
                  <c:v>0.56959220094292184</c:v>
                </c:pt>
                <c:pt idx="57">
                  <c:v>0.53702454817315337</c:v>
                </c:pt>
                <c:pt idx="58">
                  <c:v>0.44332978076371155</c:v>
                </c:pt>
                <c:pt idx="59">
                  <c:v>0.64539300358029672</c:v>
                </c:pt>
                <c:pt idx="60">
                  <c:v>0.28678660150044327</c:v>
                </c:pt>
                <c:pt idx="61">
                  <c:v>0.61405658329537582</c:v>
                </c:pt>
                <c:pt idx="62">
                  <c:v>0.72874904789005979</c:v>
                </c:pt>
                <c:pt idx="63">
                  <c:v>0.48716320757004716</c:v>
                </c:pt>
                <c:pt idx="64">
                  <c:v>0.65814908753062695</c:v>
                </c:pt>
              </c:numCache>
            </c:numRef>
          </c:xVal>
          <c:yVal>
            <c:numRef>
              <c:f>Calculation!$AO$88:$AO$152</c:f>
              <c:numCache>
                <c:formatCode>0.0000</c:formatCode>
                <c:ptCount val="65"/>
                <c:pt idx="0" formatCode="General">
                  <c:v>0.67300000000000004</c:v>
                </c:pt>
                <c:pt idx="1">
                  <c:v>1.1125</c:v>
                </c:pt>
                <c:pt idx="2">
                  <c:v>1.552</c:v>
                </c:pt>
                <c:pt idx="3">
                  <c:v>1.9915</c:v>
                </c:pt>
                <c:pt idx="4">
                  <c:v>2.431</c:v>
                </c:pt>
                <c:pt idx="5">
                  <c:v>2.8704999999999998</c:v>
                </c:pt>
                <c:pt idx="6">
                  <c:v>3.3099999999999996</c:v>
                </c:pt>
                <c:pt idx="7">
                  <c:v>3.7494999999999994</c:v>
                </c:pt>
                <c:pt idx="8">
                  <c:v>4.1889999999999992</c:v>
                </c:pt>
                <c:pt idx="9">
                  <c:v>4.6284999999999989</c:v>
                </c:pt>
                <c:pt idx="10">
                  <c:v>5.0679999999999987</c:v>
                </c:pt>
                <c:pt idx="11">
                  <c:v>5.5074999999999985</c:v>
                </c:pt>
                <c:pt idx="12">
                  <c:v>5.9469999999999983</c:v>
                </c:pt>
                <c:pt idx="13">
                  <c:v>6.3864999999999981</c:v>
                </c:pt>
                <c:pt idx="14">
                  <c:v>6.8259999999999978</c:v>
                </c:pt>
                <c:pt idx="15">
                  <c:v>7.2654999999999976</c:v>
                </c:pt>
                <c:pt idx="16">
                  <c:v>7.7049999999999974</c:v>
                </c:pt>
                <c:pt idx="17">
                  <c:v>8.1444999999999972</c:v>
                </c:pt>
                <c:pt idx="18">
                  <c:v>8.5839999999999979</c:v>
                </c:pt>
                <c:pt idx="19">
                  <c:v>9.0234999999999985</c:v>
                </c:pt>
                <c:pt idx="20">
                  <c:v>9.4629999999999992</c:v>
                </c:pt>
                <c:pt idx="21">
                  <c:v>9.9024999999999999</c:v>
                </c:pt>
                <c:pt idx="22">
                  <c:v>10.342000000000001</c:v>
                </c:pt>
                <c:pt idx="23">
                  <c:v>10.781500000000001</c:v>
                </c:pt>
                <c:pt idx="24">
                  <c:v>11.221000000000002</c:v>
                </c:pt>
                <c:pt idx="25">
                  <c:v>11.660500000000003</c:v>
                </c:pt>
                <c:pt idx="26">
                  <c:v>12.100000000000003</c:v>
                </c:pt>
                <c:pt idx="27">
                  <c:v>12.539500000000004</c:v>
                </c:pt>
                <c:pt idx="28">
                  <c:v>12.979000000000005</c:v>
                </c:pt>
                <c:pt idx="29">
                  <c:v>13.418500000000005</c:v>
                </c:pt>
                <c:pt idx="30">
                  <c:v>13.858000000000006</c:v>
                </c:pt>
                <c:pt idx="31">
                  <c:v>14.297500000000007</c:v>
                </c:pt>
                <c:pt idx="32">
                  <c:v>14.737000000000007</c:v>
                </c:pt>
                <c:pt idx="33">
                  <c:v>15.176500000000008</c:v>
                </c:pt>
                <c:pt idx="34">
                  <c:v>15.616000000000009</c:v>
                </c:pt>
                <c:pt idx="35">
                  <c:v>16.055500000000009</c:v>
                </c:pt>
                <c:pt idx="36">
                  <c:v>16.495000000000008</c:v>
                </c:pt>
                <c:pt idx="37">
                  <c:v>16.934500000000007</c:v>
                </c:pt>
                <c:pt idx="38">
                  <c:v>17.374000000000006</c:v>
                </c:pt>
                <c:pt idx="39">
                  <c:v>17.813500000000005</c:v>
                </c:pt>
                <c:pt idx="40">
                  <c:v>18.253000000000004</c:v>
                </c:pt>
                <c:pt idx="41">
                  <c:v>18.692500000000003</c:v>
                </c:pt>
                <c:pt idx="42">
                  <c:v>19.132000000000001</c:v>
                </c:pt>
                <c:pt idx="43">
                  <c:v>19.5715</c:v>
                </c:pt>
                <c:pt idx="44">
                  <c:v>20.010999999999999</c:v>
                </c:pt>
                <c:pt idx="45">
                  <c:v>20.450499999999998</c:v>
                </c:pt>
                <c:pt idx="46">
                  <c:v>20.889999999999997</c:v>
                </c:pt>
                <c:pt idx="47">
                  <c:v>21.329499999999996</c:v>
                </c:pt>
                <c:pt idx="48">
                  <c:v>21.768999999999995</c:v>
                </c:pt>
                <c:pt idx="49">
                  <c:v>22.208499999999994</c:v>
                </c:pt>
                <c:pt idx="50">
                  <c:v>22.647999999999993</c:v>
                </c:pt>
                <c:pt idx="51">
                  <c:v>23.087499999999991</c:v>
                </c:pt>
                <c:pt idx="52">
                  <c:v>23.52699999999999</c:v>
                </c:pt>
                <c:pt idx="53">
                  <c:v>23.966499999999989</c:v>
                </c:pt>
                <c:pt idx="54">
                  <c:v>24.405999999999988</c:v>
                </c:pt>
                <c:pt idx="55">
                  <c:v>24.845499999999987</c:v>
                </c:pt>
                <c:pt idx="56">
                  <c:v>25.284999999999986</c:v>
                </c:pt>
                <c:pt idx="57">
                  <c:v>25.724499999999985</c:v>
                </c:pt>
                <c:pt idx="58">
                  <c:v>26.163999999999984</c:v>
                </c:pt>
                <c:pt idx="59">
                  <c:v>26.603499999999983</c:v>
                </c:pt>
                <c:pt idx="60">
                  <c:v>27.042999999999981</c:v>
                </c:pt>
                <c:pt idx="61">
                  <c:v>27.48249999999998</c:v>
                </c:pt>
                <c:pt idx="62">
                  <c:v>27.921999999999979</c:v>
                </c:pt>
                <c:pt idx="63">
                  <c:v>28.361499999999978</c:v>
                </c:pt>
                <c:pt idx="64">
                  <c:v>28.800999999999977</c:v>
                </c:pt>
              </c:numCache>
            </c:numRef>
          </c:yVal>
          <c:smooth val="0"/>
          <c:extLst>
            <c:ext xmlns:c16="http://schemas.microsoft.com/office/drawing/2014/chart" uri="{C3380CC4-5D6E-409C-BE32-E72D297353CC}">
              <c16:uniqueId val="{0000000C-280D-40FD-907A-A5A43F6C5389}"/>
            </c:ext>
          </c:extLst>
        </c:ser>
        <c:ser>
          <c:idx val="13"/>
          <c:order val="13"/>
          <c:tx>
            <c:v>Locality maximum practice</c:v>
          </c:tx>
          <c:spPr>
            <a:ln>
              <a:noFill/>
            </a:ln>
          </c:spPr>
          <c:marker>
            <c:symbol val="triangle"/>
            <c:size val="5"/>
            <c:spPr>
              <a:solidFill>
                <a:schemeClr val="tx1"/>
              </a:solidFill>
              <a:ln>
                <a:noFill/>
              </a:ln>
            </c:spPr>
          </c:marker>
          <c:xVal>
            <c:numRef>
              <c:f>Calculation!$AG$88:$AG$152</c:f>
              <c:numCache>
                <c:formatCode>0.00</c:formatCode>
                <c:ptCount val="65"/>
                <c:pt idx="0">
                  <c:v>0.78516670342650796</c:v>
                </c:pt>
                <c:pt idx="1">
                  <c:v>0.73939545835946863</c:v>
                </c:pt>
                <c:pt idx="2">
                  <c:v>0.41631165873021109</c:v>
                </c:pt>
                <c:pt idx="3">
                  <c:v>0.84437634970083164</c:v>
                </c:pt>
                <c:pt idx="4">
                  <c:v>0.25693662810079942</c:v>
                </c:pt>
                <c:pt idx="5">
                  <c:v>0.78166261424026218</c:v>
                </c:pt>
                <c:pt idx="6">
                  <c:v>0.7379371657885212</c:v>
                </c:pt>
                <c:pt idx="7">
                  <c:v>0.61831018151493733</c:v>
                </c:pt>
                <c:pt idx="8">
                  <c:v>0.95714345809968815</c:v>
                </c:pt>
                <c:pt idx="9">
                  <c:v>0.35401905717972371</c:v>
                </c:pt>
                <c:pt idx="10">
                  <c:v>0.3965833227697651</c:v>
                </c:pt>
                <c:pt idx="11">
                  <c:v>0.39257383930367395</c:v>
                </c:pt>
                <c:pt idx="12">
                  <c:v>0.33572682006722454</c:v>
                </c:pt>
                <c:pt idx="13">
                  <c:v>0.28272673433806422</c:v>
                </c:pt>
                <c:pt idx="14">
                  <c:v>0.32867061075312054</c:v>
                </c:pt>
                <c:pt idx="15">
                  <c:v>0.12443810021035902</c:v>
                </c:pt>
                <c:pt idx="16">
                  <c:v>0.31911881626715433</c:v>
                </c:pt>
                <c:pt idx="17">
                  <c:v>0.43669191010075303</c:v>
                </c:pt>
                <c:pt idx="18">
                  <c:v>0.30669197329715797</c:v>
                </c:pt>
                <c:pt idx="19">
                  <c:v>0.16923576577985922</c:v>
                </c:pt>
                <c:pt idx="20">
                  <c:v>0.2595798770669755</c:v>
                </c:pt>
                <c:pt idx="21">
                  <c:v>0.29449982650025075</c:v>
                </c:pt>
                <c:pt idx="22">
                  <c:v>0.33581907138475647</c:v>
                </c:pt>
                <c:pt idx="23">
                  <c:v>0.40480384110500961</c:v>
                </c:pt>
                <c:pt idx="24">
                  <c:v>0.32280579591254932</c:v>
                </c:pt>
                <c:pt idx="25">
                  <c:v>0.4153896367953917</c:v>
                </c:pt>
                <c:pt idx="26">
                  <c:v>0.39660979570344651</c:v>
                </c:pt>
                <c:pt idx="27">
                  <c:v>2.0018868059931413E-2</c:v>
                </c:pt>
                <c:pt idx="28">
                  <c:v>0.38154315628361218</c:v>
                </c:pt>
                <c:pt idx="29">
                  <c:v>0.29079988811267504</c:v>
                </c:pt>
                <c:pt idx="30">
                  <c:v>0.15801484210623254</c:v>
                </c:pt>
                <c:pt idx="31">
                  <c:v>0.43268034131515531</c:v>
                </c:pt>
                <c:pt idx="32">
                  <c:v>9.4932000318332418E-2</c:v>
                </c:pt>
                <c:pt idx="33">
                  <c:v>0.43716456600123782</c:v>
                </c:pt>
                <c:pt idx="34">
                  <c:v>0.18671782639408649</c:v>
                </c:pt>
                <c:pt idx="35">
                  <c:v>0.38131693323603122</c:v>
                </c:pt>
                <c:pt idx="36">
                  <c:v>3.9067887529866778E-2</c:v>
                </c:pt>
                <c:pt idx="37">
                  <c:v>0.43822791828381225</c:v>
                </c:pt>
                <c:pt idx="38">
                  <c:v>0.35386896598430745</c:v>
                </c:pt>
                <c:pt idx="39">
                  <c:v>0.26228035411432749</c:v>
                </c:pt>
                <c:pt idx="40">
                  <c:v>0.14430336011751152</c:v>
                </c:pt>
                <c:pt idx="41">
                  <c:v>0.49906125990878375</c:v>
                </c:pt>
                <c:pt idx="42">
                  <c:v>0.20688931027103294</c:v>
                </c:pt>
                <c:pt idx="43">
                  <c:v>0.37267995111749747</c:v>
                </c:pt>
                <c:pt idx="44">
                  <c:v>0.11841386753656055</c:v>
                </c:pt>
                <c:pt idx="45">
                  <c:v>0.53079937608646566</c:v>
                </c:pt>
                <c:pt idx="46">
                  <c:v>0.39927445352254742</c:v>
                </c:pt>
                <c:pt idx="47">
                  <c:v>0.31281586140209139</c:v>
                </c:pt>
                <c:pt idx="48">
                  <c:v>0.31515335159054791</c:v>
                </c:pt>
                <c:pt idx="49">
                  <c:v>0</c:v>
                </c:pt>
                <c:pt idx="50">
                  <c:v>0</c:v>
                </c:pt>
                <c:pt idx="51">
                  <c:v>0.31427162097574729</c:v>
                </c:pt>
                <c:pt idx="52">
                  <c:v>0.52539484343084686</c:v>
                </c:pt>
                <c:pt idx="53">
                  <c:v>0.15712291615241045</c:v>
                </c:pt>
                <c:pt idx="54">
                  <c:v>0.43696255937999623</c:v>
                </c:pt>
                <c:pt idx="55">
                  <c:v>0.60447134226367227</c:v>
                </c:pt>
                <c:pt idx="56">
                  <c:v>0.39560356361670274</c:v>
                </c:pt>
                <c:pt idx="57">
                  <c:v>0.41947290826872774</c:v>
                </c:pt>
                <c:pt idx="58">
                  <c:v>0.56569968104280932</c:v>
                </c:pt>
                <c:pt idx="59">
                  <c:v>0.40605848818724993</c:v>
                </c:pt>
                <c:pt idx="60">
                  <c:v>0.58638180362845482</c:v>
                </c:pt>
                <c:pt idx="61">
                  <c:v>0</c:v>
                </c:pt>
                <c:pt idx="62">
                  <c:v>0.66084876115929592</c:v>
                </c:pt>
                <c:pt idx="63">
                  <c:v>0.88186971420454752</c:v>
                </c:pt>
                <c:pt idx="64">
                  <c:v>0.57646603477318115</c:v>
                </c:pt>
              </c:numCache>
            </c:numRef>
          </c:xVal>
          <c:yVal>
            <c:numRef>
              <c:f>Calculation!$AO$88:$AO$152</c:f>
              <c:numCache>
                <c:formatCode>0.0000</c:formatCode>
                <c:ptCount val="65"/>
                <c:pt idx="0" formatCode="General">
                  <c:v>0.67300000000000004</c:v>
                </c:pt>
                <c:pt idx="1">
                  <c:v>1.1125</c:v>
                </c:pt>
                <c:pt idx="2">
                  <c:v>1.552</c:v>
                </c:pt>
                <c:pt idx="3">
                  <c:v>1.9915</c:v>
                </c:pt>
                <c:pt idx="4">
                  <c:v>2.431</c:v>
                </c:pt>
                <c:pt idx="5">
                  <c:v>2.8704999999999998</c:v>
                </c:pt>
                <c:pt idx="6">
                  <c:v>3.3099999999999996</c:v>
                </c:pt>
                <c:pt idx="7">
                  <c:v>3.7494999999999994</c:v>
                </c:pt>
                <c:pt idx="8">
                  <c:v>4.1889999999999992</c:v>
                </c:pt>
                <c:pt idx="9">
                  <c:v>4.6284999999999989</c:v>
                </c:pt>
                <c:pt idx="10">
                  <c:v>5.0679999999999987</c:v>
                </c:pt>
                <c:pt idx="11">
                  <c:v>5.5074999999999985</c:v>
                </c:pt>
                <c:pt idx="12">
                  <c:v>5.9469999999999983</c:v>
                </c:pt>
                <c:pt idx="13">
                  <c:v>6.3864999999999981</c:v>
                </c:pt>
                <c:pt idx="14">
                  <c:v>6.8259999999999978</c:v>
                </c:pt>
                <c:pt idx="15">
                  <c:v>7.2654999999999976</c:v>
                </c:pt>
                <c:pt idx="16">
                  <c:v>7.7049999999999974</c:v>
                </c:pt>
                <c:pt idx="17">
                  <c:v>8.1444999999999972</c:v>
                </c:pt>
                <c:pt idx="18">
                  <c:v>8.5839999999999979</c:v>
                </c:pt>
                <c:pt idx="19">
                  <c:v>9.0234999999999985</c:v>
                </c:pt>
                <c:pt idx="20">
                  <c:v>9.4629999999999992</c:v>
                </c:pt>
                <c:pt idx="21">
                  <c:v>9.9024999999999999</c:v>
                </c:pt>
                <c:pt idx="22">
                  <c:v>10.342000000000001</c:v>
                </c:pt>
                <c:pt idx="23">
                  <c:v>10.781500000000001</c:v>
                </c:pt>
                <c:pt idx="24">
                  <c:v>11.221000000000002</c:v>
                </c:pt>
                <c:pt idx="25">
                  <c:v>11.660500000000003</c:v>
                </c:pt>
                <c:pt idx="26">
                  <c:v>12.100000000000003</c:v>
                </c:pt>
                <c:pt idx="27">
                  <c:v>12.539500000000004</c:v>
                </c:pt>
                <c:pt idx="28">
                  <c:v>12.979000000000005</c:v>
                </c:pt>
                <c:pt idx="29">
                  <c:v>13.418500000000005</c:v>
                </c:pt>
                <c:pt idx="30">
                  <c:v>13.858000000000006</c:v>
                </c:pt>
                <c:pt idx="31">
                  <c:v>14.297500000000007</c:v>
                </c:pt>
                <c:pt idx="32">
                  <c:v>14.737000000000007</c:v>
                </c:pt>
                <c:pt idx="33">
                  <c:v>15.176500000000008</c:v>
                </c:pt>
                <c:pt idx="34">
                  <c:v>15.616000000000009</c:v>
                </c:pt>
                <c:pt idx="35">
                  <c:v>16.055500000000009</c:v>
                </c:pt>
                <c:pt idx="36">
                  <c:v>16.495000000000008</c:v>
                </c:pt>
                <c:pt idx="37">
                  <c:v>16.934500000000007</c:v>
                </c:pt>
                <c:pt idx="38">
                  <c:v>17.374000000000006</c:v>
                </c:pt>
                <c:pt idx="39">
                  <c:v>17.813500000000005</c:v>
                </c:pt>
                <c:pt idx="40">
                  <c:v>18.253000000000004</c:v>
                </c:pt>
                <c:pt idx="41">
                  <c:v>18.692500000000003</c:v>
                </c:pt>
                <c:pt idx="42">
                  <c:v>19.132000000000001</c:v>
                </c:pt>
                <c:pt idx="43">
                  <c:v>19.5715</c:v>
                </c:pt>
                <c:pt idx="44">
                  <c:v>20.010999999999999</c:v>
                </c:pt>
                <c:pt idx="45">
                  <c:v>20.450499999999998</c:v>
                </c:pt>
                <c:pt idx="46">
                  <c:v>20.889999999999997</c:v>
                </c:pt>
                <c:pt idx="47">
                  <c:v>21.329499999999996</c:v>
                </c:pt>
                <c:pt idx="48">
                  <c:v>21.768999999999995</c:v>
                </c:pt>
                <c:pt idx="49">
                  <c:v>22.208499999999994</c:v>
                </c:pt>
                <c:pt idx="50">
                  <c:v>22.647999999999993</c:v>
                </c:pt>
                <c:pt idx="51">
                  <c:v>23.087499999999991</c:v>
                </c:pt>
                <c:pt idx="52">
                  <c:v>23.52699999999999</c:v>
                </c:pt>
                <c:pt idx="53">
                  <c:v>23.966499999999989</c:v>
                </c:pt>
                <c:pt idx="54">
                  <c:v>24.405999999999988</c:v>
                </c:pt>
                <c:pt idx="55">
                  <c:v>24.845499999999987</c:v>
                </c:pt>
                <c:pt idx="56">
                  <c:v>25.284999999999986</c:v>
                </c:pt>
                <c:pt idx="57">
                  <c:v>25.724499999999985</c:v>
                </c:pt>
                <c:pt idx="58">
                  <c:v>26.163999999999984</c:v>
                </c:pt>
                <c:pt idx="59">
                  <c:v>26.603499999999983</c:v>
                </c:pt>
                <c:pt idx="60">
                  <c:v>27.042999999999981</c:v>
                </c:pt>
                <c:pt idx="61">
                  <c:v>27.48249999999998</c:v>
                </c:pt>
                <c:pt idx="62">
                  <c:v>27.921999999999979</c:v>
                </c:pt>
                <c:pt idx="63">
                  <c:v>28.361499999999978</c:v>
                </c:pt>
                <c:pt idx="64">
                  <c:v>28.800999999999977</c:v>
                </c:pt>
              </c:numCache>
            </c:numRef>
          </c:yVal>
          <c:smooth val="0"/>
          <c:extLst>
            <c:ext xmlns:c16="http://schemas.microsoft.com/office/drawing/2014/chart" uri="{C3380CC4-5D6E-409C-BE32-E72D297353CC}">
              <c16:uniqueId val="{0000000D-280D-40FD-907A-A5A43F6C5389}"/>
            </c:ext>
          </c:extLst>
        </c:ser>
        <c:dLbls>
          <c:showLegendKey val="0"/>
          <c:showVal val="0"/>
          <c:showCatName val="0"/>
          <c:showSerName val="0"/>
          <c:showPercent val="0"/>
          <c:showBubbleSize val="0"/>
        </c:dLbls>
        <c:axId val="523287408"/>
        <c:axId val="522880464"/>
      </c:scatterChart>
      <c:catAx>
        <c:axId val="526525968"/>
        <c:scaling>
          <c:orientation val="maxMin"/>
        </c:scaling>
        <c:delete val="0"/>
        <c:axPos val="l"/>
        <c:numFmt formatCode="General" sourceLinked="0"/>
        <c:majorTickMark val="out"/>
        <c:minorTickMark val="none"/>
        <c:tickLblPos val="none"/>
        <c:spPr>
          <a:ln w="9525">
            <a:noFill/>
          </a:ln>
        </c:spPr>
        <c:crossAx val="523287016"/>
        <c:crosses val="autoZero"/>
        <c:auto val="1"/>
        <c:lblAlgn val="ctr"/>
        <c:lblOffset val="100"/>
        <c:tickMarkSkip val="1"/>
        <c:noMultiLvlLbl val="0"/>
      </c:catAx>
      <c:valAx>
        <c:axId val="523287016"/>
        <c:scaling>
          <c:orientation val="minMax"/>
          <c:max val="1"/>
          <c:min val="0"/>
        </c:scaling>
        <c:delete val="0"/>
        <c:axPos val="t"/>
        <c:numFmt formatCode="0.00" sourceLinked="1"/>
        <c:majorTickMark val="none"/>
        <c:minorTickMark val="none"/>
        <c:tickLblPos val="none"/>
        <c:spPr>
          <a:ln w="9525">
            <a:noFill/>
          </a:ln>
        </c:spPr>
        <c:crossAx val="526525968"/>
        <c:crosses val="autoZero"/>
        <c:crossBetween val="between"/>
        <c:majorUnit val="1"/>
      </c:valAx>
      <c:valAx>
        <c:axId val="523287408"/>
        <c:scaling>
          <c:orientation val="minMax"/>
          <c:max val="1"/>
          <c:min val="0"/>
        </c:scaling>
        <c:delete val="0"/>
        <c:axPos val="b"/>
        <c:numFmt formatCode="0.00" sourceLinked="1"/>
        <c:majorTickMark val="none"/>
        <c:minorTickMark val="none"/>
        <c:tickLblPos val="none"/>
        <c:spPr>
          <a:ln w="9525">
            <a:noFill/>
          </a:ln>
        </c:spPr>
        <c:crossAx val="522880464"/>
        <c:crosses val="max"/>
        <c:crossBetween val="midCat"/>
        <c:majorUnit val="0.1"/>
        <c:minorUnit val="2.0000000000000007E-2"/>
      </c:valAx>
      <c:valAx>
        <c:axId val="522880464"/>
        <c:scaling>
          <c:orientation val="maxMin"/>
          <c:max val="29"/>
          <c:min val="0"/>
        </c:scaling>
        <c:delete val="0"/>
        <c:axPos val="r"/>
        <c:numFmt formatCode="General" sourceLinked="1"/>
        <c:majorTickMark val="none"/>
        <c:minorTickMark val="none"/>
        <c:tickLblPos val="none"/>
        <c:spPr>
          <a:ln w="9525">
            <a:noFill/>
          </a:ln>
        </c:spPr>
        <c:crossAx val="523287408"/>
        <c:crosses val="max"/>
        <c:crossBetween val="midCat"/>
      </c:valAx>
      <c:spPr>
        <a:noFill/>
        <a:ln w="25400">
          <a:noFill/>
        </a:ln>
      </c:spPr>
    </c:plotArea>
    <c:plotVisOnly val="1"/>
    <c:dispBlanksAs val="gap"/>
    <c:showDLblsOverMax val="0"/>
  </c:chart>
  <c:spPr>
    <a:noFill/>
    <a:ln w="9525">
      <a:noFill/>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0"/>
          <c:order val="0"/>
          <c:tx>
            <c:v>National Maximum</c:v>
          </c:tx>
          <c:spPr>
            <a:pattFill prst="pct25">
              <a:fgClr>
                <a:srgbClr val="C0C0C0"/>
              </a:fgClr>
              <a:bgClr>
                <a:srgbClr val="FFFFFF"/>
              </a:bgClr>
            </a:pattFill>
            <a:ln w="25400">
              <a:noFill/>
            </a:ln>
          </c:spPr>
          <c:invertIfNegative val="0"/>
          <c:cat>
            <c:numLit>
              <c:formatCode>General</c:formatCode>
              <c:ptCount val="7"/>
            </c:numLit>
          </c:cat>
          <c:val>
            <c:numLit>
              <c:formatCode>General</c:formatCode>
              <c:ptCount val="7"/>
              <c:pt idx="0">
                <c:v>0.9285714285714286</c:v>
              </c:pt>
              <c:pt idx="1">
                <c:v>0.85714285714285732</c:v>
              </c:pt>
              <c:pt idx="2">
                <c:v>1</c:v>
              </c:pt>
              <c:pt idx="3">
                <c:v>1</c:v>
              </c:pt>
              <c:pt idx="4">
                <c:v>1</c:v>
              </c:pt>
              <c:pt idx="5">
                <c:v>1</c:v>
              </c:pt>
              <c:pt idx="6">
                <c:v>0.87500000000000022</c:v>
              </c:pt>
            </c:numLit>
          </c:val>
          <c:extLst>
            <c:ext xmlns:c16="http://schemas.microsoft.com/office/drawing/2014/chart" uri="{C3380CC4-5D6E-409C-BE32-E72D297353CC}">
              <c16:uniqueId val="{00000000-02CC-478C-897C-0F0FE544CB3E}"/>
            </c:ext>
          </c:extLst>
        </c:ser>
        <c:ser>
          <c:idx val="9"/>
          <c:order val="1"/>
          <c:tx>
            <c:v>#REF!</c:v>
          </c:tx>
          <c:spPr>
            <a:pattFill prst="pct50">
              <a:fgClr>
                <a:srgbClr val="C0C0C0"/>
              </a:fgClr>
              <a:bgClr>
                <a:srgbClr val="FFFFFF"/>
              </a:bgClr>
            </a:pattFill>
            <a:ln w="25400">
              <a:noFill/>
            </a:ln>
          </c:spPr>
          <c:invertIfNegative val="0"/>
          <c:cat>
            <c:numLit>
              <c:formatCode>General</c:formatCode>
              <c:ptCount val="7"/>
            </c:numLit>
          </c:cat>
          <c:val>
            <c:numLit>
              <c:formatCode>General</c:formatCode>
              <c:ptCount val="1"/>
              <c:pt idx="0">
                <c:v>1</c:v>
              </c:pt>
            </c:numLit>
          </c:val>
          <c:extLst>
            <c:ext xmlns:c16="http://schemas.microsoft.com/office/drawing/2014/chart" uri="{C3380CC4-5D6E-409C-BE32-E72D297353CC}">
              <c16:uniqueId val="{00000001-02CC-478C-897C-0F0FE544CB3E}"/>
            </c:ext>
          </c:extLst>
        </c:ser>
        <c:ser>
          <c:idx val="8"/>
          <c:order val="2"/>
          <c:tx>
            <c:v>National 75th Percentile</c:v>
          </c:tx>
          <c:spPr>
            <a:solidFill>
              <a:srgbClr val="C0C0C0"/>
            </a:solidFill>
            <a:ln w="25400">
              <a:noFill/>
            </a:ln>
          </c:spPr>
          <c:invertIfNegative val="0"/>
          <c:cat>
            <c:numLit>
              <c:formatCode>General</c:formatCode>
              <c:ptCount val="7"/>
            </c:numLit>
          </c:cat>
          <c:val>
            <c:numLit>
              <c:formatCode>General</c:formatCode>
              <c:ptCount val="7"/>
              <c:pt idx="0">
                <c:v>0.71428571428571452</c:v>
              </c:pt>
              <c:pt idx="1">
                <c:v>0.6428571428571429</c:v>
              </c:pt>
              <c:pt idx="2">
                <c:v>0.68181818181818177</c:v>
              </c:pt>
              <c:pt idx="3">
                <c:v>0.75000000000000022</c:v>
              </c:pt>
              <c:pt idx="4">
                <c:v>0.71428571428571452</c:v>
              </c:pt>
              <c:pt idx="5">
                <c:v>0.66666666666666663</c:v>
              </c:pt>
              <c:pt idx="6">
                <c:v>0.6875</c:v>
              </c:pt>
            </c:numLit>
          </c:val>
          <c:extLst>
            <c:ext xmlns:c16="http://schemas.microsoft.com/office/drawing/2014/chart" uri="{C3380CC4-5D6E-409C-BE32-E72D297353CC}">
              <c16:uniqueId val="{00000002-02CC-478C-897C-0F0FE544CB3E}"/>
            </c:ext>
          </c:extLst>
        </c:ser>
        <c:ser>
          <c:idx val="6"/>
          <c:order val="4"/>
          <c:tx>
            <c:v>National 25th Percentile</c:v>
          </c:tx>
          <c:spPr>
            <a:pattFill prst="pct50">
              <a:fgClr>
                <a:srgbClr val="C0C0C0"/>
              </a:fgClr>
              <a:bgClr>
                <a:srgbClr val="FFFFFF"/>
              </a:bgClr>
            </a:pattFill>
            <a:ln w="25400">
              <a:noFill/>
            </a:ln>
          </c:spPr>
          <c:invertIfNegative val="0"/>
          <c:cat>
            <c:numLit>
              <c:formatCode>General</c:formatCode>
              <c:ptCount val="7"/>
            </c:numLit>
          </c:cat>
          <c:val>
            <c:numLit>
              <c:formatCode>General</c:formatCode>
              <c:ptCount val="7"/>
              <c:pt idx="0">
                <c:v>0.28571428571428586</c:v>
              </c:pt>
              <c:pt idx="1">
                <c:v>0.28571428571428586</c:v>
              </c:pt>
              <c:pt idx="2">
                <c:v>0.31818181818181834</c:v>
              </c:pt>
              <c:pt idx="3">
                <c:v>0.35000000000000009</c:v>
              </c:pt>
              <c:pt idx="4">
                <c:v>0.35714285714285737</c:v>
              </c:pt>
              <c:pt idx="5">
                <c:v>0.29166666666666685</c:v>
              </c:pt>
              <c:pt idx="6">
                <c:v>0.15625000000000006</c:v>
              </c:pt>
            </c:numLit>
          </c:val>
          <c:extLst>
            <c:ext xmlns:c16="http://schemas.microsoft.com/office/drawing/2014/chart" uri="{C3380CC4-5D6E-409C-BE32-E72D297353CC}">
              <c16:uniqueId val="{00000003-02CC-478C-897C-0F0FE544CB3E}"/>
            </c:ext>
          </c:extLst>
        </c:ser>
        <c:ser>
          <c:idx val="5"/>
          <c:order val="5"/>
          <c:tx>
            <c:v>#REF!</c:v>
          </c:tx>
          <c:spPr>
            <a:pattFill prst="pct25">
              <a:fgClr>
                <a:srgbClr val="C0C0C0"/>
              </a:fgClr>
              <a:bgClr>
                <a:srgbClr val="FFFFFF"/>
              </a:bgClr>
            </a:pattFill>
            <a:ln w="25400">
              <a:noFill/>
            </a:ln>
          </c:spPr>
          <c:invertIfNegative val="0"/>
          <c:cat>
            <c:numLit>
              <c:formatCode>General</c:formatCode>
              <c:ptCount val="7"/>
            </c:numLit>
          </c:cat>
          <c:val>
            <c:numLit>
              <c:formatCode>General</c:formatCode>
              <c:ptCount val="1"/>
              <c:pt idx="0">
                <c:v>1</c:v>
              </c:pt>
            </c:numLit>
          </c:val>
          <c:extLst>
            <c:ext xmlns:c16="http://schemas.microsoft.com/office/drawing/2014/chart" uri="{C3380CC4-5D6E-409C-BE32-E72D297353CC}">
              <c16:uniqueId val="{00000004-02CC-478C-897C-0F0FE544CB3E}"/>
            </c:ext>
          </c:extLst>
        </c:ser>
        <c:dLbls>
          <c:showLegendKey val="0"/>
          <c:showVal val="0"/>
          <c:showCatName val="0"/>
          <c:showSerName val="0"/>
          <c:showPercent val="0"/>
          <c:showBubbleSize val="0"/>
        </c:dLbls>
        <c:gapWidth val="400"/>
        <c:overlap val="100"/>
        <c:axId val="421889088"/>
        <c:axId val="421889480"/>
      </c:barChart>
      <c:lineChart>
        <c:grouping val="standard"/>
        <c:varyColors val="0"/>
        <c:ser>
          <c:idx val="7"/>
          <c:order val="3"/>
          <c:tx>
            <c:v>National Average</c:v>
          </c:tx>
          <c:spPr>
            <a:ln w="28575">
              <a:noFill/>
            </a:ln>
          </c:spPr>
          <c:marker>
            <c:symbol val="dash"/>
            <c:size val="2"/>
            <c:spPr>
              <a:noFill/>
              <a:ln>
                <a:solidFill>
                  <a:srgbClr val="808080"/>
                </a:solidFill>
                <a:prstDash val="solid"/>
              </a:ln>
            </c:spPr>
          </c:marker>
          <c:errBars>
            <c:errDir val="y"/>
            <c:errBarType val="both"/>
            <c:errValType val="percentage"/>
            <c:noEndCap val="0"/>
            <c:val val="0.1"/>
            <c:spPr>
              <a:ln w="12700">
                <a:solidFill>
                  <a:srgbClr val="808080"/>
                </a:solidFill>
                <a:prstDash val="solid"/>
              </a:ln>
            </c:spPr>
          </c:errBars>
          <c:cat>
            <c:numLit>
              <c:formatCode>General</c:formatCode>
              <c:ptCount val="7"/>
            </c:numLit>
          </c:cat>
          <c:val>
            <c:numLit>
              <c:formatCode>General</c:formatCode>
              <c:ptCount val="7"/>
              <c:pt idx="0">
                <c:v>0.5</c:v>
              </c:pt>
              <c:pt idx="1">
                <c:v>0.5</c:v>
              </c:pt>
              <c:pt idx="2">
                <c:v>0.5</c:v>
              </c:pt>
              <c:pt idx="3">
                <c:v>0.5</c:v>
              </c:pt>
              <c:pt idx="4">
                <c:v>0.5</c:v>
              </c:pt>
              <c:pt idx="5">
                <c:v>0.5</c:v>
              </c:pt>
              <c:pt idx="6">
                <c:v>0.5</c:v>
              </c:pt>
            </c:numLit>
          </c:val>
          <c:smooth val="0"/>
          <c:extLst>
            <c:ext xmlns:c16="http://schemas.microsoft.com/office/drawing/2014/chart" uri="{C3380CC4-5D6E-409C-BE32-E72D297353CC}">
              <c16:uniqueId val="{00000005-02CC-478C-897C-0F0FE544CB3E}"/>
            </c:ext>
          </c:extLst>
        </c:ser>
        <c:ser>
          <c:idx val="4"/>
          <c:order val="6"/>
          <c:tx>
            <c:v>National Minimum</c:v>
          </c:tx>
          <c:spPr>
            <a:ln w="28575">
              <a:noFill/>
            </a:ln>
          </c:spPr>
          <c:marker>
            <c:symbol val="none"/>
          </c:marker>
          <c:cat>
            <c:numLit>
              <c:formatCode>General</c:formatCode>
              <c:ptCount val="7"/>
            </c:numLit>
          </c:cat>
          <c:val>
            <c:numLit>
              <c:formatCode>General</c:formatCode>
              <c:ptCount val="7"/>
              <c:pt idx="0">
                <c:v>0</c:v>
              </c:pt>
              <c:pt idx="1">
                <c:v>0</c:v>
              </c:pt>
              <c:pt idx="2">
                <c:v>9.0909090909090981E-2</c:v>
              </c:pt>
              <c:pt idx="3">
                <c:v>0.1</c:v>
              </c:pt>
              <c:pt idx="4">
                <c:v>0.14285714285714293</c:v>
              </c:pt>
              <c:pt idx="5">
                <c:v>0.16666666666666666</c:v>
              </c:pt>
              <c:pt idx="6">
                <c:v>0</c:v>
              </c:pt>
            </c:numLit>
          </c:val>
          <c:smooth val="0"/>
          <c:extLst>
            <c:ext xmlns:c16="http://schemas.microsoft.com/office/drawing/2014/chart" uri="{C3380CC4-5D6E-409C-BE32-E72D297353CC}">
              <c16:uniqueId val="{00000006-02CC-478C-897C-0F0FE544CB3E}"/>
            </c:ext>
          </c:extLst>
        </c:ser>
        <c:ser>
          <c:idx val="0"/>
          <c:order val="7"/>
          <c:tx>
            <c:v>Statistic</c:v>
          </c:tx>
          <c:spPr>
            <a:ln w="28575">
              <a:noFill/>
            </a:ln>
          </c:spPr>
          <c:marker>
            <c:symbol val="circle"/>
            <c:size val="6"/>
            <c:spPr>
              <a:solidFill>
                <a:srgbClr val="000000"/>
              </a:solidFill>
              <a:ln>
                <a:solidFill>
                  <a:srgbClr val="000000"/>
                </a:solidFill>
                <a:prstDash val="solid"/>
              </a:ln>
            </c:spPr>
          </c:marker>
          <c:errBars>
            <c:errDir val="y"/>
            <c:errBarType val="both"/>
            <c:errValType val="percentage"/>
            <c:noEndCap val="0"/>
            <c:val val="0.1"/>
            <c:spPr>
              <a:ln w="12700">
                <a:solidFill>
                  <a:srgbClr val="333333"/>
                </a:solidFill>
                <a:prstDash val="solid"/>
              </a:ln>
            </c:spPr>
          </c:errBars>
          <c:cat>
            <c:numLit>
              <c:formatCode>General</c:formatCode>
              <c:ptCount val="7"/>
            </c:numLit>
          </c:cat>
          <c:val>
            <c:numLit>
              <c:formatCode>General</c:formatCode>
              <c:ptCount val="7"/>
              <c:pt idx="0">
                <c:v>0.64999999999999991</c:v>
              </c:pt>
              <c:pt idx="1">
                <c:v>0.6428571428571429</c:v>
              </c:pt>
              <c:pt idx="2">
                <c:v>0.62636363636363679</c:v>
              </c:pt>
              <c:pt idx="3">
                <c:v>0.53099999999999992</c:v>
              </c:pt>
              <c:pt idx="4">
                <c:v>0.56999999999999995</c:v>
              </c:pt>
              <c:pt idx="5">
                <c:v>0.36666666666666686</c:v>
              </c:pt>
              <c:pt idx="6">
                <c:v>0.26250000000000001</c:v>
              </c:pt>
            </c:numLit>
          </c:val>
          <c:smooth val="0"/>
          <c:extLst>
            <c:ext xmlns:c16="http://schemas.microsoft.com/office/drawing/2014/chart" uri="{C3380CC4-5D6E-409C-BE32-E72D297353CC}">
              <c16:uniqueId val="{00000007-02CC-478C-897C-0F0FE544CB3E}"/>
            </c:ext>
          </c:extLst>
        </c:ser>
        <c:ser>
          <c:idx val="11"/>
          <c:order val="8"/>
          <c:tx>
            <c:v>Statistically Significantly Low</c:v>
          </c:tx>
          <c:spPr>
            <a:ln w="28575">
              <a:noFill/>
            </a:ln>
          </c:spPr>
          <c:marker>
            <c:symbol val="circle"/>
            <c:size val="6"/>
            <c:spPr>
              <a:solidFill>
                <a:srgbClr val="800080"/>
              </a:solidFill>
              <a:ln>
                <a:solidFill>
                  <a:srgbClr val="800080"/>
                </a:solidFill>
                <a:prstDash val="solid"/>
              </a:ln>
            </c:spPr>
          </c:marker>
          <c:errBars>
            <c:errDir val="y"/>
            <c:errBarType val="both"/>
            <c:errValType val="percentage"/>
            <c:noEndCap val="0"/>
            <c:val val="0.1"/>
            <c:spPr>
              <a:ln w="12700">
                <a:solidFill>
                  <a:srgbClr val="800080"/>
                </a:solidFill>
                <a:prstDash val="solid"/>
              </a:ln>
            </c:spPr>
          </c:errBars>
          <c:cat>
            <c:numLit>
              <c:formatCode>General</c:formatCode>
              <c:ptCount val="7"/>
            </c:numLit>
          </c:cat>
          <c:val>
            <c:numLit>
              <c:formatCode>General</c:formatCode>
              <c:ptCount val="7"/>
              <c:pt idx="0">
                <c:v>-999</c:v>
              </c:pt>
              <c:pt idx="1">
                <c:v>-999</c:v>
              </c:pt>
              <c:pt idx="2">
                <c:v>-999</c:v>
              </c:pt>
              <c:pt idx="3">
                <c:v>-999</c:v>
              </c:pt>
              <c:pt idx="4">
                <c:v>-999</c:v>
              </c:pt>
              <c:pt idx="5">
                <c:v>-999</c:v>
              </c:pt>
              <c:pt idx="6">
                <c:v>0.26250000000000001</c:v>
              </c:pt>
            </c:numLit>
          </c:val>
          <c:smooth val="0"/>
          <c:extLst>
            <c:ext xmlns:c16="http://schemas.microsoft.com/office/drawing/2014/chart" uri="{C3380CC4-5D6E-409C-BE32-E72D297353CC}">
              <c16:uniqueId val="{00000008-02CC-478C-897C-0F0FE544CB3E}"/>
            </c:ext>
          </c:extLst>
        </c:ser>
        <c:ser>
          <c:idx val="12"/>
          <c:order val="9"/>
          <c:tx>
            <c:v>Statistically Significantly High</c:v>
          </c:tx>
          <c:spPr>
            <a:ln w="28575">
              <a:noFill/>
            </a:ln>
          </c:spPr>
          <c:marker>
            <c:symbol val="circle"/>
            <c:size val="6"/>
            <c:spPr>
              <a:solidFill>
                <a:srgbClr val="0000FF"/>
              </a:solidFill>
              <a:ln>
                <a:solidFill>
                  <a:srgbClr val="0000FF"/>
                </a:solidFill>
                <a:prstDash val="solid"/>
              </a:ln>
            </c:spPr>
          </c:marker>
          <c:errBars>
            <c:errDir val="y"/>
            <c:errBarType val="both"/>
            <c:errValType val="percentage"/>
            <c:noEndCap val="0"/>
            <c:val val="0.1"/>
            <c:spPr>
              <a:ln w="12700">
                <a:solidFill>
                  <a:srgbClr val="000080"/>
                </a:solidFill>
                <a:prstDash val="solid"/>
              </a:ln>
            </c:spPr>
          </c:errBars>
          <c:cat>
            <c:numLit>
              <c:formatCode>General</c:formatCode>
              <c:ptCount val="7"/>
            </c:numLit>
          </c:cat>
          <c:val>
            <c:numLit>
              <c:formatCode>General</c:formatCode>
              <c:ptCount val="7"/>
              <c:pt idx="0">
                <c:v>0.64999999999999991</c:v>
              </c:pt>
              <c:pt idx="1">
                <c:v>0.6428571428571429</c:v>
              </c:pt>
              <c:pt idx="2">
                <c:v>0.62636363636363679</c:v>
              </c:pt>
              <c:pt idx="3">
                <c:v>-999</c:v>
              </c:pt>
              <c:pt idx="4">
                <c:v>0.56999999999999995</c:v>
              </c:pt>
              <c:pt idx="5">
                <c:v>-999</c:v>
              </c:pt>
              <c:pt idx="6">
                <c:v>-999</c:v>
              </c:pt>
            </c:numLit>
          </c:val>
          <c:smooth val="0"/>
          <c:extLst>
            <c:ext xmlns:c16="http://schemas.microsoft.com/office/drawing/2014/chart" uri="{C3380CC4-5D6E-409C-BE32-E72D297353CC}">
              <c16:uniqueId val="{00000009-02CC-478C-897C-0F0FE544CB3E}"/>
            </c:ext>
          </c:extLst>
        </c:ser>
        <c:dLbls>
          <c:showLegendKey val="0"/>
          <c:showVal val="0"/>
          <c:showCatName val="0"/>
          <c:showSerName val="0"/>
          <c:showPercent val="0"/>
          <c:showBubbleSize val="0"/>
        </c:dLbls>
        <c:marker val="1"/>
        <c:smooth val="0"/>
        <c:axId val="421889088"/>
        <c:axId val="421889480"/>
      </c:lineChart>
      <c:catAx>
        <c:axId val="421889088"/>
        <c:scaling>
          <c:orientation val="maxMin"/>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21889480"/>
        <c:crosses val="autoZero"/>
        <c:auto val="1"/>
        <c:lblAlgn val="ctr"/>
        <c:lblOffset val="100"/>
        <c:tickLblSkip val="1"/>
        <c:tickMarkSkip val="1"/>
        <c:noMultiLvlLbl val="0"/>
      </c:catAx>
      <c:valAx>
        <c:axId val="421889480"/>
        <c:scaling>
          <c:orientation val="minMax"/>
          <c:max val="1"/>
          <c:min val="0"/>
        </c:scaling>
        <c:delete val="0"/>
        <c:axPos val="r"/>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FFFFFF"/>
                </a:solidFill>
                <a:latin typeface="Arial"/>
                <a:ea typeface="Arial"/>
                <a:cs typeface="Arial"/>
              </a:defRPr>
            </a:pPr>
            <a:endParaRPr lang="en-US"/>
          </a:p>
        </c:txPr>
        <c:crossAx val="421889088"/>
        <c:crosses val="autoZero"/>
        <c:crossBetween val="between"/>
        <c:majorUnit val="1"/>
      </c:valAx>
      <c:spPr>
        <a:noFill/>
        <a:ln w="3175">
          <a:solidFill>
            <a:srgbClr val="000000"/>
          </a:solidFill>
          <a:prstDash val="solid"/>
        </a:ln>
      </c:spPr>
    </c:plotArea>
    <c:plotVisOnly val="1"/>
    <c:dispBlanksAs val="gap"/>
    <c:showDLblsOverMax val="0"/>
  </c:chart>
  <c:spPr>
    <a:no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Spine Chart (Locality)'!A1"/><Relationship Id="rId7"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hyperlink" Target="#'Spine Chart (GP Prac)'!A1"/><Relationship Id="rId6" Type="http://schemas.openxmlformats.org/officeDocument/2006/relationships/hyperlink" Target="#'Locality and Practice Map'!A1"/><Relationship Id="rId5" Type="http://schemas.openxmlformats.org/officeDocument/2006/relationships/image" Target="../media/image3.png"/><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5.png"/><Relationship Id="rId4" Type="http://schemas.openxmlformats.org/officeDocument/2006/relationships/hyperlink" Target="#Metadata!A1"/></Relationships>
</file>

<file path=xl/drawings/_rels/drawing3.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hyperlink" Target="#Metadata!A1"/></Relationships>
</file>

<file path=xl/drawings/_rels/drawing4.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3" Type="http://schemas.openxmlformats.org/officeDocument/2006/relationships/hyperlink" Target="#'Spine Chart (Locality)'!A1"/><Relationship Id="rId2" Type="http://schemas.openxmlformats.org/officeDocument/2006/relationships/hyperlink" Target="#'Spine Chart (GP Prac)'!A1"/><Relationship Id="rId1" Type="http://schemas.openxmlformats.org/officeDocument/2006/relationships/hyperlink" Target="#Menu!A1"/><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66675</xdr:colOff>
      <xdr:row>27</xdr:row>
      <xdr:rowOff>74147</xdr:rowOff>
    </xdr:from>
    <xdr:to>
      <xdr:col>4</xdr:col>
      <xdr:colOff>199782</xdr:colOff>
      <xdr:row>37</xdr:row>
      <xdr:rowOff>104775</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2"/>
        <a:srcRect b="24091"/>
        <a:stretch/>
      </xdr:blipFill>
      <xdr:spPr>
        <a:xfrm>
          <a:off x="676275" y="4360397"/>
          <a:ext cx="1961907" cy="1649878"/>
        </a:xfrm>
        <a:prstGeom prst="rect">
          <a:avLst/>
        </a:prstGeom>
      </xdr:spPr>
    </xdr:pic>
    <xdr:clientData/>
  </xdr:twoCellAnchor>
  <xdr:twoCellAnchor editAs="oneCell">
    <xdr:from>
      <xdr:col>4</xdr:col>
      <xdr:colOff>304800</xdr:colOff>
      <xdr:row>28</xdr:row>
      <xdr:rowOff>9524</xdr:rowOff>
    </xdr:from>
    <xdr:to>
      <xdr:col>7</xdr:col>
      <xdr:colOff>434259</xdr:colOff>
      <xdr:row>37</xdr:row>
      <xdr:rowOff>123824</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4"/>
        <a:srcRect t="7142" b="23530"/>
        <a:stretch/>
      </xdr:blipFill>
      <xdr:spPr>
        <a:xfrm>
          <a:off x="2743200" y="4457699"/>
          <a:ext cx="1958259" cy="1571625"/>
        </a:xfrm>
        <a:prstGeom prst="rect">
          <a:avLst/>
        </a:prstGeom>
      </xdr:spPr>
    </xdr:pic>
    <xdr:clientData/>
  </xdr:twoCellAnchor>
  <xdr:twoCellAnchor editAs="oneCell">
    <xdr:from>
      <xdr:col>0</xdr:col>
      <xdr:colOff>200025</xdr:colOff>
      <xdr:row>0</xdr:row>
      <xdr:rowOff>159942</xdr:rowOff>
    </xdr:from>
    <xdr:to>
      <xdr:col>4</xdr:col>
      <xdr:colOff>514350</xdr:colOff>
      <xdr:row>4</xdr:row>
      <xdr:rowOff>19490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5"/>
        <a:stretch>
          <a:fillRect/>
        </a:stretch>
      </xdr:blipFill>
      <xdr:spPr>
        <a:xfrm>
          <a:off x="200025" y="159942"/>
          <a:ext cx="2371725" cy="507248"/>
        </a:xfrm>
        <a:prstGeom prst="rect">
          <a:avLst/>
        </a:prstGeom>
      </xdr:spPr>
    </xdr:pic>
    <xdr:clientData/>
  </xdr:twoCellAnchor>
  <xdr:twoCellAnchor editAs="oneCell">
    <xdr:from>
      <xdr:col>2</xdr:col>
      <xdr:colOff>30261</xdr:colOff>
      <xdr:row>41</xdr:row>
      <xdr:rowOff>66675</xdr:rowOff>
    </xdr:from>
    <xdr:to>
      <xdr:col>6</xdr:col>
      <xdr:colOff>266601</xdr:colOff>
      <xdr:row>53</xdr:row>
      <xdr:rowOff>66675</xdr:rowOff>
    </xdr:to>
    <xdr:pic>
      <xdr:nvPicPr>
        <xdr:cNvPr id="7" name="Picture 6">
          <a:hlinkClick xmlns:r="http://schemas.openxmlformats.org/officeDocument/2006/relationships" r:id="rId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7"/>
        <a:stretch>
          <a:fillRect/>
        </a:stretch>
      </xdr:blipFill>
      <xdr:spPr>
        <a:xfrm>
          <a:off x="1249461" y="6619875"/>
          <a:ext cx="2674740" cy="1943100"/>
        </a:xfrm>
        <a:prstGeom prst="rect">
          <a:avLst/>
        </a:prstGeom>
      </xdr:spPr>
    </xdr:pic>
    <xdr:clientData/>
  </xdr:twoCellAnchor>
  <xdr:twoCellAnchor>
    <xdr:from>
      <xdr:col>0</xdr:col>
      <xdr:colOff>590549</xdr:colOff>
      <xdr:row>37</xdr:row>
      <xdr:rowOff>142874</xdr:rowOff>
    </xdr:from>
    <xdr:to>
      <xdr:col>4</xdr:col>
      <xdr:colOff>142874</xdr:colOff>
      <xdr:row>40</xdr:row>
      <xdr:rowOff>95250</xdr:rowOff>
    </xdr:to>
    <xdr:sp macro="" textlink="">
      <xdr:nvSpPr>
        <xdr:cNvPr id="8" name="Rectangle 7">
          <a:extLst>
            <a:ext uri="{FF2B5EF4-FFF2-40B4-BE49-F238E27FC236}">
              <a16:creationId xmlns:a16="http://schemas.microsoft.com/office/drawing/2014/main" id="{00000000-0008-0000-0000-000008000000}"/>
            </a:ext>
          </a:extLst>
        </xdr:cNvPr>
        <xdr:cNvSpPr/>
      </xdr:nvSpPr>
      <xdr:spPr>
        <a:xfrm>
          <a:off x="590549" y="6048374"/>
          <a:ext cx="1990725" cy="438151"/>
        </a:xfrm>
        <a:prstGeom prst="rect">
          <a:avLst/>
        </a:prstGeom>
        <a:ln>
          <a:solidFill>
            <a:schemeClr val="bg1">
              <a:lumMod val="65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n-GB" sz="1100" b="1"/>
            <a:t>Click</a:t>
          </a:r>
          <a:r>
            <a:rPr lang="en-GB" sz="1100" b="1" baseline="0"/>
            <a:t> above to view spine chart profiles at GP Practice level</a:t>
          </a:r>
          <a:endParaRPr lang="en-GB" sz="1100" b="1"/>
        </a:p>
      </xdr:txBody>
    </xdr:sp>
    <xdr:clientData/>
  </xdr:twoCellAnchor>
  <xdr:twoCellAnchor>
    <xdr:from>
      <xdr:col>4</xdr:col>
      <xdr:colOff>257175</xdr:colOff>
      <xdr:row>37</xdr:row>
      <xdr:rowOff>142875</xdr:rowOff>
    </xdr:from>
    <xdr:to>
      <xdr:col>7</xdr:col>
      <xdr:colOff>419100</xdr:colOff>
      <xdr:row>40</xdr:row>
      <xdr:rowOff>95251</xdr:rowOff>
    </xdr:to>
    <xdr:sp macro="" textlink="">
      <xdr:nvSpPr>
        <xdr:cNvPr id="9" name="Rectangle 8">
          <a:extLst>
            <a:ext uri="{FF2B5EF4-FFF2-40B4-BE49-F238E27FC236}">
              <a16:creationId xmlns:a16="http://schemas.microsoft.com/office/drawing/2014/main" id="{00000000-0008-0000-0000-000009000000}"/>
            </a:ext>
          </a:extLst>
        </xdr:cNvPr>
        <xdr:cNvSpPr/>
      </xdr:nvSpPr>
      <xdr:spPr>
        <a:xfrm>
          <a:off x="2695575" y="6048375"/>
          <a:ext cx="1990725" cy="438151"/>
        </a:xfrm>
        <a:prstGeom prst="rect">
          <a:avLst/>
        </a:prstGeom>
        <a:ln>
          <a:solidFill>
            <a:schemeClr val="bg1">
              <a:lumMod val="65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n-GB" sz="1100" b="1"/>
            <a:t>Click</a:t>
          </a:r>
          <a:r>
            <a:rPr lang="en-GB" sz="1100" b="1" baseline="0"/>
            <a:t> above to view spine chart profiles at Locality level</a:t>
          </a:r>
          <a:endParaRPr lang="en-GB" sz="1100" b="1"/>
        </a:p>
      </xdr:txBody>
    </xdr:sp>
    <xdr:clientData/>
  </xdr:twoCellAnchor>
  <xdr:twoCellAnchor>
    <xdr:from>
      <xdr:col>2</xdr:col>
      <xdr:colOff>47625</xdr:colOff>
      <xdr:row>53</xdr:row>
      <xdr:rowOff>104775</xdr:rowOff>
    </xdr:from>
    <xdr:to>
      <xdr:col>6</xdr:col>
      <xdr:colOff>238125</xdr:colOff>
      <xdr:row>56</xdr:row>
      <xdr:rowOff>57151</xdr:rowOff>
    </xdr:to>
    <xdr:sp macro="" textlink="">
      <xdr:nvSpPr>
        <xdr:cNvPr id="10" name="Rectangle 9">
          <a:extLst>
            <a:ext uri="{FF2B5EF4-FFF2-40B4-BE49-F238E27FC236}">
              <a16:creationId xmlns:a16="http://schemas.microsoft.com/office/drawing/2014/main" id="{00000000-0008-0000-0000-00000A000000}"/>
            </a:ext>
          </a:extLst>
        </xdr:cNvPr>
        <xdr:cNvSpPr/>
      </xdr:nvSpPr>
      <xdr:spPr>
        <a:xfrm>
          <a:off x="1266825" y="8601075"/>
          <a:ext cx="2628900" cy="438151"/>
        </a:xfrm>
        <a:prstGeom prst="rect">
          <a:avLst/>
        </a:prstGeom>
        <a:ln>
          <a:solidFill>
            <a:schemeClr val="bg1">
              <a:lumMod val="65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n-GB" sz="1100" b="1"/>
            <a:t>Click</a:t>
          </a:r>
          <a:r>
            <a:rPr lang="en-GB" sz="1100" b="1" baseline="0"/>
            <a:t> above to view a map of Localities and GP Practices</a:t>
          </a:r>
          <a:endParaRPr lang="en-GB" sz="11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19050</xdr:colOff>
      <xdr:row>12</xdr:row>
      <xdr:rowOff>28575</xdr:rowOff>
    </xdr:from>
    <xdr:to>
      <xdr:col>23</xdr:col>
      <xdr:colOff>38100</xdr:colOff>
      <xdr:row>79</xdr:row>
      <xdr:rowOff>0</xdr:rowOff>
    </xdr:to>
    <xdr:graphicFrame macro="">
      <xdr:nvGraphicFramePr>
        <xdr:cNvPr id="440733" name="Chart 1">
          <a:extLst>
            <a:ext uri="{FF2B5EF4-FFF2-40B4-BE49-F238E27FC236}">
              <a16:creationId xmlns:a16="http://schemas.microsoft.com/office/drawing/2014/main" id="{00000000-0008-0000-0100-00009DB90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13</xdr:col>
      <xdr:colOff>85725</xdr:colOff>
      <xdr:row>0</xdr:row>
      <xdr:rowOff>0</xdr:rowOff>
    </xdr:to>
    <xdr:graphicFrame macro="">
      <xdr:nvGraphicFramePr>
        <xdr:cNvPr id="440734" name="Chart 2">
          <a:extLst>
            <a:ext uri="{FF2B5EF4-FFF2-40B4-BE49-F238E27FC236}">
              <a16:creationId xmlns:a16="http://schemas.microsoft.com/office/drawing/2014/main" id="{00000000-0008-0000-0100-00009EB90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247650</xdr:colOff>
      <xdr:row>7</xdr:row>
      <xdr:rowOff>85725</xdr:rowOff>
    </xdr:from>
    <xdr:to>
      <xdr:col>3</xdr:col>
      <xdr:colOff>657225</xdr:colOff>
      <xdr:row>10</xdr:row>
      <xdr:rowOff>22225</xdr:rowOff>
    </xdr:to>
    <xdr:sp macro="" textlink="">
      <xdr:nvSpPr>
        <xdr:cNvPr id="24" name="Rectangle 23">
          <a:hlinkClick xmlns:r="http://schemas.openxmlformats.org/officeDocument/2006/relationships" r:id="rId3"/>
          <a:extLst>
            <a:ext uri="{FF2B5EF4-FFF2-40B4-BE49-F238E27FC236}">
              <a16:creationId xmlns:a16="http://schemas.microsoft.com/office/drawing/2014/main" id="{00000000-0008-0000-0100-000018000000}"/>
            </a:ext>
          </a:extLst>
        </xdr:cNvPr>
        <xdr:cNvSpPr/>
      </xdr:nvSpPr>
      <xdr:spPr>
        <a:xfrm>
          <a:off x="352425" y="1581150"/>
          <a:ext cx="1095375" cy="317500"/>
        </a:xfrm>
        <a:prstGeom prst="rect">
          <a:avLst/>
        </a:prstGeom>
        <a:solidFill>
          <a:srgbClr val="1DCAD3"/>
        </a:solidFill>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n-GB" sz="1200" b="1" i="0" u="none" strike="noStrike" baseline="0">
              <a:solidFill>
                <a:schemeClr val="bg1"/>
              </a:solidFill>
              <a:latin typeface="Arial" panose="020B0604020202020204" pitchFamily="34" charset="0"/>
              <a:ea typeface="+mn-ea"/>
              <a:cs typeface="Arial" panose="020B0604020202020204" pitchFamily="34" charset="0"/>
            </a:rPr>
            <a:t>Main</a:t>
          </a:r>
          <a:r>
            <a:rPr lang="en-GB" sz="1200" b="1" baseline="0">
              <a:solidFill>
                <a:schemeClr val="bg1"/>
              </a:solidFill>
              <a:latin typeface="Arial" panose="020B0604020202020204" pitchFamily="34" charset="0"/>
              <a:cs typeface="Arial" panose="020B0604020202020204" pitchFamily="34" charset="0"/>
            </a:rPr>
            <a:t> </a:t>
          </a:r>
          <a:r>
            <a:rPr lang="en-GB" sz="1200" b="1" i="0" u="none" strike="noStrike" baseline="0">
              <a:solidFill>
                <a:schemeClr val="bg1"/>
              </a:solidFill>
              <a:latin typeface="Arial" panose="020B0604020202020204" pitchFamily="34" charset="0"/>
              <a:ea typeface="+mn-ea"/>
              <a:cs typeface="Arial" panose="020B0604020202020204" pitchFamily="34" charset="0"/>
            </a:rPr>
            <a:t>Menu</a:t>
          </a:r>
        </a:p>
      </xdr:txBody>
    </xdr:sp>
    <xdr:clientData/>
  </xdr:twoCellAnchor>
  <xdr:twoCellAnchor>
    <xdr:from>
      <xdr:col>3</xdr:col>
      <xdr:colOff>771523</xdr:colOff>
      <xdr:row>7</xdr:row>
      <xdr:rowOff>85725</xdr:rowOff>
    </xdr:from>
    <xdr:to>
      <xdr:col>3</xdr:col>
      <xdr:colOff>1865923</xdr:colOff>
      <xdr:row>10</xdr:row>
      <xdr:rowOff>21525</xdr:rowOff>
    </xdr:to>
    <xdr:sp macro="" textlink="">
      <xdr:nvSpPr>
        <xdr:cNvPr id="25" name="Rectangle 24">
          <a:hlinkClick xmlns:r="http://schemas.openxmlformats.org/officeDocument/2006/relationships" r:id="rId4"/>
          <a:extLst>
            <a:ext uri="{FF2B5EF4-FFF2-40B4-BE49-F238E27FC236}">
              <a16:creationId xmlns:a16="http://schemas.microsoft.com/office/drawing/2014/main" id="{00000000-0008-0000-0100-000019000000}"/>
            </a:ext>
          </a:extLst>
        </xdr:cNvPr>
        <xdr:cNvSpPr/>
      </xdr:nvSpPr>
      <xdr:spPr>
        <a:xfrm>
          <a:off x="1562098" y="1581150"/>
          <a:ext cx="1094400" cy="316800"/>
        </a:xfrm>
        <a:prstGeom prst="rect">
          <a:avLst/>
        </a:prstGeom>
        <a:solidFill>
          <a:srgbClr val="1DCAD3"/>
        </a:solidFill>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n-GB" sz="1200" b="1" i="0" u="none" strike="noStrike" baseline="0">
              <a:solidFill>
                <a:schemeClr val="bg1"/>
              </a:solidFill>
              <a:latin typeface="Arial" panose="020B0604020202020204" pitchFamily="34" charset="0"/>
              <a:ea typeface="+mn-ea"/>
              <a:cs typeface="Arial" panose="020B0604020202020204" pitchFamily="34" charset="0"/>
            </a:rPr>
            <a:t>Metadata</a:t>
          </a:r>
        </a:p>
      </xdr:txBody>
    </xdr:sp>
    <xdr:clientData/>
  </xdr:twoCellAnchor>
  <xdr:twoCellAnchor editAs="oneCell">
    <xdr:from>
      <xdr:col>15</xdr:col>
      <xdr:colOff>19050</xdr:colOff>
      <xdr:row>0</xdr:row>
      <xdr:rowOff>47625</xdr:rowOff>
    </xdr:from>
    <xdr:to>
      <xdr:col>23</xdr:col>
      <xdr:colOff>444097</xdr:colOff>
      <xdr:row>2</xdr:row>
      <xdr:rowOff>96824</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5"/>
        <a:stretch>
          <a:fillRect/>
        </a:stretch>
      </xdr:blipFill>
      <xdr:spPr>
        <a:xfrm>
          <a:off x="11372850" y="47625"/>
          <a:ext cx="2682472" cy="573074"/>
        </a:xfrm>
        <a:prstGeom prst="rect">
          <a:avLst/>
        </a:prstGeom>
      </xdr:spPr>
    </xdr:pic>
    <xdr:clientData/>
  </xdr:twoCellAnchor>
  <xdr:twoCellAnchor>
    <xdr:from>
      <xdr:col>11</xdr:col>
      <xdr:colOff>85725</xdr:colOff>
      <xdr:row>6</xdr:row>
      <xdr:rowOff>180975</xdr:rowOff>
    </xdr:from>
    <xdr:to>
      <xdr:col>22</xdr:col>
      <xdr:colOff>86722</xdr:colOff>
      <xdr:row>10</xdr:row>
      <xdr:rowOff>277604</xdr:rowOff>
    </xdr:to>
    <xdr:grpSp>
      <xdr:nvGrpSpPr>
        <xdr:cNvPr id="89" name="Group 30">
          <a:extLst>
            <a:ext uri="{FF2B5EF4-FFF2-40B4-BE49-F238E27FC236}">
              <a16:creationId xmlns:a16="http://schemas.microsoft.com/office/drawing/2014/main" id="{00000000-0008-0000-0100-000059000000}"/>
            </a:ext>
          </a:extLst>
        </xdr:cNvPr>
        <xdr:cNvGrpSpPr>
          <a:grpSpLocks/>
        </xdr:cNvGrpSpPr>
      </xdr:nvGrpSpPr>
      <xdr:grpSpPr bwMode="auto">
        <a:xfrm>
          <a:off x="10708005" y="1430655"/>
          <a:ext cx="2934697" cy="759569"/>
          <a:chOff x="665" y="875"/>
          <a:chExt cx="343" cy="74"/>
        </a:xfrm>
      </xdr:grpSpPr>
      <xdr:sp macro="" textlink="">
        <xdr:nvSpPr>
          <xdr:cNvPr id="91" name="Text Box 4">
            <a:extLst>
              <a:ext uri="{FF2B5EF4-FFF2-40B4-BE49-F238E27FC236}">
                <a16:creationId xmlns:a16="http://schemas.microsoft.com/office/drawing/2014/main" id="{00000000-0008-0000-0100-00005B000000}"/>
              </a:ext>
            </a:extLst>
          </xdr:cNvPr>
          <xdr:cNvSpPr txBox="1">
            <a:spLocks noChangeArrowheads="1"/>
          </xdr:cNvSpPr>
        </xdr:nvSpPr>
        <xdr:spPr bwMode="auto">
          <a:xfrm>
            <a:off x="896" y="919"/>
            <a:ext cx="21" cy="15"/>
          </a:xfrm>
          <a:prstGeom prst="rect">
            <a:avLst/>
          </a:prstGeom>
          <a:noFill/>
          <a:ln w="9525">
            <a:noFill/>
            <a:miter lim="800000"/>
            <a:headEnd/>
            <a:tailEnd/>
          </a:ln>
        </xdr:spPr>
        <xdr:txBody>
          <a:bodyPr wrap="none" lIns="18288" tIns="18288" rIns="0" bIns="18288" anchor="ctr" upright="1">
            <a:spAutoFit/>
          </a:bodyPr>
          <a:lstStyle/>
          <a:p>
            <a:pPr algn="l" rtl="0">
              <a:defRPr sz="1000"/>
            </a:pPr>
            <a:r>
              <a:rPr lang="en-GB" sz="700" b="1" i="0" u="none" strike="noStrike" baseline="0">
                <a:solidFill>
                  <a:srgbClr val="000080"/>
                </a:solidFill>
                <a:latin typeface="Arial"/>
                <a:cs typeface="Arial"/>
              </a:rPr>
              <a:t>75th</a:t>
            </a:r>
          </a:p>
        </xdr:txBody>
      </xdr:sp>
      <xdr:sp macro="" textlink="">
        <xdr:nvSpPr>
          <xdr:cNvPr id="92" name="Text Box 5">
            <a:extLst>
              <a:ext uri="{FF2B5EF4-FFF2-40B4-BE49-F238E27FC236}">
                <a16:creationId xmlns:a16="http://schemas.microsoft.com/office/drawing/2014/main" id="{00000000-0008-0000-0100-00005C000000}"/>
              </a:ext>
            </a:extLst>
          </xdr:cNvPr>
          <xdr:cNvSpPr txBox="1">
            <a:spLocks noChangeArrowheads="1"/>
          </xdr:cNvSpPr>
        </xdr:nvSpPr>
        <xdr:spPr bwMode="auto">
          <a:xfrm>
            <a:off x="813" y="918"/>
            <a:ext cx="47" cy="15"/>
          </a:xfrm>
          <a:prstGeom prst="rect">
            <a:avLst/>
          </a:prstGeom>
          <a:noFill/>
          <a:ln w="9525">
            <a:noFill/>
            <a:miter lim="800000"/>
            <a:headEnd/>
            <a:tailEnd/>
          </a:ln>
        </xdr:spPr>
        <xdr:txBody>
          <a:bodyPr wrap="none" lIns="18288" tIns="18288" rIns="0" bIns="18288" anchor="ctr" upright="1">
            <a:spAutoFit/>
          </a:bodyPr>
          <a:lstStyle/>
          <a:p>
            <a:pPr algn="l" rtl="0">
              <a:defRPr sz="1000"/>
            </a:pPr>
            <a:r>
              <a:rPr lang="en-GB" sz="700" b="1" i="0" u="none" strike="noStrike" baseline="0">
                <a:solidFill>
                  <a:srgbClr val="000080"/>
                </a:solidFill>
                <a:latin typeface="Arial"/>
                <a:cs typeface="Arial"/>
              </a:rPr>
              <a:t>Percentile</a:t>
            </a:r>
          </a:p>
        </xdr:txBody>
      </xdr:sp>
      <xdr:sp macro="" textlink="">
        <xdr:nvSpPr>
          <xdr:cNvPr id="93" name="Text Box 6">
            <a:extLst>
              <a:ext uri="{FF2B5EF4-FFF2-40B4-BE49-F238E27FC236}">
                <a16:creationId xmlns:a16="http://schemas.microsoft.com/office/drawing/2014/main" id="{00000000-0008-0000-0100-00005D000000}"/>
              </a:ext>
            </a:extLst>
          </xdr:cNvPr>
          <xdr:cNvSpPr txBox="1">
            <a:spLocks noChangeArrowheads="1"/>
          </xdr:cNvSpPr>
        </xdr:nvSpPr>
        <xdr:spPr bwMode="auto">
          <a:xfrm>
            <a:off x="760" y="918"/>
            <a:ext cx="21" cy="15"/>
          </a:xfrm>
          <a:prstGeom prst="rect">
            <a:avLst/>
          </a:prstGeom>
          <a:noFill/>
          <a:ln w="9525">
            <a:noFill/>
            <a:miter lim="800000"/>
            <a:headEnd/>
            <a:tailEnd/>
          </a:ln>
        </xdr:spPr>
        <xdr:txBody>
          <a:bodyPr wrap="none" lIns="18288" tIns="18288" rIns="0" bIns="18288" anchor="ctr" upright="1">
            <a:spAutoFit/>
          </a:bodyPr>
          <a:lstStyle/>
          <a:p>
            <a:pPr algn="l" rtl="0">
              <a:defRPr sz="1000"/>
            </a:pPr>
            <a:r>
              <a:rPr lang="en-GB" sz="700" b="1" i="0" u="none" strike="noStrike" baseline="0">
                <a:solidFill>
                  <a:srgbClr val="000080"/>
                </a:solidFill>
                <a:latin typeface="Arial"/>
                <a:cs typeface="Arial"/>
              </a:rPr>
              <a:t>25th</a:t>
            </a:r>
          </a:p>
        </xdr:txBody>
      </xdr:sp>
      <xdr:sp macro="" textlink="">
        <xdr:nvSpPr>
          <xdr:cNvPr id="94" name="Text Box 7">
            <a:extLst>
              <a:ext uri="{FF2B5EF4-FFF2-40B4-BE49-F238E27FC236}">
                <a16:creationId xmlns:a16="http://schemas.microsoft.com/office/drawing/2014/main" id="{00000000-0008-0000-0100-00005E000000}"/>
              </a:ext>
            </a:extLst>
          </xdr:cNvPr>
          <xdr:cNvSpPr txBox="1">
            <a:spLocks noChangeArrowheads="1"/>
          </xdr:cNvSpPr>
        </xdr:nvSpPr>
        <xdr:spPr bwMode="auto">
          <a:xfrm>
            <a:off x="809" y="882"/>
            <a:ext cx="63" cy="14"/>
          </a:xfrm>
          <a:prstGeom prst="rect">
            <a:avLst/>
          </a:prstGeom>
          <a:noFill/>
          <a:ln w="9525">
            <a:noFill/>
            <a:miter lim="800000"/>
            <a:headEnd/>
            <a:tailEnd/>
          </a:ln>
        </xdr:spPr>
        <xdr:txBody>
          <a:bodyPr wrap="none" lIns="0" tIns="18288" rIns="18288" bIns="18288" anchor="ctr" upright="1">
            <a:spAutoFit/>
          </a:bodyPr>
          <a:lstStyle/>
          <a:p>
            <a:pPr algn="r" rtl="0">
              <a:defRPr sz="1000"/>
            </a:pPr>
            <a:r>
              <a:rPr lang="en-GB" sz="700" b="0" i="0" u="none" strike="noStrike" baseline="0">
                <a:solidFill>
                  <a:srgbClr val="000080"/>
                </a:solidFill>
                <a:latin typeface="Arial"/>
                <a:cs typeface="Arial"/>
              </a:rPr>
              <a:t>City average</a:t>
            </a:r>
          </a:p>
        </xdr:txBody>
      </xdr:sp>
      <xdr:sp macro="" textlink="">
        <xdr:nvSpPr>
          <xdr:cNvPr id="95" name="Text Box 8">
            <a:extLst>
              <a:ext uri="{FF2B5EF4-FFF2-40B4-BE49-F238E27FC236}">
                <a16:creationId xmlns:a16="http://schemas.microsoft.com/office/drawing/2014/main" id="{00000000-0008-0000-0100-00005F000000}"/>
              </a:ext>
            </a:extLst>
          </xdr:cNvPr>
          <xdr:cNvSpPr txBox="1">
            <a:spLocks noChangeArrowheads="1"/>
          </xdr:cNvSpPr>
        </xdr:nvSpPr>
        <xdr:spPr bwMode="auto">
          <a:xfrm>
            <a:off x="667" y="875"/>
            <a:ext cx="74" cy="18"/>
          </a:xfrm>
          <a:prstGeom prst="rect">
            <a:avLst/>
          </a:prstGeom>
          <a:noFill/>
          <a:ln w="9525">
            <a:noFill/>
            <a:miter lim="800000"/>
            <a:headEnd/>
            <a:tailEnd/>
          </a:ln>
        </xdr:spPr>
        <xdr:txBody>
          <a:bodyPr wrap="none" lIns="18288" tIns="18288" rIns="18288" bIns="18288" anchor="ctr" upright="1">
            <a:noAutofit/>
          </a:bodyPr>
          <a:lstStyle/>
          <a:p>
            <a:pPr algn="ctr" rtl="0">
              <a:defRPr sz="1000"/>
            </a:pPr>
            <a:r>
              <a:rPr lang="en-GB" sz="700" b="0" i="0" u="none" strike="noStrike" baseline="0">
                <a:solidFill>
                  <a:srgbClr val="000080"/>
                </a:solidFill>
                <a:latin typeface="Arial"/>
                <a:cs typeface="Arial"/>
              </a:rPr>
              <a:t>Comparator </a:t>
            </a:r>
          </a:p>
          <a:p>
            <a:pPr algn="ctr" rtl="0">
              <a:defRPr sz="1000"/>
            </a:pPr>
            <a:r>
              <a:rPr lang="en-GB" sz="700" b="0" i="0" u="none" strike="noStrike" baseline="0">
                <a:solidFill>
                  <a:srgbClr val="000080"/>
                </a:solidFill>
                <a:latin typeface="Arial"/>
                <a:cs typeface="Arial"/>
              </a:rPr>
              <a:t>average</a:t>
            </a:r>
          </a:p>
        </xdr:txBody>
      </xdr:sp>
      <xdr:sp macro="" textlink="">
        <xdr:nvSpPr>
          <xdr:cNvPr id="96" name="Rectangle 10">
            <a:extLst>
              <a:ext uri="{FF2B5EF4-FFF2-40B4-BE49-F238E27FC236}">
                <a16:creationId xmlns:a16="http://schemas.microsoft.com/office/drawing/2014/main" id="{00000000-0008-0000-0100-000060000000}"/>
              </a:ext>
            </a:extLst>
          </xdr:cNvPr>
          <xdr:cNvSpPr>
            <a:spLocks noChangeArrowheads="1"/>
          </xdr:cNvSpPr>
        </xdr:nvSpPr>
        <xdr:spPr bwMode="auto">
          <a:xfrm rot="5400000">
            <a:off x="831" y="733"/>
            <a:ext cx="11" cy="343"/>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7" name="Rectangle 11">
            <a:extLst>
              <a:ext uri="{FF2B5EF4-FFF2-40B4-BE49-F238E27FC236}">
                <a16:creationId xmlns:a16="http://schemas.microsoft.com/office/drawing/2014/main" id="{00000000-0008-0000-0100-000061000000}"/>
              </a:ext>
            </a:extLst>
          </xdr:cNvPr>
          <xdr:cNvSpPr>
            <a:spLocks noChangeArrowheads="1"/>
          </xdr:cNvSpPr>
        </xdr:nvSpPr>
        <xdr:spPr bwMode="auto">
          <a:xfrm rot="5400000">
            <a:off x="833" y="835"/>
            <a:ext cx="11" cy="138"/>
          </a:xfrm>
          <a:prstGeom prst="rect">
            <a:avLst/>
          </a:prstGeom>
          <a:solidFill>
            <a:srgbClr val="969696"/>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8" name="Line 12">
            <a:extLst>
              <a:ext uri="{FF2B5EF4-FFF2-40B4-BE49-F238E27FC236}">
                <a16:creationId xmlns:a16="http://schemas.microsoft.com/office/drawing/2014/main" id="{00000000-0008-0000-0100-000062000000}"/>
              </a:ext>
            </a:extLst>
          </xdr:cNvPr>
          <xdr:cNvSpPr>
            <a:spLocks noChangeShapeType="1"/>
          </xdr:cNvSpPr>
        </xdr:nvSpPr>
        <xdr:spPr bwMode="auto">
          <a:xfrm rot="5400000">
            <a:off x="830" y="905"/>
            <a:ext cx="16" cy="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99" name="AutoShape 13">
            <a:extLst>
              <a:ext uri="{FF2B5EF4-FFF2-40B4-BE49-F238E27FC236}">
                <a16:creationId xmlns:a16="http://schemas.microsoft.com/office/drawing/2014/main" id="{00000000-0008-0000-0100-000063000000}"/>
              </a:ext>
            </a:extLst>
          </xdr:cNvPr>
          <xdr:cNvSpPr>
            <a:spLocks noChangeArrowheads="1"/>
          </xdr:cNvSpPr>
        </xdr:nvSpPr>
        <xdr:spPr bwMode="auto">
          <a:xfrm rot="5400000">
            <a:off x="697" y="899"/>
            <a:ext cx="12" cy="11"/>
          </a:xfrm>
          <a:prstGeom prst="diamond">
            <a:avLst/>
          </a:prstGeom>
          <a:solidFill>
            <a:srgbClr val="FFFFFF"/>
          </a:solidFill>
          <a:ln w="9525">
            <a:solidFill>
              <a:srgbClr val="333333"/>
            </a:solidFill>
            <a:miter lim="800000"/>
            <a:headEnd/>
            <a:tailEnd/>
          </a:ln>
        </xdr:spPr>
      </xdr:sp>
      <xdr:sp macro="" textlink="">
        <xdr:nvSpPr>
          <xdr:cNvPr id="100" name="Text Box 17">
            <a:extLst>
              <a:ext uri="{FF2B5EF4-FFF2-40B4-BE49-F238E27FC236}">
                <a16:creationId xmlns:a16="http://schemas.microsoft.com/office/drawing/2014/main" id="{00000000-0008-0000-0100-000064000000}"/>
              </a:ext>
            </a:extLst>
          </xdr:cNvPr>
          <xdr:cNvSpPr txBox="1">
            <a:spLocks noChangeArrowheads="1"/>
          </xdr:cNvSpPr>
        </xdr:nvSpPr>
        <xdr:spPr bwMode="auto">
          <a:xfrm>
            <a:off x="668" y="917"/>
            <a:ext cx="91" cy="31"/>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n-GB" sz="800" b="1" i="0" u="none" strike="noStrike" baseline="0">
                <a:solidFill>
                  <a:srgbClr val="000080"/>
                </a:solidFill>
                <a:latin typeface="Arial"/>
                <a:cs typeface="Arial"/>
              </a:rPr>
              <a:t>Worst / Lowest</a:t>
            </a:r>
          </a:p>
        </xdr:txBody>
      </xdr:sp>
      <xdr:sp macro="" textlink="">
        <xdr:nvSpPr>
          <xdr:cNvPr id="101" name="Text Box 18">
            <a:extLst>
              <a:ext uri="{FF2B5EF4-FFF2-40B4-BE49-F238E27FC236}">
                <a16:creationId xmlns:a16="http://schemas.microsoft.com/office/drawing/2014/main" id="{00000000-0008-0000-0100-000065000000}"/>
              </a:ext>
            </a:extLst>
          </xdr:cNvPr>
          <xdr:cNvSpPr txBox="1">
            <a:spLocks noChangeArrowheads="1"/>
          </xdr:cNvSpPr>
        </xdr:nvSpPr>
        <xdr:spPr bwMode="auto">
          <a:xfrm>
            <a:off x="922" y="918"/>
            <a:ext cx="85" cy="31"/>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n-GB" sz="800" b="1" i="0" u="none" strike="noStrike" baseline="0">
                <a:solidFill>
                  <a:srgbClr val="000080"/>
                </a:solidFill>
                <a:latin typeface="Arial"/>
                <a:cs typeface="Arial"/>
              </a:rPr>
              <a:t>Best / Highest</a:t>
            </a:r>
          </a:p>
        </xdr:txBody>
      </xdr:sp>
    </xdr:grpSp>
    <xdr:clientData/>
  </xdr:twoCellAnchor>
  <xdr:twoCellAnchor>
    <xdr:from>
      <xdr:col>12</xdr:col>
      <xdr:colOff>114300</xdr:colOff>
      <xdr:row>10</xdr:row>
      <xdr:rowOff>247650</xdr:rowOff>
    </xdr:from>
    <xdr:to>
      <xdr:col>21</xdr:col>
      <xdr:colOff>164069</xdr:colOff>
      <xdr:row>11</xdr:row>
      <xdr:rowOff>133350</xdr:rowOff>
    </xdr:to>
    <xdr:sp macro="" textlink="">
      <xdr:nvSpPr>
        <xdr:cNvPr id="102" name="Text Box 16">
          <a:extLst>
            <a:ext uri="{FF2B5EF4-FFF2-40B4-BE49-F238E27FC236}">
              <a16:creationId xmlns:a16="http://schemas.microsoft.com/office/drawing/2014/main" id="{00000000-0008-0000-0100-000066000000}"/>
            </a:ext>
          </a:extLst>
        </xdr:cNvPr>
        <xdr:cNvSpPr txBox="1">
          <a:spLocks noChangeArrowheads="1"/>
        </xdr:cNvSpPr>
      </xdr:nvSpPr>
      <xdr:spPr bwMode="auto">
        <a:xfrm>
          <a:off x="10696575" y="2181225"/>
          <a:ext cx="2364344" cy="180975"/>
        </a:xfrm>
        <a:prstGeom prst="rect">
          <a:avLst/>
        </a:prstGeom>
        <a:noFill/>
        <a:ln w="9525">
          <a:noFill/>
          <a:miter lim="800000"/>
          <a:headEnd/>
          <a:tailEnd/>
        </a:ln>
      </xdr:spPr>
      <xdr:txBody>
        <a:bodyPr vertOverflow="clip" wrap="square" lIns="27432" tIns="22860" rIns="0" bIns="0" anchor="t" upright="1"/>
        <a:lstStyle/>
        <a:p>
          <a:pPr algn="ctr" rtl="0">
            <a:defRPr sz="1000"/>
          </a:pPr>
          <a:r>
            <a:rPr lang="en-GB" sz="900" b="1" i="0" u="sng" strike="noStrike" baseline="0">
              <a:solidFill>
                <a:srgbClr val="000080"/>
              </a:solidFill>
              <a:latin typeface="Arial"/>
              <a:cs typeface="Arial"/>
            </a:rPr>
            <a:t>Difference compared with City average</a:t>
          </a:r>
        </a:p>
      </xdr:txBody>
    </xdr:sp>
    <xdr:clientData/>
  </xdr:twoCellAnchor>
  <xdr:twoCellAnchor>
    <xdr:from>
      <xdr:col>13</xdr:col>
      <xdr:colOff>9525</xdr:colOff>
      <xdr:row>11</xdr:row>
      <xdr:rowOff>152400</xdr:rowOff>
    </xdr:from>
    <xdr:to>
      <xdr:col>21</xdr:col>
      <xdr:colOff>152400</xdr:colOff>
      <xdr:row>12</xdr:row>
      <xdr:rowOff>285749</xdr:rowOff>
    </xdr:to>
    <xdr:grpSp>
      <xdr:nvGrpSpPr>
        <xdr:cNvPr id="103" name="Group 102">
          <a:extLst>
            <a:ext uri="{FF2B5EF4-FFF2-40B4-BE49-F238E27FC236}">
              <a16:creationId xmlns:a16="http://schemas.microsoft.com/office/drawing/2014/main" id="{00000000-0008-0000-0100-000067000000}"/>
            </a:ext>
          </a:extLst>
        </xdr:cNvPr>
        <xdr:cNvGrpSpPr/>
      </xdr:nvGrpSpPr>
      <xdr:grpSpPr>
        <a:xfrm>
          <a:off x="11165205" y="2354580"/>
          <a:ext cx="2276475" cy="422909"/>
          <a:chOff x="2533650" y="15268575"/>
          <a:chExt cx="2200275" cy="409575"/>
        </a:xfrm>
      </xdr:grpSpPr>
      <xdr:sp macro="" textlink="">
        <xdr:nvSpPr>
          <xdr:cNvPr id="104" name="Oval 14">
            <a:extLst>
              <a:ext uri="{FF2B5EF4-FFF2-40B4-BE49-F238E27FC236}">
                <a16:creationId xmlns:a16="http://schemas.microsoft.com/office/drawing/2014/main" id="{00000000-0008-0000-0100-000068000000}"/>
              </a:ext>
            </a:extLst>
          </xdr:cNvPr>
          <xdr:cNvSpPr>
            <a:spLocks noChangeArrowheads="1"/>
          </xdr:cNvSpPr>
        </xdr:nvSpPr>
        <xdr:spPr bwMode="auto">
          <a:xfrm rot="5400000">
            <a:off x="2862957" y="15519270"/>
            <a:ext cx="111600" cy="112871"/>
          </a:xfrm>
          <a:prstGeom prst="ellipse">
            <a:avLst/>
          </a:prstGeom>
          <a:solidFill>
            <a:srgbClr val="FFFF99"/>
          </a:solidFill>
          <a:ln w="9525">
            <a:solidFill>
              <a:srgbClr val="000000"/>
            </a:solidFill>
            <a:round/>
            <a:headEnd/>
            <a:tailEnd/>
          </a:ln>
        </xdr:spPr>
      </xdr:sp>
      <xdr:sp macro="" textlink="">
        <xdr:nvSpPr>
          <xdr:cNvPr id="105" name="Oval 19">
            <a:extLst>
              <a:ext uri="{FF2B5EF4-FFF2-40B4-BE49-F238E27FC236}">
                <a16:creationId xmlns:a16="http://schemas.microsoft.com/office/drawing/2014/main" id="{00000000-0008-0000-0100-000069000000}"/>
              </a:ext>
            </a:extLst>
          </xdr:cNvPr>
          <xdr:cNvSpPr>
            <a:spLocks noChangeArrowheads="1"/>
          </xdr:cNvSpPr>
        </xdr:nvSpPr>
        <xdr:spPr bwMode="auto">
          <a:xfrm rot="5400000">
            <a:off x="3463032" y="15519270"/>
            <a:ext cx="111600" cy="112871"/>
          </a:xfrm>
          <a:prstGeom prst="ellipse">
            <a:avLst/>
          </a:prstGeom>
          <a:solidFill>
            <a:srgbClr val="FFFFFF"/>
          </a:solidFill>
          <a:ln w="9525">
            <a:solidFill>
              <a:srgbClr val="000000"/>
            </a:solidFill>
            <a:round/>
            <a:headEnd/>
            <a:tailEnd/>
          </a:ln>
        </xdr:spPr>
      </xdr:sp>
      <xdr:sp macro="" textlink="">
        <xdr:nvSpPr>
          <xdr:cNvPr id="106" name="Text Box 16">
            <a:extLst>
              <a:ext uri="{FF2B5EF4-FFF2-40B4-BE49-F238E27FC236}">
                <a16:creationId xmlns:a16="http://schemas.microsoft.com/office/drawing/2014/main" id="{00000000-0008-0000-0100-00006A000000}"/>
              </a:ext>
            </a:extLst>
          </xdr:cNvPr>
          <xdr:cNvSpPr txBox="1">
            <a:spLocks noChangeArrowheads="1"/>
          </xdr:cNvSpPr>
        </xdr:nvSpPr>
        <xdr:spPr bwMode="auto">
          <a:xfrm>
            <a:off x="2657475" y="15268575"/>
            <a:ext cx="561975"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n-GB" sz="900" b="0" i="0" u="none" strike="noStrike" baseline="0">
                <a:solidFill>
                  <a:srgbClr val="000080"/>
                </a:solidFill>
                <a:latin typeface="Arial"/>
                <a:cs typeface="Arial"/>
              </a:rPr>
              <a:t>Better</a:t>
            </a:r>
          </a:p>
        </xdr:txBody>
      </xdr:sp>
      <xdr:sp macro="" textlink="">
        <xdr:nvSpPr>
          <xdr:cNvPr id="107" name="Oval 15">
            <a:extLst>
              <a:ext uri="{FF2B5EF4-FFF2-40B4-BE49-F238E27FC236}">
                <a16:creationId xmlns:a16="http://schemas.microsoft.com/office/drawing/2014/main" id="{00000000-0008-0000-0100-00006B000000}"/>
              </a:ext>
            </a:extLst>
          </xdr:cNvPr>
          <xdr:cNvSpPr>
            <a:spLocks noChangeArrowheads="1"/>
          </xdr:cNvSpPr>
        </xdr:nvSpPr>
        <xdr:spPr bwMode="auto">
          <a:xfrm rot="5400000">
            <a:off x="2534286" y="15286990"/>
            <a:ext cx="111600" cy="112871"/>
          </a:xfrm>
          <a:prstGeom prst="ellipse">
            <a:avLst/>
          </a:prstGeom>
          <a:solidFill>
            <a:srgbClr val="92D050"/>
          </a:solidFill>
          <a:ln w="9525">
            <a:solidFill>
              <a:srgbClr val="000000"/>
            </a:solidFill>
            <a:round/>
            <a:headEnd/>
            <a:tailEnd/>
          </a:ln>
        </xdr:spPr>
      </xdr:sp>
      <xdr:sp macro="" textlink="">
        <xdr:nvSpPr>
          <xdr:cNvPr id="108" name="Oval 15">
            <a:extLst>
              <a:ext uri="{FF2B5EF4-FFF2-40B4-BE49-F238E27FC236}">
                <a16:creationId xmlns:a16="http://schemas.microsoft.com/office/drawing/2014/main" id="{00000000-0008-0000-0100-00006C000000}"/>
              </a:ext>
            </a:extLst>
          </xdr:cNvPr>
          <xdr:cNvSpPr>
            <a:spLocks noChangeArrowheads="1"/>
          </xdr:cNvSpPr>
        </xdr:nvSpPr>
        <xdr:spPr bwMode="auto">
          <a:xfrm rot="5400000">
            <a:off x="3058161" y="15286990"/>
            <a:ext cx="111600" cy="112871"/>
          </a:xfrm>
          <a:prstGeom prst="ellipse">
            <a:avLst/>
          </a:prstGeom>
          <a:solidFill>
            <a:srgbClr val="FF0000"/>
          </a:solidFill>
          <a:ln w="9525">
            <a:solidFill>
              <a:srgbClr val="000000"/>
            </a:solidFill>
            <a:round/>
            <a:headEnd/>
            <a:tailEnd/>
          </a:ln>
        </xdr:spPr>
      </xdr:sp>
      <xdr:sp macro="" textlink="">
        <xdr:nvSpPr>
          <xdr:cNvPr id="109" name="Text Box 16">
            <a:extLst>
              <a:ext uri="{FF2B5EF4-FFF2-40B4-BE49-F238E27FC236}">
                <a16:creationId xmlns:a16="http://schemas.microsoft.com/office/drawing/2014/main" id="{00000000-0008-0000-0100-00006D000000}"/>
              </a:ext>
            </a:extLst>
          </xdr:cNvPr>
          <xdr:cNvSpPr txBox="1">
            <a:spLocks noChangeArrowheads="1"/>
          </xdr:cNvSpPr>
        </xdr:nvSpPr>
        <xdr:spPr bwMode="auto">
          <a:xfrm>
            <a:off x="3190875" y="15268575"/>
            <a:ext cx="561975"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n-GB" sz="900" b="0" i="0" u="none" strike="noStrike" baseline="0">
                <a:solidFill>
                  <a:srgbClr val="000080"/>
                </a:solidFill>
                <a:latin typeface="Arial"/>
                <a:cs typeface="Arial"/>
              </a:rPr>
              <a:t>Worse</a:t>
            </a:r>
          </a:p>
        </xdr:txBody>
      </xdr:sp>
      <xdr:sp macro="" textlink="">
        <xdr:nvSpPr>
          <xdr:cNvPr id="110" name="Oval 15">
            <a:extLst>
              <a:ext uri="{FF2B5EF4-FFF2-40B4-BE49-F238E27FC236}">
                <a16:creationId xmlns:a16="http://schemas.microsoft.com/office/drawing/2014/main" id="{00000000-0008-0000-0100-00006E000000}"/>
              </a:ext>
            </a:extLst>
          </xdr:cNvPr>
          <xdr:cNvSpPr>
            <a:spLocks noChangeArrowheads="1"/>
          </xdr:cNvSpPr>
        </xdr:nvSpPr>
        <xdr:spPr bwMode="auto">
          <a:xfrm rot="5400000">
            <a:off x="3629661" y="15286990"/>
            <a:ext cx="111600" cy="112871"/>
          </a:xfrm>
          <a:prstGeom prst="ellipse">
            <a:avLst/>
          </a:prstGeom>
          <a:solidFill>
            <a:schemeClr val="tx2">
              <a:lumMod val="20000"/>
              <a:lumOff val="80000"/>
            </a:schemeClr>
          </a:solidFill>
          <a:ln w="9525">
            <a:solidFill>
              <a:srgbClr val="000000"/>
            </a:solidFill>
            <a:round/>
            <a:headEnd/>
            <a:tailEnd/>
          </a:ln>
        </xdr:spPr>
      </xdr:sp>
      <xdr:sp macro="" textlink="">
        <xdr:nvSpPr>
          <xdr:cNvPr id="111" name="Text Box 16">
            <a:extLst>
              <a:ext uri="{FF2B5EF4-FFF2-40B4-BE49-F238E27FC236}">
                <a16:creationId xmlns:a16="http://schemas.microsoft.com/office/drawing/2014/main" id="{00000000-0008-0000-0100-00006F000000}"/>
              </a:ext>
            </a:extLst>
          </xdr:cNvPr>
          <xdr:cNvSpPr txBox="1">
            <a:spLocks noChangeArrowheads="1"/>
          </xdr:cNvSpPr>
        </xdr:nvSpPr>
        <xdr:spPr bwMode="auto">
          <a:xfrm>
            <a:off x="3762375" y="15268575"/>
            <a:ext cx="561975"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n-GB" sz="900" b="0" i="0" u="none" strike="noStrike" baseline="0">
                <a:solidFill>
                  <a:srgbClr val="000080"/>
                </a:solidFill>
                <a:latin typeface="Arial"/>
                <a:cs typeface="Arial"/>
              </a:rPr>
              <a:t>Higher</a:t>
            </a:r>
          </a:p>
        </xdr:txBody>
      </xdr:sp>
      <xdr:sp macro="" textlink="">
        <xdr:nvSpPr>
          <xdr:cNvPr id="112" name="Oval 15">
            <a:extLst>
              <a:ext uri="{FF2B5EF4-FFF2-40B4-BE49-F238E27FC236}">
                <a16:creationId xmlns:a16="http://schemas.microsoft.com/office/drawing/2014/main" id="{00000000-0008-0000-0100-000070000000}"/>
              </a:ext>
            </a:extLst>
          </xdr:cNvPr>
          <xdr:cNvSpPr>
            <a:spLocks noChangeArrowheads="1"/>
          </xdr:cNvSpPr>
        </xdr:nvSpPr>
        <xdr:spPr bwMode="auto">
          <a:xfrm rot="5400000">
            <a:off x="4210686" y="15286990"/>
            <a:ext cx="111600" cy="112871"/>
          </a:xfrm>
          <a:prstGeom prst="ellipse">
            <a:avLst/>
          </a:prstGeom>
          <a:solidFill>
            <a:srgbClr val="0070C0"/>
          </a:solidFill>
          <a:ln w="9525">
            <a:solidFill>
              <a:srgbClr val="000000"/>
            </a:solidFill>
            <a:round/>
            <a:headEnd/>
            <a:tailEnd/>
          </a:ln>
        </xdr:spPr>
      </xdr:sp>
      <xdr:sp macro="" textlink="">
        <xdr:nvSpPr>
          <xdr:cNvPr id="113" name="Text Box 16">
            <a:extLst>
              <a:ext uri="{FF2B5EF4-FFF2-40B4-BE49-F238E27FC236}">
                <a16:creationId xmlns:a16="http://schemas.microsoft.com/office/drawing/2014/main" id="{00000000-0008-0000-0100-000071000000}"/>
              </a:ext>
            </a:extLst>
          </xdr:cNvPr>
          <xdr:cNvSpPr txBox="1">
            <a:spLocks noChangeArrowheads="1"/>
          </xdr:cNvSpPr>
        </xdr:nvSpPr>
        <xdr:spPr bwMode="auto">
          <a:xfrm>
            <a:off x="4343400" y="15268575"/>
            <a:ext cx="390525" cy="172932"/>
          </a:xfrm>
          <a:prstGeom prst="rect">
            <a:avLst/>
          </a:prstGeom>
          <a:noFill/>
          <a:ln w="9525">
            <a:noFill/>
            <a:miter lim="800000"/>
            <a:headEnd/>
            <a:tailEnd/>
          </a:ln>
        </xdr:spPr>
        <xdr:txBody>
          <a:bodyPr vertOverflow="clip" wrap="square" lIns="27432" tIns="22860" rIns="0" bIns="0" anchor="t" upright="1"/>
          <a:lstStyle/>
          <a:p>
            <a:pPr algn="l" rtl="0">
              <a:defRPr sz="1000"/>
            </a:pPr>
            <a:r>
              <a:rPr lang="en-GB" sz="900" b="0" i="0" u="none" strike="noStrike" baseline="0">
                <a:solidFill>
                  <a:srgbClr val="000080"/>
                </a:solidFill>
                <a:latin typeface="Arial"/>
                <a:cs typeface="Arial"/>
              </a:rPr>
              <a:t>Lower</a:t>
            </a:r>
          </a:p>
        </xdr:txBody>
      </xdr:sp>
      <xdr:sp macro="" textlink="">
        <xdr:nvSpPr>
          <xdr:cNvPr id="114" name="Text Box 16">
            <a:extLst>
              <a:ext uri="{FF2B5EF4-FFF2-40B4-BE49-F238E27FC236}">
                <a16:creationId xmlns:a16="http://schemas.microsoft.com/office/drawing/2014/main" id="{00000000-0008-0000-0100-000072000000}"/>
              </a:ext>
            </a:extLst>
          </xdr:cNvPr>
          <xdr:cNvSpPr txBox="1">
            <a:spLocks noChangeArrowheads="1"/>
          </xdr:cNvSpPr>
        </xdr:nvSpPr>
        <xdr:spPr bwMode="auto">
          <a:xfrm>
            <a:off x="2990850" y="15497175"/>
            <a:ext cx="561975"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n-GB" sz="900" b="0" i="0" u="none" strike="noStrike" baseline="0">
                <a:solidFill>
                  <a:srgbClr val="000080"/>
                </a:solidFill>
                <a:latin typeface="Arial"/>
                <a:cs typeface="Arial"/>
              </a:rPr>
              <a:t>Similar</a:t>
            </a:r>
          </a:p>
        </xdr:txBody>
      </xdr:sp>
      <xdr:sp macro="" textlink="">
        <xdr:nvSpPr>
          <xdr:cNvPr id="115" name="Text Box 16">
            <a:extLst>
              <a:ext uri="{FF2B5EF4-FFF2-40B4-BE49-F238E27FC236}">
                <a16:creationId xmlns:a16="http://schemas.microsoft.com/office/drawing/2014/main" id="{00000000-0008-0000-0100-000073000000}"/>
              </a:ext>
            </a:extLst>
          </xdr:cNvPr>
          <xdr:cNvSpPr txBox="1">
            <a:spLocks noChangeArrowheads="1"/>
          </xdr:cNvSpPr>
        </xdr:nvSpPr>
        <xdr:spPr bwMode="auto">
          <a:xfrm>
            <a:off x="3590925" y="15497175"/>
            <a:ext cx="857250" cy="171450"/>
          </a:xfrm>
          <a:prstGeom prst="rect">
            <a:avLst/>
          </a:prstGeom>
          <a:noFill/>
          <a:ln w="9525">
            <a:noFill/>
            <a:miter lim="800000"/>
            <a:headEnd/>
            <a:tailEnd/>
          </a:ln>
        </xdr:spPr>
        <xdr:txBody>
          <a:bodyPr vertOverflow="clip" wrap="square" lIns="27432" tIns="22860" rIns="0" bIns="0" anchor="t" upright="1"/>
          <a:lstStyle/>
          <a:p>
            <a:pPr algn="l" rtl="0">
              <a:defRPr sz="1000"/>
            </a:pPr>
            <a:r>
              <a:rPr lang="en-GB" sz="900" b="0" i="0" u="none" strike="noStrike" baseline="0">
                <a:solidFill>
                  <a:srgbClr val="000080"/>
                </a:solidFill>
                <a:latin typeface="Arial"/>
                <a:cs typeface="Arial"/>
              </a:rPr>
              <a:t>Not compared</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0</xdr:colOff>
      <xdr:row>12</xdr:row>
      <xdr:rowOff>57151</xdr:rowOff>
    </xdr:from>
    <xdr:to>
      <xdr:col>22</xdr:col>
      <xdr:colOff>19050</xdr:colOff>
      <xdr:row>80</xdr:row>
      <xdr:rowOff>152400</xdr:rowOff>
    </xdr:to>
    <xdr:graphicFrame macro="">
      <xdr:nvGraphicFramePr>
        <xdr:cNvPr id="471301" name="Chart 2">
          <a:extLst>
            <a:ext uri="{FF2B5EF4-FFF2-40B4-BE49-F238E27FC236}">
              <a16:creationId xmlns:a16="http://schemas.microsoft.com/office/drawing/2014/main" id="{00000000-0008-0000-0200-000005310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13</xdr:col>
      <xdr:colOff>85725</xdr:colOff>
      <xdr:row>0</xdr:row>
      <xdr:rowOff>0</xdr:rowOff>
    </xdr:to>
    <xdr:graphicFrame macro="">
      <xdr:nvGraphicFramePr>
        <xdr:cNvPr id="471302" name="Chart 3">
          <a:extLst>
            <a:ext uri="{FF2B5EF4-FFF2-40B4-BE49-F238E27FC236}">
              <a16:creationId xmlns:a16="http://schemas.microsoft.com/office/drawing/2014/main" id="{00000000-0008-0000-0200-000006310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152400</xdr:colOff>
      <xdr:row>8</xdr:row>
      <xdr:rowOff>47625</xdr:rowOff>
    </xdr:from>
    <xdr:to>
      <xdr:col>3</xdr:col>
      <xdr:colOff>561975</xdr:colOff>
      <xdr:row>10</xdr:row>
      <xdr:rowOff>79375</xdr:rowOff>
    </xdr:to>
    <xdr:sp macro="" textlink="">
      <xdr:nvSpPr>
        <xdr:cNvPr id="22" name="Rectangle 21">
          <a:hlinkClick xmlns:r="http://schemas.openxmlformats.org/officeDocument/2006/relationships" r:id="rId3"/>
          <a:extLst>
            <a:ext uri="{FF2B5EF4-FFF2-40B4-BE49-F238E27FC236}">
              <a16:creationId xmlns:a16="http://schemas.microsoft.com/office/drawing/2014/main" id="{00000000-0008-0000-0200-000016000000}"/>
            </a:ext>
          </a:extLst>
        </xdr:cNvPr>
        <xdr:cNvSpPr/>
      </xdr:nvSpPr>
      <xdr:spPr>
        <a:xfrm>
          <a:off x="257175" y="1600200"/>
          <a:ext cx="1238250" cy="317500"/>
        </a:xfrm>
        <a:prstGeom prst="rect">
          <a:avLst/>
        </a:prstGeom>
        <a:solidFill>
          <a:srgbClr val="1DCAD3"/>
        </a:solidFill>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n-GB" sz="1200" b="1" i="0" u="none" strike="noStrike" baseline="0">
              <a:solidFill>
                <a:schemeClr val="bg1"/>
              </a:solidFill>
              <a:latin typeface="Arial" panose="020B0604020202020204" pitchFamily="34" charset="0"/>
              <a:ea typeface="+mn-ea"/>
              <a:cs typeface="Arial" panose="020B0604020202020204" pitchFamily="34" charset="0"/>
            </a:rPr>
            <a:t>Main</a:t>
          </a:r>
          <a:r>
            <a:rPr lang="en-GB" sz="1200" b="1" baseline="0">
              <a:solidFill>
                <a:schemeClr val="bg1"/>
              </a:solidFill>
              <a:latin typeface="Arial" panose="020B0604020202020204" pitchFamily="34" charset="0"/>
              <a:cs typeface="Arial" panose="020B0604020202020204" pitchFamily="34" charset="0"/>
            </a:rPr>
            <a:t> </a:t>
          </a:r>
          <a:r>
            <a:rPr lang="en-GB" sz="1200" b="1" i="0" u="none" strike="noStrike" baseline="0">
              <a:solidFill>
                <a:schemeClr val="bg1"/>
              </a:solidFill>
              <a:latin typeface="Arial" panose="020B0604020202020204" pitchFamily="34" charset="0"/>
              <a:ea typeface="+mn-ea"/>
              <a:cs typeface="Arial" panose="020B0604020202020204" pitchFamily="34" charset="0"/>
            </a:rPr>
            <a:t>Menu</a:t>
          </a:r>
        </a:p>
      </xdr:txBody>
    </xdr:sp>
    <xdr:clientData fPrintsWithSheet="0"/>
  </xdr:twoCellAnchor>
  <xdr:twoCellAnchor>
    <xdr:from>
      <xdr:col>3</xdr:col>
      <xdr:colOff>676273</xdr:colOff>
      <xdr:row>8</xdr:row>
      <xdr:rowOff>47625</xdr:rowOff>
    </xdr:from>
    <xdr:to>
      <xdr:col>3</xdr:col>
      <xdr:colOff>1770673</xdr:colOff>
      <xdr:row>10</xdr:row>
      <xdr:rowOff>78675</xdr:rowOff>
    </xdr:to>
    <xdr:sp macro="" textlink="">
      <xdr:nvSpPr>
        <xdr:cNvPr id="23" name="Rectangle 22">
          <a:hlinkClick xmlns:r="http://schemas.openxmlformats.org/officeDocument/2006/relationships" r:id="rId4"/>
          <a:extLst>
            <a:ext uri="{FF2B5EF4-FFF2-40B4-BE49-F238E27FC236}">
              <a16:creationId xmlns:a16="http://schemas.microsoft.com/office/drawing/2014/main" id="{00000000-0008-0000-0200-000017000000}"/>
            </a:ext>
          </a:extLst>
        </xdr:cNvPr>
        <xdr:cNvSpPr/>
      </xdr:nvSpPr>
      <xdr:spPr>
        <a:xfrm>
          <a:off x="1609723" y="1600200"/>
          <a:ext cx="1094400" cy="316800"/>
        </a:xfrm>
        <a:prstGeom prst="rect">
          <a:avLst/>
        </a:prstGeom>
        <a:solidFill>
          <a:srgbClr val="1DCAD3"/>
        </a:solidFill>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n-GB" sz="1200" b="1" i="0" u="none" strike="noStrike" baseline="0">
              <a:solidFill>
                <a:schemeClr val="bg1"/>
              </a:solidFill>
              <a:latin typeface="Arial" panose="020B0604020202020204" pitchFamily="34" charset="0"/>
              <a:ea typeface="+mn-ea"/>
              <a:cs typeface="Arial" panose="020B0604020202020204" pitchFamily="34" charset="0"/>
            </a:rPr>
            <a:t>Metadata</a:t>
          </a:r>
        </a:p>
      </xdr:txBody>
    </xdr:sp>
    <xdr:clientData fPrintsWithSheet="0"/>
  </xdr:twoCellAnchor>
  <xdr:twoCellAnchor editAs="oneCell">
    <xdr:from>
      <xdr:col>11</xdr:col>
      <xdr:colOff>240832</xdr:colOff>
      <xdr:row>0</xdr:row>
      <xdr:rowOff>57149</xdr:rowOff>
    </xdr:from>
    <xdr:to>
      <xdr:col>23</xdr:col>
      <xdr:colOff>53572</xdr:colOff>
      <xdr:row>3</xdr:row>
      <xdr:rowOff>95249</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5"/>
        <a:stretch>
          <a:fillRect/>
        </a:stretch>
      </xdr:blipFill>
      <xdr:spPr>
        <a:xfrm>
          <a:off x="10232557" y="57149"/>
          <a:ext cx="3165540" cy="676275"/>
        </a:xfrm>
        <a:prstGeom prst="rect">
          <a:avLst/>
        </a:prstGeom>
      </xdr:spPr>
    </xdr:pic>
    <xdr:clientData/>
  </xdr:twoCellAnchor>
  <xdr:twoCellAnchor>
    <xdr:from>
      <xdr:col>10</xdr:col>
      <xdr:colOff>219075</xdr:colOff>
      <xdr:row>11</xdr:row>
      <xdr:rowOff>85725</xdr:rowOff>
    </xdr:from>
    <xdr:to>
      <xdr:col>20</xdr:col>
      <xdr:colOff>11669</xdr:colOff>
      <xdr:row>11</xdr:row>
      <xdr:rowOff>266700</xdr:rowOff>
    </xdr:to>
    <xdr:sp macro="" textlink="">
      <xdr:nvSpPr>
        <xdr:cNvPr id="45" name="Text Box 16">
          <a:extLst>
            <a:ext uri="{FF2B5EF4-FFF2-40B4-BE49-F238E27FC236}">
              <a16:creationId xmlns:a16="http://schemas.microsoft.com/office/drawing/2014/main" id="{00000000-0008-0000-0200-00002D000000}"/>
            </a:ext>
          </a:extLst>
        </xdr:cNvPr>
        <xdr:cNvSpPr txBox="1">
          <a:spLocks noChangeArrowheads="1"/>
        </xdr:cNvSpPr>
      </xdr:nvSpPr>
      <xdr:spPr bwMode="auto">
        <a:xfrm>
          <a:off x="9953625" y="2543175"/>
          <a:ext cx="2364344" cy="180975"/>
        </a:xfrm>
        <a:prstGeom prst="rect">
          <a:avLst/>
        </a:prstGeom>
        <a:noFill/>
        <a:ln w="9525">
          <a:noFill/>
          <a:miter lim="800000"/>
          <a:headEnd/>
          <a:tailEnd/>
        </a:ln>
      </xdr:spPr>
      <xdr:txBody>
        <a:bodyPr vertOverflow="clip" wrap="square" lIns="27432" tIns="22860" rIns="0" bIns="0" anchor="t" upright="1"/>
        <a:lstStyle/>
        <a:p>
          <a:pPr algn="ctr" rtl="0">
            <a:defRPr sz="1000"/>
          </a:pPr>
          <a:r>
            <a:rPr lang="en-GB" sz="900" b="1" i="0" u="sng" strike="noStrike" baseline="0">
              <a:solidFill>
                <a:srgbClr val="000080"/>
              </a:solidFill>
              <a:latin typeface="Arial"/>
              <a:cs typeface="Arial"/>
            </a:rPr>
            <a:t>Difference compared with City average</a:t>
          </a:r>
        </a:p>
      </xdr:txBody>
    </xdr:sp>
    <xdr:clientData/>
  </xdr:twoCellAnchor>
  <xdr:twoCellAnchor>
    <xdr:from>
      <xdr:col>11</xdr:col>
      <xdr:colOff>114300</xdr:colOff>
      <xdr:row>11</xdr:row>
      <xdr:rowOff>285750</xdr:rowOff>
    </xdr:from>
    <xdr:to>
      <xdr:col>20</xdr:col>
      <xdr:colOff>0</xdr:colOff>
      <xdr:row>12</xdr:row>
      <xdr:rowOff>390524</xdr:rowOff>
    </xdr:to>
    <xdr:grpSp>
      <xdr:nvGrpSpPr>
        <xdr:cNvPr id="46" name="Group 45">
          <a:extLst>
            <a:ext uri="{FF2B5EF4-FFF2-40B4-BE49-F238E27FC236}">
              <a16:creationId xmlns:a16="http://schemas.microsoft.com/office/drawing/2014/main" id="{00000000-0008-0000-0200-00002E000000}"/>
            </a:ext>
          </a:extLst>
        </xdr:cNvPr>
        <xdr:cNvGrpSpPr/>
      </xdr:nvGrpSpPr>
      <xdr:grpSpPr>
        <a:xfrm>
          <a:off x="10401300" y="2404110"/>
          <a:ext cx="2286000" cy="424814"/>
          <a:chOff x="2533650" y="15268575"/>
          <a:chExt cx="2200275" cy="409575"/>
        </a:xfrm>
      </xdr:grpSpPr>
      <xdr:sp macro="" textlink="">
        <xdr:nvSpPr>
          <xdr:cNvPr id="47" name="Oval 14">
            <a:extLst>
              <a:ext uri="{FF2B5EF4-FFF2-40B4-BE49-F238E27FC236}">
                <a16:creationId xmlns:a16="http://schemas.microsoft.com/office/drawing/2014/main" id="{00000000-0008-0000-0200-00002F000000}"/>
              </a:ext>
            </a:extLst>
          </xdr:cNvPr>
          <xdr:cNvSpPr>
            <a:spLocks noChangeArrowheads="1"/>
          </xdr:cNvSpPr>
        </xdr:nvSpPr>
        <xdr:spPr bwMode="auto">
          <a:xfrm rot="5400000">
            <a:off x="2862957" y="15519270"/>
            <a:ext cx="111600" cy="112871"/>
          </a:xfrm>
          <a:prstGeom prst="ellipse">
            <a:avLst/>
          </a:prstGeom>
          <a:solidFill>
            <a:srgbClr val="FFFF99"/>
          </a:solidFill>
          <a:ln w="9525">
            <a:solidFill>
              <a:srgbClr val="000000"/>
            </a:solidFill>
            <a:round/>
            <a:headEnd/>
            <a:tailEnd/>
          </a:ln>
        </xdr:spPr>
      </xdr:sp>
      <xdr:sp macro="" textlink="">
        <xdr:nvSpPr>
          <xdr:cNvPr id="48" name="Oval 19">
            <a:extLst>
              <a:ext uri="{FF2B5EF4-FFF2-40B4-BE49-F238E27FC236}">
                <a16:creationId xmlns:a16="http://schemas.microsoft.com/office/drawing/2014/main" id="{00000000-0008-0000-0200-000030000000}"/>
              </a:ext>
            </a:extLst>
          </xdr:cNvPr>
          <xdr:cNvSpPr>
            <a:spLocks noChangeArrowheads="1"/>
          </xdr:cNvSpPr>
        </xdr:nvSpPr>
        <xdr:spPr bwMode="auto">
          <a:xfrm rot="5400000">
            <a:off x="3463032" y="15519270"/>
            <a:ext cx="111600" cy="112871"/>
          </a:xfrm>
          <a:prstGeom prst="ellipse">
            <a:avLst/>
          </a:prstGeom>
          <a:solidFill>
            <a:srgbClr val="FFFFFF"/>
          </a:solidFill>
          <a:ln w="9525">
            <a:solidFill>
              <a:srgbClr val="000000"/>
            </a:solidFill>
            <a:round/>
            <a:headEnd/>
            <a:tailEnd/>
          </a:ln>
        </xdr:spPr>
      </xdr:sp>
      <xdr:sp macro="" textlink="">
        <xdr:nvSpPr>
          <xdr:cNvPr id="49" name="Text Box 16">
            <a:extLst>
              <a:ext uri="{FF2B5EF4-FFF2-40B4-BE49-F238E27FC236}">
                <a16:creationId xmlns:a16="http://schemas.microsoft.com/office/drawing/2014/main" id="{00000000-0008-0000-0200-000031000000}"/>
              </a:ext>
            </a:extLst>
          </xdr:cNvPr>
          <xdr:cNvSpPr txBox="1">
            <a:spLocks noChangeArrowheads="1"/>
          </xdr:cNvSpPr>
        </xdr:nvSpPr>
        <xdr:spPr bwMode="auto">
          <a:xfrm>
            <a:off x="2657475" y="15268575"/>
            <a:ext cx="561975"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n-GB" sz="900" b="0" i="0" u="none" strike="noStrike" baseline="0">
                <a:solidFill>
                  <a:srgbClr val="000080"/>
                </a:solidFill>
                <a:latin typeface="Arial"/>
                <a:cs typeface="Arial"/>
              </a:rPr>
              <a:t>Better</a:t>
            </a:r>
          </a:p>
        </xdr:txBody>
      </xdr:sp>
      <xdr:sp macro="" textlink="">
        <xdr:nvSpPr>
          <xdr:cNvPr id="50" name="Oval 15">
            <a:extLst>
              <a:ext uri="{FF2B5EF4-FFF2-40B4-BE49-F238E27FC236}">
                <a16:creationId xmlns:a16="http://schemas.microsoft.com/office/drawing/2014/main" id="{00000000-0008-0000-0200-000032000000}"/>
              </a:ext>
            </a:extLst>
          </xdr:cNvPr>
          <xdr:cNvSpPr>
            <a:spLocks noChangeArrowheads="1"/>
          </xdr:cNvSpPr>
        </xdr:nvSpPr>
        <xdr:spPr bwMode="auto">
          <a:xfrm rot="5400000">
            <a:off x="2534286" y="15286990"/>
            <a:ext cx="111600" cy="112871"/>
          </a:xfrm>
          <a:prstGeom prst="ellipse">
            <a:avLst/>
          </a:prstGeom>
          <a:solidFill>
            <a:srgbClr val="92D050"/>
          </a:solidFill>
          <a:ln w="9525">
            <a:solidFill>
              <a:srgbClr val="000000"/>
            </a:solidFill>
            <a:round/>
            <a:headEnd/>
            <a:tailEnd/>
          </a:ln>
        </xdr:spPr>
      </xdr:sp>
      <xdr:sp macro="" textlink="">
        <xdr:nvSpPr>
          <xdr:cNvPr id="51" name="Oval 15">
            <a:extLst>
              <a:ext uri="{FF2B5EF4-FFF2-40B4-BE49-F238E27FC236}">
                <a16:creationId xmlns:a16="http://schemas.microsoft.com/office/drawing/2014/main" id="{00000000-0008-0000-0200-000033000000}"/>
              </a:ext>
            </a:extLst>
          </xdr:cNvPr>
          <xdr:cNvSpPr>
            <a:spLocks noChangeArrowheads="1"/>
          </xdr:cNvSpPr>
        </xdr:nvSpPr>
        <xdr:spPr bwMode="auto">
          <a:xfrm rot="5400000">
            <a:off x="3058161" y="15286990"/>
            <a:ext cx="111600" cy="112871"/>
          </a:xfrm>
          <a:prstGeom prst="ellipse">
            <a:avLst/>
          </a:prstGeom>
          <a:solidFill>
            <a:srgbClr val="FF0000"/>
          </a:solidFill>
          <a:ln w="9525">
            <a:solidFill>
              <a:srgbClr val="000000"/>
            </a:solidFill>
            <a:round/>
            <a:headEnd/>
            <a:tailEnd/>
          </a:ln>
        </xdr:spPr>
      </xdr:sp>
      <xdr:sp macro="" textlink="">
        <xdr:nvSpPr>
          <xdr:cNvPr id="52" name="Text Box 16">
            <a:extLst>
              <a:ext uri="{FF2B5EF4-FFF2-40B4-BE49-F238E27FC236}">
                <a16:creationId xmlns:a16="http://schemas.microsoft.com/office/drawing/2014/main" id="{00000000-0008-0000-0200-000034000000}"/>
              </a:ext>
            </a:extLst>
          </xdr:cNvPr>
          <xdr:cNvSpPr txBox="1">
            <a:spLocks noChangeArrowheads="1"/>
          </xdr:cNvSpPr>
        </xdr:nvSpPr>
        <xdr:spPr bwMode="auto">
          <a:xfrm>
            <a:off x="3190875" y="15268575"/>
            <a:ext cx="561975"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n-GB" sz="900" b="0" i="0" u="none" strike="noStrike" baseline="0">
                <a:solidFill>
                  <a:srgbClr val="000080"/>
                </a:solidFill>
                <a:latin typeface="Arial"/>
                <a:cs typeface="Arial"/>
              </a:rPr>
              <a:t>Worse</a:t>
            </a:r>
          </a:p>
        </xdr:txBody>
      </xdr:sp>
      <xdr:sp macro="" textlink="">
        <xdr:nvSpPr>
          <xdr:cNvPr id="53" name="Oval 15">
            <a:extLst>
              <a:ext uri="{FF2B5EF4-FFF2-40B4-BE49-F238E27FC236}">
                <a16:creationId xmlns:a16="http://schemas.microsoft.com/office/drawing/2014/main" id="{00000000-0008-0000-0200-000035000000}"/>
              </a:ext>
            </a:extLst>
          </xdr:cNvPr>
          <xdr:cNvSpPr>
            <a:spLocks noChangeArrowheads="1"/>
          </xdr:cNvSpPr>
        </xdr:nvSpPr>
        <xdr:spPr bwMode="auto">
          <a:xfrm rot="5400000">
            <a:off x="3629661" y="15286990"/>
            <a:ext cx="111600" cy="112871"/>
          </a:xfrm>
          <a:prstGeom prst="ellipse">
            <a:avLst/>
          </a:prstGeom>
          <a:solidFill>
            <a:schemeClr val="tx2">
              <a:lumMod val="20000"/>
              <a:lumOff val="80000"/>
            </a:schemeClr>
          </a:solidFill>
          <a:ln w="9525">
            <a:solidFill>
              <a:srgbClr val="000000"/>
            </a:solidFill>
            <a:round/>
            <a:headEnd/>
            <a:tailEnd/>
          </a:ln>
        </xdr:spPr>
      </xdr:sp>
      <xdr:sp macro="" textlink="">
        <xdr:nvSpPr>
          <xdr:cNvPr id="54" name="Text Box 16">
            <a:extLst>
              <a:ext uri="{FF2B5EF4-FFF2-40B4-BE49-F238E27FC236}">
                <a16:creationId xmlns:a16="http://schemas.microsoft.com/office/drawing/2014/main" id="{00000000-0008-0000-0200-000036000000}"/>
              </a:ext>
            </a:extLst>
          </xdr:cNvPr>
          <xdr:cNvSpPr txBox="1">
            <a:spLocks noChangeArrowheads="1"/>
          </xdr:cNvSpPr>
        </xdr:nvSpPr>
        <xdr:spPr bwMode="auto">
          <a:xfrm>
            <a:off x="3762375" y="15268575"/>
            <a:ext cx="561975"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n-GB" sz="900" b="0" i="0" u="none" strike="noStrike" baseline="0">
                <a:solidFill>
                  <a:srgbClr val="000080"/>
                </a:solidFill>
                <a:latin typeface="Arial"/>
                <a:cs typeface="Arial"/>
              </a:rPr>
              <a:t>Higher</a:t>
            </a:r>
          </a:p>
        </xdr:txBody>
      </xdr:sp>
      <xdr:sp macro="" textlink="">
        <xdr:nvSpPr>
          <xdr:cNvPr id="55" name="Oval 15">
            <a:extLst>
              <a:ext uri="{FF2B5EF4-FFF2-40B4-BE49-F238E27FC236}">
                <a16:creationId xmlns:a16="http://schemas.microsoft.com/office/drawing/2014/main" id="{00000000-0008-0000-0200-000037000000}"/>
              </a:ext>
            </a:extLst>
          </xdr:cNvPr>
          <xdr:cNvSpPr>
            <a:spLocks noChangeArrowheads="1"/>
          </xdr:cNvSpPr>
        </xdr:nvSpPr>
        <xdr:spPr bwMode="auto">
          <a:xfrm rot="5400000">
            <a:off x="4210686" y="15286990"/>
            <a:ext cx="111600" cy="112871"/>
          </a:xfrm>
          <a:prstGeom prst="ellipse">
            <a:avLst/>
          </a:prstGeom>
          <a:solidFill>
            <a:srgbClr val="0070C0"/>
          </a:solidFill>
          <a:ln w="9525">
            <a:solidFill>
              <a:srgbClr val="000000"/>
            </a:solidFill>
            <a:round/>
            <a:headEnd/>
            <a:tailEnd/>
          </a:ln>
        </xdr:spPr>
      </xdr:sp>
      <xdr:sp macro="" textlink="">
        <xdr:nvSpPr>
          <xdr:cNvPr id="56" name="Text Box 16">
            <a:extLst>
              <a:ext uri="{FF2B5EF4-FFF2-40B4-BE49-F238E27FC236}">
                <a16:creationId xmlns:a16="http://schemas.microsoft.com/office/drawing/2014/main" id="{00000000-0008-0000-0200-000038000000}"/>
              </a:ext>
            </a:extLst>
          </xdr:cNvPr>
          <xdr:cNvSpPr txBox="1">
            <a:spLocks noChangeArrowheads="1"/>
          </xdr:cNvSpPr>
        </xdr:nvSpPr>
        <xdr:spPr bwMode="auto">
          <a:xfrm>
            <a:off x="4343400" y="15268575"/>
            <a:ext cx="390525" cy="172932"/>
          </a:xfrm>
          <a:prstGeom prst="rect">
            <a:avLst/>
          </a:prstGeom>
          <a:noFill/>
          <a:ln w="9525">
            <a:noFill/>
            <a:miter lim="800000"/>
            <a:headEnd/>
            <a:tailEnd/>
          </a:ln>
        </xdr:spPr>
        <xdr:txBody>
          <a:bodyPr vertOverflow="clip" wrap="square" lIns="27432" tIns="22860" rIns="0" bIns="0" anchor="t" upright="1"/>
          <a:lstStyle/>
          <a:p>
            <a:pPr algn="l" rtl="0">
              <a:defRPr sz="1000"/>
            </a:pPr>
            <a:r>
              <a:rPr lang="en-GB" sz="900" b="0" i="0" u="none" strike="noStrike" baseline="0">
                <a:solidFill>
                  <a:srgbClr val="000080"/>
                </a:solidFill>
                <a:latin typeface="Arial"/>
                <a:cs typeface="Arial"/>
              </a:rPr>
              <a:t>Lower</a:t>
            </a:r>
          </a:p>
        </xdr:txBody>
      </xdr:sp>
      <xdr:sp macro="" textlink="">
        <xdr:nvSpPr>
          <xdr:cNvPr id="57" name="Text Box 16">
            <a:extLst>
              <a:ext uri="{FF2B5EF4-FFF2-40B4-BE49-F238E27FC236}">
                <a16:creationId xmlns:a16="http://schemas.microsoft.com/office/drawing/2014/main" id="{00000000-0008-0000-0200-000039000000}"/>
              </a:ext>
            </a:extLst>
          </xdr:cNvPr>
          <xdr:cNvSpPr txBox="1">
            <a:spLocks noChangeArrowheads="1"/>
          </xdr:cNvSpPr>
        </xdr:nvSpPr>
        <xdr:spPr bwMode="auto">
          <a:xfrm>
            <a:off x="2990850" y="15497175"/>
            <a:ext cx="561975"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n-GB" sz="900" b="0" i="0" u="none" strike="noStrike" baseline="0">
                <a:solidFill>
                  <a:srgbClr val="000080"/>
                </a:solidFill>
                <a:latin typeface="Arial"/>
                <a:cs typeface="Arial"/>
              </a:rPr>
              <a:t>Similar</a:t>
            </a:r>
          </a:p>
        </xdr:txBody>
      </xdr:sp>
      <xdr:sp macro="" textlink="">
        <xdr:nvSpPr>
          <xdr:cNvPr id="58" name="Text Box 16">
            <a:extLst>
              <a:ext uri="{FF2B5EF4-FFF2-40B4-BE49-F238E27FC236}">
                <a16:creationId xmlns:a16="http://schemas.microsoft.com/office/drawing/2014/main" id="{00000000-0008-0000-0200-00003A000000}"/>
              </a:ext>
            </a:extLst>
          </xdr:cNvPr>
          <xdr:cNvSpPr txBox="1">
            <a:spLocks noChangeArrowheads="1"/>
          </xdr:cNvSpPr>
        </xdr:nvSpPr>
        <xdr:spPr bwMode="auto">
          <a:xfrm>
            <a:off x="3590925" y="15497175"/>
            <a:ext cx="857250" cy="171450"/>
          </a:xfrm>
          <a:prstGeom prst="rect">
            <a:avLst/>
          </a:prstGeom>
          <a:noFill/>
          <a:ln w="9525">
            <a:noFill/>
            <a:miter lim="800000"/>
            <a:headEnd/>
            <a:tailEnd/>
          </a:ln>
        </xdr:spPr>
        <xdr:txBody>
          <a:bodyPr vertOverflow="clip" wrap="square" lIns="27432" tIns="22860" rIns="0" bIns="0" anchor="t" upright="1"/>
          <a:lstStyle/>
          <a:p>
            <a:pPr algn="l" rtl="0">
              <a:defRPr sz="1000"/>
            </a:pPr>
            <a:r>
              <a:rPr lang="en-GB" sz="900" b="0" i="0" u="none" strike="noStrike" baseline="0">
                <a:solidFill>
                  <a:srgbClr val="000080"/>
                </a:solidFill>
                <a:latin typeface="Arial"/>
                <a:cs typeface="Arial"/>
              </a:rPr>
              <a:t>Not compared</a:t>
            </a:r>
          </a:p>
        </xdr:txBody>
      </xdr:sp>
    </xdr:grpSp>
    <xdr:clientData/>
  </xdr:twoCellAnchor>
  <xdr:twoCellAnchor>
    <xdr:from>
      <xdr:col>10</xdr:col>
      <xdr:colOff>4</xdr:colOff>
      <xdr:row>7</xdr:row>
      <xdr:rowOff>77816</xdr:rowOff>
    </xdr:from>
    <xdr:to>
      <xdr:col>21</xdr:col>
      <xdr:colOff>1001</xdr:colOff>
      <xdr:row>11</xdr:row>
      <xdr:rowOff>88720</xdr:rowOff>
    </xdr:to>
    <xdr:grpSp>
      <xdr:nvGrpSpPr>
        <xdr:cNvPr id="9" name="Group 8">
          <a:extLst>
            <a:ext uri="{FF2B5EF4-FFF2-40B4-BE49-F238E27FC236}">
              <a16:creationId xmlns:a16="http://schemas.microsoft.com/office/drawing/2014/main" id="{00000000-0008-0000-0200-000009000000}"/>
            </a:ext>
          </a:extLst>
        </xdr:cNvPr>
        <xdr:cNvGrpSpPr/>
      </xdr:nvGrpSpPr>
      <xdr:grpSpPr>
        <a:xfrm>
          <a:off x="10020304" y="1464656"/>
          <a:ext cx="2934697" cy="742424"/>
          <a:chOff x="6524629" y="1573241"/>
          <a:chExt cx="2829922" cy="763379"/>
        </a:xfrm>
      </xdr:grpSpPr>
      <xdr:sp macro="" textlink="">
        <xdr:nvSpPr>
          <xdr:cNvPr id="64" name="Text Box 8">
            <a:extLst>
              <a:ext uri="{FF2B5EF4-FFF2-40B4-BE49-F238E27FC236}">
                <a16:creationId xmlns:a16="http://schemas.microsoft.com/office/drawing/2014/main" id="{00000000-0008-0000-0200-000040000000}"/>
              </a:ext>
            </a:extLst>
          </xdr:cNvPr>
          <xdr:cNvSpPr txBox="1">
            <a:spLocks noChangeArrowheads="1"/>
          </xdr:cNvSpPr>
        </xdr:nvSpPr>
        <xdr:spPr bwMode="auto">
          <a:xfrm>
            <a:off x="8543925" y="1619250"/>
            <a:ext cx="734293" cy="154739"/>
          </a:xfrm>
          <a:prstGeom prst="rect">
            <a:avLst/>
          </a:prstGeom>
          <a:noFill/>
          <a:ln w="9525">
            <a:noFill/>
            <a:miter lim="800000"/>
            <a:headEnd/>
            <a:tailEnd/>
          </a:ln>
        </xdr:spPr>
        <xdr:txBody>
          <a:bodyPr wrap="none" lIns="18288" tIns="18288" rIns="18288" bIns="18288" anchor="ctr" upright="1">
            <a:noAutofit/>
          </a:bodyPr>
          <a:lstStyle/>
          <a:p>
            <a:pPr algn="ctr" rtl="0">
              <a:defRPr sz="1000"/>
            </a:pPr>
            <a:r>
              <a:rPr lang="en-GB" sz="700" b="0" i="0" u="none" strike="noStrike" baseline="0">
                <a:solidFill>
                  <a:srgbClr val="000080"/>
                </a:solidFill>
                <a:latin typeface="Arial"/>
                <a:cs typeface="Arial"/>
              </a:rPr>
              <a:t>Locality practice </a:t>
            </a:r>
          </a:p>
          <a:p>
            <a:pPr algn="ctr" rtl="0">
              <a:defRPr sz="1000"/>
            </a:pPr>
            <a:r>
              <a:rPr lang="en-GB" sz="700" b="0" i="0" u="none" strike="noStrike" baseline="0">
                <a:solidFill>
                  <a:srgbClr val="000080"/>
                </a:solidFill>
                <a:latin typeface="Arial"/>
                <a:cs typeface="Arial"/>
              </a:rPr>
              <a:t>best/highest</a:t>
            </a:r>
          </a:p>
        </xdr:txBody>
      </xdr:sp>
      <xdr:grpSp>
        <xdr:nvGrpSpPr>
          <xdr:cNvPr id="8" name="Group 7">
            <a:extLst>
              <a:ext uri="{FF2B5EF4-FFF2-40B4-BE49-F238E27FC236}">
                <a16:creationId xmlns:a16="http://schemas.microsoft.com/office/drawing/2014/main" id="{00000000-0008-0000-0200-000008000000}"/>
              </a:ext>
            </a:extLst>
          </xdr:cNvPr>
          <xdr:cNvGrpSpPr/>
        </xdr:nvGrpSpPr>
        <xdr:grpSpPr>
          <a:xfrm>
            <a:off x="6524629" y="1573241"/>
            <a:ext cx="2829922" cy="763379"/>
            <a:chOff x="6524629" y="1573241"/>
            <a:chExt cx="2829922" cy="763379"/>
          </a:xfrm>
        </xdr:grpSpPr>
        <xdr:grpSp>
          <xdr:nvGrpSpPr>
            <xdr:cNvPr id="7" name="Group 6">
              <a:extLst>
                <a:ext uri="{FF2B5EF4-FFF2-40B4-BE49-F238E27FC236}">
                  <a16:creationId xmlns:a16="http://schemas.microsoft.com/office/drawing/2014/main" id="{00000000-0008-0000-0200-000007000000}"/>
                </a:ext>
              </a:extLst>
            </xdr:cNvPr>
            <xdr:cNvGrpSpPr/>
          </xdr:nvGrpSpPr>
          <xdr:grpSpPr>
            <a:xfrm>
              <a:off x="6524629" y="1573241"/>
              <a:ext cx="2829922" cy="763379"/>
              <a:chOff x="6496054" y="1554191"/>
              <a:chExt cx="2829922" cy="763379"/>
            </a:xfrm>
          </xdr:grpSpPr>
          <xdr:grpSp>
            <xdr:nvGrpSpPr>
              <xdr:cNvPr id="34" name="Group 30">
                <a:extLst>
                  <a:ext uri="{FF2B5EF4-FFF2-40B4-BE49-F238E27FC236}">
                    <a16:creationId xmlns:a16="http://schemas.microsoft.com/office/drawing/2014/main" id="{00000000-0008-0000-0200-000022000000}"/>
                  </a:ext>
                </a:extLst>
              </xdr:cNvPr>
              <xdr:cNvGrpSpPr>
                <a:grpSpLocks/>
              </xdr:cNvGrpSpPr>
            </xdr:nvGrpSpPr>
            <xdr:grpSpPr bwMode="auto">
              <a:xfrm>
                <a:off x="6496054" y="1554191"/>
                <a:ext cx="2829922" cy="763379"/>
                <a:chOff x="665" y="875"/>
                <a:chExt cx="343" cy="74"/>
              </a:xfrm>
            </xdr:grpSpPr>
            <xdr:sp macro="" textlink="">
              <xdr:nvSpPr>
                <xdr:cNvPr id="35" name="Text Box 4">
                  <a:extLst>
                    <a:ext uri="{FF2B5EF4-FFF2-40B4-BE49-F238E27FC236}">
                      <a16:creationId xmlns:a16="http://schemas.microsoft.com/office/drawing/2014/main" id="{00000000-0008-0000-0200-000023000000}"/>
                    </a:ext>
                  </a:extLst>
                </xdr:cNvPr>
                <xdr:cNvSpPr txBox="1">
                  <a:spLocks noChangeArrowheads="1"/>
                </xdr:cNvSpPr>
              </xdr:nvSpPr>
              <xdr:spPr bwMode="auto">
                <a:xfrm>
                  <a:off x="896" y="919"/>
                  <a:ext cx="21" cy="15"/>
                </a:xfrm>
                <a:prstGeom prst="rect">
                  <a:avLst/>
                </a:prstGeom>
                <a:noFill/>
                <a:ln w="9525">
                  <a:noFill/>
                  <a:miter lim="800000"/>
                  <a:headEnd/>
                  <a:tailEnd/>
                </a:ln>
              </xdr:spPr>
              <xdr:txBody>
                <a:bodyPr wrap="none" lIns="18288" tIns="18288" rIns="0" bIns="18288" anchor="ctr" upright="1">
                  <a:spAutoFit/>
                </a:bodyPr>
                <a:lstStyle/>
                <a:p>
                  <a:pPr algn="l" rtl="0">
                    <a:defRPr sz="1000"/>
                  </a:pPr>
                  <a:r>
                    <a:rPr lang="en-GB" sz="700" b="1" i="0" u="none" strike="noStrike" baseline="0">
                      <a:solidFill>
                        <a:srgbClr val="000080"/>
                      </a:solidFill>
                      <a:latin typeface="Arial"/>
                      <a:cs typeface="Arial"/>
                    </a:rPr>
                    <a:t>75th</a:t>
                  </a:r>
                </a:p>
              </xdr:txBody>
            </xdr:sp>
            <xdr:sp macro="" textlink="">
              <xdr:nvSpPr>
                <xdr:cNvPr id="36" name="Text Box 5">
                  <a:extLst>
                    <a:ext uri="{FF2B5EF4-FFF2-40B4-BE49-F238E27FC236}">
                      <a16:creationId xmlns:a16="http://schemas.microsoft.com/office/drawing/2014/main" id="{00000000-0008-0000-0200-000024000000}"/>
                    </a:ext>
                  </a:extLst>
                </xdr:cNvPr>
                <xdr:cNvSpPr txBox="1">
                  <a:spLocks noChangeArrowheads="1"/>
                </xdr:cNvSpPr>
              </xdr:nvSpPr>
              <xdr:spPr bwMode="auto">
                <a:xfrm>
                  <a:off x="813" y="918"/>
                  <a:ext cx="47" cy="15"/>
                </a:xfrm>
                <a:prstGeom prst="rect">
                  <a:avLst/>
                </a:prstGeom>
                <a:noFill/>
                <a:ln w="9525">
                  <a:noFill/>
                  <a:miter lim="800000"/>
                  <a:headEnd/>
                  <a:tailEnd/>
                </a:ln>
              </xdr:spPr>
              <xdr:txBody>
                <a:bodyPr wrap="none" lIns="18288" tIns="18288" rIns="0" bIns="18288" anchor="ctr" upright="1">
                  <a:spAutoFit/>
                </a:bodyPr>
                <a:lstStyle/>
                <a:p>
                  <a:pPr algn="l" rtl="0">
                    <a:defRPr sz="1000"/>
                  </a:pPr>
                  <a:r>
                    <a:rPr lang="en-GB" sz="700" b="1" i="0" u="none" strike="noStrike" baseline="0">
                      <a:solidFill>
                        <a:srgbClr val="000080"/>
                      </a:solidFill>
                      <a:latin typeface="Arial"/>
                      <a:cs typeface="Arial"/>
                    </a:rPr>
                    <a:t>Percentile</a:t>
                  </a:r>
                </a:p>
              </xdr:txBody>
            </xdr:sp>
            <xdr:sp macro="" textlink="">
              <xdr:nvSpPr>
                <xdr:cNvPr id="37" name="Text Box 6">
                  <a:extLst>
                    <a:ext uri="{FF2B5EF4-FFF2-40B4-BE49-F238E27FC236}">
                      <a16:creationId xmlns:a16="http://schemas.microsoft.com/office/drawing/2014/main" id="{00000000-0008-0000-0200-000025000000}"/>
                    </a:ext>
                  </a:extLst>
                </xdr:cNvPr>
                <xdr:cNvSpPr txBox="1">
                  <a:spLocks noChangeArrowheads="1"/>
                </xdr:cNvSpPr>
              </xdr:nvSpPr>
              <xdr:spPr bwMode="auto">
                <a:xfrm>
                  <a:off x="760" y="918"/>
                  <a:ext cx="21" cy="15"/>
                </a:xfrm>
                <a:prstGeom prst="rect">
                  <a:avLst/>
                </a:prstGeom>
                <a:noFill/>
                <a:ln w="9525">
                  <a:noFill/>
                  <a:miter lim="800000"/>
                  <a:headEnd/>
                  <a:tailEnd/>
                </a:ln>
              </xdr:spPr>
              <xdr:txBody>
                <a:bodyPr wrap="none" lIns="18288" tIns="18288" rIns="0" bIns="18288" anchor="ctr" upright="1">
                  <a:spAutoFit/>
                </a:bodyPr>
                <a:lstStyle/>
                <a:p>
                  <a:pPr algn="l" rtl="0">
                    <a:defRPr sz="1000"/>
                  </a:pPr>
                  <a:r>
                    <a:rPr lang="en-GB" sz="700" b="1" i="0" u="none" strike="noStrike" baseline="0">
                      <a:solidFill>
                        <a:srgbClr val="000080"/>
                      </a:solidFill>
                      <a:latin typeface="Arial"/>
                      <a:cs typeface="Arial"/>
                    </a:rPr>
                    <a:t>25th</a:t>
                  </a:r>
                </a:p>
              </xdr:txBody>
            </xdr:sp>
            <xdr:sp macro="" textlink="">
              <xdr:nvSpPr>
                <xdr:cNvPr id="38" name="Text Box 7">
                  <a:extLst>
                    <a:ext uri="{FF2B5EF4-FFF2-40B4-BE49-F238E27FC236}">
                      <a16:creationId xmlns:a16="http://schemas.microsoft.com/office/drawing/2014/main" id="{00000000-0008-0000-0200-000026000000}"/>
                    </a:ext>
                  </a:extLst>
                </xdr:cNvPr>
                <xdr:cNvSpPr txBox="1">
                  <a:spLocks noChangeArrowheads="1"/>
                </xdr:cNvSpPr>
              </xdr:nvSpPr>
              <xdr:spPr bwMode="auto">
                <a:xfrm>
                  <a:off x="809" y="882"/>
                  <a:ext cx="63" cy="14"/>
                </a:xfrm>
                <a:prstGeom prst="rect">
                  <a:avLst/>
                </a:prstGeom>
                <a:noFill/>
                <a:ln w="9525">
                  <a:noFill/>
                  <a:miter lim="800000"/>
                  <a:headEnd/>
                  <a:tailEnd/>
                </a:ln>
              </xdr:spPr>
              <xdr:txBody>
                <a:bodyPr wrap="none" lIns="0" tIns="18288" rIns="18288" bIns="18288" anchor="ctr" upright="1">
                  <a:spAutoFit/>
                </a:bodyPr>
                <a:lstStyle/>
                <a:p>
                  <a:pPr algn="r" rtl="0">
                    <a:defRPr sz="1000"/>
                  </a:pPr>
                  <a:r>
                    <a:rPr lang="en-GB" sz="700" b="0" i="0" u="none" strike="noStrike" baseline="0">
                      <a:solidFill>
                        <a:srgbClr val="000080"/>
                      </a:solidFill>
                      <a:latin typeface="Arial"/>
                      <a:cs typeface="Arial"/>
                    </a:rPr>
                    <a:t>City average</a:t>
                  </a:r>
                </a:p>
              </xdr:txBody>
            </xdr:sp>
            <xdr:sp macro="" textlink="">
              <xdr:nvSpPr>
                <xdr:cNvPr id="39" name="Text Box 8">
                  <a:extLst>
                    <a:ext uri="{FF2B5EF4-FFF2-40B4-BE49-F238E27FC236}">
                      <a16:creationId xmlns:a16="http://schemas.microsoft.com/office/drawing/2014/main" id="{00000000-0008-0000-0200-000027000000}"/>
                    </a:ext>
                  </a:extLst>
                </xdr:cNvPr>
                <xdr:cNvSpPr txBox="1">
                  <a:spLocks noChangeArrowheads="1"/>
                </xdr:cNvSpPr>
              </xdr:nvSpPr>
              <xdr:spPr bwMode="auto">
                <a:xfrm>
                  <a:off x="667" y="875"/>
                  <a:ext cx="74" cy="18"/>
                </a:xfrm>
                <a:prstGeom prst="rect">
                  <a:avLst/>
                </a:prstGeom>
                <a:noFill/>
                <a:ln w="9525">
                  <a:noFill/>
                  <a:miter lim="800000"/>
                  <a:headEnd/>
                  <a:tailEnd/>
                </a:ln>
              </xdr:spPr>
              <xdr:txBody>
                <a:bodyPr wrap="none" lIns="18288" tIns="18288" rIns="18288" bIns="18288" anchor="ctr" upright="1">
                  <a:noAutofit/>
                </a:bodyPr>
                <a:lstStyle/>
                <a:p>
                  <a:pPr algn="ctr" rtl="0">
                    <a:defRPr sz="1000"/>
                  </a:pPr>
                  <a:r>
                    <a:rPr lang="en-GB" sz="700" b="0" i="0" u="none" strike="noStrike" baseline="0">
                      <a:solidFill>
                        <a:srgbClr val="000080"/>
                      </a:solidFill>
                      <a:latin typeface="Arial"/>
                      <a:cs typeface="Arial"/>
                    </a:rPr>
                    <a:t>Comparator </a:t>
                  </a:r>
                </a:p>
                <a:p>
                  <a:pPr algn="ctr" rtl="0">
                    <a:defRPr sz="1000"/>
                  </a:pPr>
                  <a:r>
                    <a:rPr lang="en-GB" sz="700" b="0" i="0" u="none" strike="noStrike" baseline="0">
                      <a:solidFill>
                        <a:srgbClr val="000080"/>
                      </a:solidFill>
                      <a:latin typeface="Arial"/>
                      <a:cs typeface="Arial"/>
                    </a:rPr>
                    <a:t>average</a:t>
                  </a:r>
                </a:p>
              </xdr:txBody>
            </xdr:sp>
            <xdr:sp macro="" textlink="">
              <xdr:nvSpPr>
                <xdr:cNvPr id="40" name="Rectangle 10">
                  <a:extLst>
                    <a:ext uri="{FF2B5EF4-FFF2-40B4-BE49-F238E27FC236}">
                      <a16:creationId xmlns:a16="http://schemas.microsoft.com/office/drawing/2014/main" id="{00000000-0008-0000-0200-000028000000}"/>
                    </a:ext>
                  </a:extLst>
                </xdr:cNvPr>
                <xdr:cNvSpPr>
                  <a:spLocks noChangeArrowheads="1"/>
                </xdr:cNvSpPr>
              </xdr:nvSpPr>
              <xdr:spPr bwMode="auto">
                <a:xfrm rot="5400000">
                  <a:off x="831" y="733"/>
                  <a:ext cx="11" cy="343"/>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1" name="Rectangle 11">
                  <a:extLst>
                    <a:ext uri="{FF2B5EF4-FFF2-40B4-BE49-F238E27FC236}">
                      <a16:creationId xmlns:a16="http://schemas.microsoft.com/office/drawing/2014/main" id="{00000000-0008-0000-0200-000029000000}"/>
                    </a:ext>
                  </a:extLst>
                </xdr:cNvPr>
                <xdr:cNvSpPr>
                  <a:spLocks noChangeArrowheads="1"/>
                </xdr:cNvSpPr>
              </xdr:nvSpPr>
              <xdr:spPr bwMode="auto">
                <a:xfrm rot="5400000">
                  <a:off x="833" y="835"/>
                  <a:ext cx="11" cy="138"/>
                </a:xfrm>
                <a:prstGeom prst="rect">
                  <a:avLst/>
                </a:prstGeom>
                <a:solidFill>
                  <a:srgbClr val="969696"/>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2" name="Line 12">
                  <a:extLst>
                    <a:ext uri="{FF2B5EF4-FFF2-40B4-BE49-F238E27FC236}">
                      <a16:creationId xmlns:a16="http://schemas.microsoft.com/office/drawing/2014/main" id="{00000000-0008-0000-0200-00002A000000}"/>
                    </a:ext>
                  </a:extLst>
                </xdr:cNvPr>
                <xdr:cNvSpPr>
                  <a:spLocks noChangeShapeType="1"/>
                </xdr:cNvSpPr>
              </xdr:nvSpPr>
              <xdr:spPr bwMode="auto">
                <a:xfrm rot="5400000">
                  <a:off x="830" y="905"/>
                  <a:ext cx="16" cy="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3" name="AutoShape 13">
                  <a:extLst>
                    <a:ext uri="{FF2B5EF4-FFF2-40B4-BE49-F238E27FC236}">
                      <a16:creationId xmlns:a16="http://schemas.microsoft.com/office/drawing/2014/main" id="{00000000-0008-0000-0200-00002B000000}"/>
                    </a:ext>
                  </a:extLst>
                </xdr:cNvPr>
                <xdr:cNvSpPr>
                  <a:spLocks noChangeArrowheads="1"/>
                </xdr:cNvSpPr>
              </xdr:nvSpPr>
              <xdr:spPr bwMode="auto">
                <a:xfrm rot="5400000">
                  <a:off x="676" y="898"/>
                  <a:ext cx="12" cy="11"/>
                </a:xfrm>
                <a:prstGeom prst="diamond">
                  <a:avLst/>
                </a:prstGeom>
                <a:solidFill>
                  <a:srgbClr val="FFFFFF"/>
                </a:solidFill>
                <a:ln w="9525">
                  <a:solidFill>
                    <a:srgbClr val="333333"/>
                  </a:solidFill>
                  <a:miter lim="800000"/>
                  <a:headEnd/>
                  <a:tailEnd/>
                </a:ln>
              </xdr:spPr>
            </xdr:sp>
            <xdr:sp macro="" textlink="">
              <xdr:nvSpPr>
                <xdr:cNvPr id="44" name="Text Box 17">
                  <a:extLst>
                    <a:ext uri="{FF2B5EF4-FFF2-40B4-BE49-F238E27FC236}">
                      <a16:creationId xmlns:a16="http://schemas.microsoft.com/office/drawing/2014/main" id="{00000000-0008-0000-0200-00002C000000}"/>
                    </a:ext>
                  </a:extLst>
                </xdr:cNvPr>
                <xdr:cNvSpPr txBox="1">
                  <a:spLocks noChangeArrowheads="1"/>
                </xdr:cNvSpPr>
              </xdr:nvSpPr>
              <xdr:spPr bwMode="auto">
                <a:xfrm>
                  <a:off x="668" y="917"/>
                  <a:ext cx="91" cy="31"/>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n-GB" sz="800" b="1" i="0" u="none" strike="noStrike" baseline="0">
                      <a:solidFill>
                        <a:srgbClr val="000080"/>
                      </a:solidFill>
                      <a:latin typeface="Arial"/>
                      <a:cs typeface="Arial"/>
                    </a:rPr>
                    <a:t>Worst / Lowest</a:t>
                  </a:r>
                </a:p>
              </xdr:txBody>
            </xdr:sp>
            <xdr:sp macro="" textlink="">
              <xdr:nvSpPr>
                <xdr:cNvPr id="59" name="Text Box 18">
                  <a:extLst>
                    <a:ext uri="{FF2B5EF4-FFF2-40B4-BE49-F238E27FC236}">
                      <a16:creationId xmlns:a16="http://schemas.microsoft.com/office/drawing/2014/main" id="{00000000-0008-0000-0200-00003B000000}"/>
                    </a:ext>
                  </a:extLst>
                </xdr:cNvPr>
                <xdr:cNvSpPr txBox="1">
                  <a:spLocks noChangeArrowheads="1"/>
                </xdr:cNvSpPr>
              </xdr:nvSpPr>
              <xdr:spPr bwMode="auto">
                <a:xfrm>
                  <a:off x="922" y="918"/>
                  <a:ext cx="85" cy="31"/>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n-GB" sz="800" b="1" i="0" u="none" strike="noStrike" baseline="0">
                      <a:solidFill>
                        <a:srgbClr val="000080"/>
                      </a:solidFill>
                      <a:latin typeface="Arial"/>
                      <a:cs typeface="Arial"/>
                    </a:rPr>
                    <a:t>Best / Highest</a:t>
                  </a:r>
                </a:p>
              </xdr:txBody>
            </xdr:sp>
          </xdr:grpSp>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6"/>
              <a:stretch>
                <a:fillRect/>
              </a:stretch>
            </xdr:blipFill>
            <xdr:spPr>
              <a:xfrm>
                <a:off x="8839199" y="1808245"/>
                <a:ext cx="87259" cy="82667"/>
              </a:xfrm>
              <a:prstGeom prst="rect">
                <a:avLst/>
              </a:prstGeom>
            </xdr:spPr>
          </xdr:pic>
        </xdr:grpSp>
        <xdr:pic>
          <xdr:nvPicPr>
            <xdr:cNvPr id="65" name="Picture 64">
              <a:extLst>
                <a:ext uri="{FF2B5EF4-FFF2-40B4-BE49-F238E27FC236}">
                  <a16:creationId xmlns:a16="http://schemas.microsoft.com/office/drawing/2014/main" id="{00000000-0008-0000-0200-000041000000}"/>
                </a:ext>
              </a:extLst>
            </xdr:cNvPr>
            <xdr:cNvPicPr>
              <a:picLocks noChangeAspect="1"/>
            </xdr:cNvPicPr>
          </xdr:nvPicPr>
          <xdr:blipFill>
            <a:blip xmlns:r="http://schemas.openxmlformats.org/officeDocument/2006/relationships" r:embed="rId6"/>
            <a:stretch>
              <a:fillRect/>
            </a:stretch>
          </xdr:blipFill>
          <xdr:spPr>
            <a:xfrm>
              <a:off x="7279045" y="1825645"/>
              <a:ext cx="87259" cy="82667"/>
            </a:xfrm>
            <a:prstGeom prst="rect">
              <a:avLst/>
            </a:prstGeom>
          </xdr:spPr>
        </xdr:pic>
      </xdr:grp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1238250</xdr:colOff>
      <xdr:row>40</xdr:row>
      <xdr:rowOff>104776</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62" t="3881" r="2746" b="3650"/>
        <a:stretch/>
      </xdr:blipFill>
      <xdr:spPr>
        <a:xfrm>
          <a:off x="0" y="0"/>
          <a:ext cx="9534525" cy="6581776"/>
        </a:xfrm>
        <a:prstGeom prst="rect">
          <a:avLst/>
        </a:prstGeom>
      </xdr:spPr>
    </xdr:pic>
    <xdr:clientData/>
  </xdr:twoCellAnchor>
  <xdr:twoCellAnchor>
    <xdr:from>
      <xdr:col>10</xdr:col>
      <xdr:colOff>1419226</xdr:colOff>
      <xdr:row>0</xdr:row>
      <xdr:rowOff>66675</xdr:rowOff>
    </xdr:from>
    <xdr:to>
      <xdr:col>11</xdr:col>
      <xdr:colOff>247651</xdr:colOff>
      <xdr:row>2</xdr:row>
      <xdr:rowOff>60325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300-000003000000}"/>
            </a:ext>
          </a:extLst>
        </xdr:cNvPr>
        <xdr:cNvSpPr/>
      </xdr:nvSpPr>
      <xdr:spPr>
        <a:xfrm>
          <a:off x="9715501" y="66675"/>
          <a:ext cx="933450" cy="317500"/>
        </a:xfrm>
        <a:prstGeom prst="rect">
          <a:avLst/>
        </a:prstGeom>
        <a:solidFill>
          <a:srgbClr val="1DCAD3"/>
        </a:solidFill>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n-GB" sz="1100" b="1" i="0" u="none" strike="noStrike" baseline="0">
              <a:solidFill>
                <a:schemeClr val="bg1"/>
              </a:solidFill>
              <a:latin typeface="Arial" panose="020B0604020202020204" pitchFamily="34" charset="0"/>
              <a:ea typeface="+mn-ea"/>
              <a:cs typeface="Arial" panose="020B0604020202020204" pitchFamily="34" charset="0"/>
            </a:rPr>
            <a:t>Main</a:t>
          </a:r>
          <a:r>
            <a:rPr lang="en-GB" sz="1100" b="1" baseline="0">
              <a:solidFill>
                <a:schemeClr val="bg1"/>
              </a:solidFill>
              <a:latin typeface="Arial" panose="020B0604020202020204" pitchFamily="34" charset="0"/>
              <a:cs typeface="Arial" panose="020B0604020202020204" pitchFamily="34" charset="0"/>
            </a:rPr>
            <a:t> </a:t>
          </a:r>
          <a:r>
            <a:rPr lang="en-GB" sz="1100" b="1" i="0" u="none" strike="noStrike" baseline="0">
              <a:solidFill>
                <a:schemeClr val="bg1"/>
              </a:solidFill>
              <a:latin typeface="Arial" panose="020B0604020202020204" pitchFamily="34" charset="0"/>
              <a:ea typeface="+mn-ea"/>
              <a:cs typeface="Arial" panose="020B0604020202020204" pitchFamily="34" charset="0"/>
            </a:rPr>
            <a:t>Menu</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2114551</xdr:colOff>
      <xdr:row>0</xdr:row>
      <xdr:rowOff>104775</xdr:rowOff>
    </xdr:from>
    <xdr:to>
      <xdr:col>4</xdr:col>
      <xdr:colOff>3048001</xdr:colOff>
      <xdr:row>2</xdr:row>
      <xdr:rowOff>136525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0400-000004000000}"/>
            </a:ext>
          </a:extLst>
        </xdr:cNvPr>
        <xdr:cNvSpPr/>
      </xdr:nvSpPr>
      <xdr:spPr>
        <a:xfrm>
          <a:off x="6076951" y="104775"/>
          <a:ext cx="933450" cy="317500"/>
        </a:xfrm>
        <a:prstGeom prst="rect">
          <a:avLst/>
        </a:prstGeom>
        <a:solidFill>
          <a:srgbClr val="1DCAD3"/>
        </a:solidFill>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n-GB" sz="1100" b="1" i="0" u="none" strike="noStrike" baseline="0">
              <a:solidFill>
                <a:schemeClr val="bg1"/>
              </a:solidFill>
              <a:latin typeface="Arial" panose="020B0604020202020204" pitchFamily="34" charset="0"/>
              <a:ea typeface="+mn-ea"/>
              <a:cs typeface="Arial" panose="020B0604020202020204" pitchFamily="34" charset="0"/>
            </a:rPr>
            <a:t>Main</a:t>
          </a:r>
          <a:r>
            <a:rPr lang="en-GB" sz="1100" b="1" baseline="0">
              <a:solidFill>
                <a:schemeClr val="bg1"/>
              </a:solidFill>
              <a:latin typeface="Arial" panose="020B0604020202020204" pitchFamily="34" charset="0"/>
              <a:cs typeface="Arial" panose="020B0604020202020204" pitchFamily="34" charset="0"/>
            </a:rPr>
            <a:t> </a:t>
          </a:r>
          <a:r>
            <a:rPr lang="en-GB" sz="1100" b="1" i="0" u="none" strike="noStrike" baseline="0">
              <a:solidFill>
                <a:schemeClr val="bg1"/>
              </a:solidFill>
              <a:latin typeface="Arial" panose="020B0604020202020204" pitchFamily="34" charset="0"/>
              <a:ea typeface="+mn-ea"/>
              <a:cs typeface="Arial" panose="020B0604020202020204" pitchFamily="34" charset="0"/>
            </a:rPr>
            <a:t>Menu</a:t>
          </a:r>
        </a:p>
      </xdr:txBody>
    </xdr:sp>
    <xdr:clientData/>
  </xdr:twoCellAnchor>
  <xdr:twoCellAnchor>
    <xdr:from>
      <xdr:col>4</xdr:col>
      <xdr:colOff>3143249</xdr:colOff>
      <xdr:row>0</xdr:row>
      <xdr:rowOff>104775</xdr:rowOff>
    </xdr:from>
    <xdr:to>
      <xdr:col>4</xdr:col>
      <xdr:colOff>4381500</xdr:colOff>
      <xdr:row>2</xdr:row>
      <xdr:rowOff>135825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0400-000005000000}"/>
            </a:ext>
          </a:extLst>
        </xdr:cNvPr>
        <xdr:cNvSpPr/>
      </xdr:nvSpPr>
      <xdr:spPr>
        <a:xfrm>
          <a:off x="7105649" y="104775"/>
          <a:ext cx="1238251" cy="316800"/>
        </a:xfrm>
        <a:prstGeom prst="rect">
          <a:avLst/>
        </a:prstGeom>
        <a:solidFill>
          <a:srgbClr val="1DCAD3"/>
        </a:solidFill>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n-GB" sz="1100" b="1" i="0" u="none" strike="noStrike" baseline="0">
              <a:solidFill>
                <a:schemeClr val="bg1"/>
              </a:solidFill>
              <a:latin typeface="Arial" panose="020B0604020202020204" pitchFamily="34" charset="0"/>
              <a:ea typeface="+mn-ea"/>
              <a:cs typeface="Arial" panose="020B0604020202020204" pitchFamily="34" charset="0"/>
            </a:rPr>
            <a:t>Practice</a:t>
          </a:r>
          <a:r>
            <a:rPr lang="en-GB" sz="1100">
              <a:solidFill>
                <a:schemeClr val="bg1"/>
              </a:solidFill>
              <a:latin typeface="Arial" panose="020B0604020202020204" pitchFamily="34" charset="0"/>
              <a:cs typeface="Arial" panose="020B0604020202020204" pitchFamily="34" charset="0"/>
            </a:rPr>
            <a:t> </a:t>
          </a:r>
          <a:r>
            <a:rPr lang="en-GB" sz="1100" b="1" i="0" u="none" strike="noStrike" baseline="0">
              <a:solidFill>
                <a:schemeClr val="bg1"/>
              </a:solidFill>
              <a:latin typeface="Arial" panose="020B0604020202020204" pitchFamily="34" charset="0"/>
              <a:ea typeface="+mn-ea"/>
              <a:cs typeface="Arial" panose="020B0604020202020204" pitchFamily="34" charset="0"/>
            </a:rPr>
            <a:t>Profile</a:t>
          </a:r>
        </a:p>
      </xdr:txBody>
    </xdr:sp>
    <xdr:clientData/>
  </xdr:twoCellAnchor>
  <xdr:twoCellAnchor>
    <xdr:from>
      <xdr:col>4</xdr:col>
      <xdr:colOff>4476749</xdr:colOff>
      <xdr:row>0</xdr:row>
      <xdr:rowOff>104775</xdr:rowOff>
    </xdr:from>
    <xdr:to>
      <xdr:col>5</xdr:col>
      <xdr:colOff>342900</xdr:colOff>
      <xdr:row>2</xdr:row>
      <xdr:rowOff>135825</xdr:rowOff>
    </xdr:to>
    <xdr:sp macro="" textlink="">
      <xdr:nvSpPr>
        <xdr:cNvPr id="6" name="Rectangle 5">
          <a:hlinkClick xmlns:r="http://schemas.openxmlformats.org/officeDocument/2006/relationships" r:id="rId3"/>
          <a:extLst>
            <a:ext uri="{FF2B5EF4-FFF2-40B4-BE49-F238E27FC236}">
              <a16:creationId xmlns:a16="http://schemas.microsoft.com/office/drawing/2014/main" id="{00000000-0008-0000-0400-000006000000}"/>
            </a:ext>
          </a:extLst>
        </xdr:cNvPr>
        <xdr:cNvSpPr/>
      </xdr:nvSpPr>
      <xdr:spPr>
        <a:xfrm>
          <a:off x="8439149" y="104775"/>
          <a:ext cx="1200151" cy="316800"/>
        </a:xfrm>
        <a:prstGeom prst="rect">
          <a:avLst/>
        </a:prstGeom>
        <a:solidFill>
          <a:srgbClr val="1DCAD3"/>
        </a:solidFill>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n-GB" sz="1100" b="1" i="0" u="none" strike="noStrike" baseline="0">
              <a:solidFill>
                <a:schemeClr val="bg1"/>
              </a:solidFill>
              <a:latin typeface="Arial" panose="020B0604020202020204" pitchFamily="34" charset="0"/>
              <a:ea typeface="+mn-ea"/>
              <a:cs typeface="Arial" panose="020B0604020202020204" pitchFamily="34" charset="0"/>
            </a:rPr>
            <a:t>Locality</a:t>
          </a:r>
          <a:r>
            <a:rPr lang="en-GB" sz="1100">
              <a:solidFill>
                <a:schemeClr val="bg1"/>
              </a:solidFill>
              <a:latin typeface="Arial" panose="020B0604020202020204" pitchFamily="34" charset="0"/>
              <a:cs typeface="Arial" panose="020B0604020202020204" pitchFamily="34" charset="0"/>
            </a:rPr>
            <a:t> </a:t>
          </a:r>
          <a:r>
            <a:rPr lang="en-GB" sz="1100" b="1" i="0" u="none" strike="noStrike" baseline="0">
              <a:solidFill>
                <a:schemeClr val="bg1"/>
              </a:solidFill>
              <a:latin typeface="Arial" panose="020B0604020202020204" pitchFamily="34" charset="0"/>
              <a:ea typeface="+mn-ea"/>
              <a:cs typeface="Arial" panose="020B0604020202020204" pitchFamily="34" charset="0"/>
            </a:rPr>
            <a:t>Profile</a:t>
          </a:r>
        </a:p>
      </xdr:txBody>
    </xdr:sp>
    <xdr:clientData/>
  </xdr:twoCellAnchor>
  <xdr:twoCellAnchor editAs="oneCell">
    <xdr:from>
      <xdr:col>1</xdr:col>
      <xdr:colOff>66675</xdr:colOff>
      <xdr:row>0</xdr:row>
      <xdr:rowOff>66675</xdr:rowOff>
    </xdr:from>
    <xdr:to>
      <xdr:col>2</xdr:col>
      <xdr:colOff>2110972</xdr:colOff>
      <xdr:row>4</xdr:row>
      <xdr:rowOff>68249</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4"/>
        <a:stretch>
          <a:fillRect/>
        </a:stretch>
      </xdr:blipFill>
      <xdr:spPr>
        <a:xfrm>
          <a:off x="247650" y="66675"/>
          <a:ext cx="2682472" cy="573074"/>
        </a:xfrm>
        <a:prstGeom prst="rect">
          <a:avLst/>
        </a:prstGeom>
      </xdr:spPr>
    </xdr:pic>
    <xdr:clientData/>
  </xdr:twoCellAnchor>
  <xdr:twoCellAnchor>
    <xdr:from>
      <xdr:col>4</xdr:col>
      <xdr:colOff>895350</xdr:colOff>
      <xdr:row>0</xdr:row>
      <xdr:rowOff>104775</xdr:rowOff>
    </xdr:from>
    <xdr:to>
      <xdr:col>4</xdr:col>
      <xdr:colOff>1989750</xdr:colOff>
      <xdr:row>2</xdr:row>
      <xdr:rowOff>135825</xdr:rowOff>
    </xdr:to>
    <xdr:sp macro="" textlink="">
      <xdr:nvSpPr>
        <xdr:cNvPr id="8" name="Rectangle 7">
          <a:extLst>
            <a:ext uri="{FF2B5EF4-FFF2-40B4-BE49-F238E27FC236}">
              <a16:creationId xmlns:a16="http://schemas.microsoft.com/office/drawing/2014/main" id="{00000000-0008-0000-0400-000008000000}"/>
            </a:ext>
          </a:extLst>
        </xdr:cNvPr>
        <xdr:cNvSpPr/>
      </xdr:nvSpPr>
      <xdr:spPr>
        <a:xfrm>
          <a:off x="4857750" y="104775"/>
          <a:ext cx="1094400" cy="316800"/>
        </a:xfrm>
        <a:prstGeom prst="rect">
          <a:avLst/>
        </a:prstGeom>
        <a:solidFill>
          <a:srgbClr val="FF6B00"/>
        </a:solidFill>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n-GB" sz="1200" b="1" i="0" u="none" strike="noStrike" baseline="0">
              <a:solidFill>
                <a:schemeClr val="bg1"/>
              </a:solidFill>
              <a:latin typeface="Arial" panose="020B0604020202020204" pitchFamily="34" charset="0"/>
              <a:ea typeface="+mn-ea"/>
              <a:cs typeface="Arial" panose="020B0604020202020204" pitchFamily="34" charset="0"/>
            </a:rPr>
            <a:t>Metadata</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0">
    <pageSetUpPr fitToPage="1"/>
  </sheetPr>
  <dimension ref="B6:O193"/>
  <sheetViews>
    <sheetView showGridLines="0" tabSelected="1" workbookViewId="0">
      <selection activeCell="W19" sqref="W19"/>
    </sheetView>
  </sheetViews>
  <sheetFormatPr defaultRowHeight="13.2" x14ac:dyDescent="0.25"/>
  <cols>
    <col min="1" max="1" width="3.44140625" customWidth="1"/>
  </cols>
  <sheetData>
    <row r="6" spans="2:15" ht="30" x14ac:dyDescent="0.25">
      <c r="B6" s="339" t="s">
        <v>488</v>
      </c>
    </row>
    <row r="9" spans="2:15" x14ac:dyDescent="0.25">
      <c r="B9" s="1" t="s">
        <v>415</v>
      </c>
    </row>
    <row r="10" spans="2:15" ht="12.75" customHeight="1" x14ac:dyDescent="0.25">
      <c r="B10" s="389" t="s">
        <v>489</v>
      </c>
      <c r="C10" s="389"/>
      <c r="D10" s="389"/>
      <c r="E10" s="389"/>
      <c r="F10" s="389"/>
      <c r="G10" s="389"/>
      <c r="H10" s="389"/>
      <c r="I10" s="389"/>
      <c r="J10" s="389"/>
      <c r="K10" s="389"/>
      <c r="L10" s="389"/>
      <c r="M10" s="389"/>
      <c r="N10" s="389"/>
      <c r="O10" s="389"/>
    </row>
    <row r="11" spans="2:15" x14ac:dyDescent="0.25">
      <c r="B11" s="389"/>
      <c r="C11" s="389"/>
      <c r="D11" s="389"/>
      <c r="E11" s="389"/>
      <c r="F11" s="389"/>
      <c r="G11" s="389"/>
      <c r="H11" s="389"/>
      <c r="I11" s="389"/>
      <c r="J11" s="389"/>
      <c r="K11" s="389"/>
      <c r="L11" s="389"/>
      <c r="M11" s="389"/>
      <c r="N11" s="389"/>
      <c r="O11" s="389"/>
    </row>
    <row r="12" spans="2:15" x14ac:dyDescent="0.25">
      <c r="B12" s="389"/>
      <c r="C12" s="389"/>
      <c r="D12" s="389"/>
      <c r="E12" s="389"/>
      <c r="F12" s="389"/>
      <c r="G12" s="389"/>
      <c r="H12" s="389"/>
      <c r="I12" s="389"/>
      <c r="J12" s="389"/>
      <c r="K12" s="389"/>
      <c r="L12" s="389"/>
      <c r="M12" s="389"/>
      <c r="N12" s="389"/>
      <c r="O12" s="389"/>
    </row>
    <row r="13" spans="2:15" x14ac:dyDescent="0.25">
      <c r="B13" s="389"/>
      <c r="C13" s="389"/>
      <c r="D13" s="389"/>
      <c r="E13" s="389"/>
      <c r="F13" s="389"/>
      <c r="G13" s="389"/>
      <c r="H13" s="389"/>
      <c r="I13" s="389"/>
      <c r="J13" s="389"/>
      <c r="K13" s="389"/>
      <c r="L13" s="389"/>
      <c r="M13" s="389"/>
      <c r="N13" s="389"/>
      <c r="O13" s="389"/>
    </row>
    <row r="14" spans="2:15" x14ac:dyDescent="0.25">
      <c r="B14" s="389"/>
      <c r="C14" s="389"/>
      <c r="D14" s="389"/>
      <c r="E14" s="389"/>
      <c r="F14" s="389"/>
      <c r="G14" s="389"/>
      <c r="H14" s="389"/>
      <c r="I14" s="389"/>
      <c r="J14" s="389"/>
      <c r="K14" s="389"/>
      <c r="L14" s="389"/>
      <c r="M14" s="389"/>
      <c r="N14" s="389"/>
      <c r="O14" s="389"/>
    </row>
    <row r="15" spans="2:15" x14ac:dyDescent="0.25">
      <c r="B15" s="389"/>
      <c r="C15" s="389"/>
      <c r="D15" s="389"/>
      <c r="E15" s="389"/>
      <c r="F15" s="389"/>
      <c r="G15" s="389"/>
      <c r="H15" s="389"/>
      <c r="I15" s="389"/>
      <c r="J15" s="389"/>
      <c r="K15" s="389"/>
      <c r="L15" s="389"/>
      <c r="M15" s="389"/>
      <c r="N15" s="389"/>
      <c r="O15" s="389"/>
    </row>
    <row r="16" spans="2:15" x14ac:dyDescent="0.25">
      <c r="B16" s="389"/>
      <c r="C16" s="389"/>
      <c r="D16" s="389"/>
      <c r="E16" s="389"/>
      <c r="F16" s="389"/>
      <c r="G16" s="389"/>
      <c r="H16" s="389"/>
      <c r="I16" s="389"/>
      <c r="J16" s="389"/>
      <c r="K16" s="389"/>
      <c r="L16" s="389"/>
      <c r="M16" s="389"/>
      <c r="N16" s="389"/>
      <c r="O16" s="389"/>
    </row>
    <row r="17" spans="2:15" x14ac:dyDescent="0.25">
      <c r="B17" s="389"/>
      <c r="C17" s="389"/>
      <c r="D17" s="389"/>
      <c r="E17" s="389"/>
      <c r="F17" s="389"/>
      <c r="G17" s="389"/>
      <c r="H17" s="389"/>
      <c r="I17" s="389"/>
      <c r="J17" s="389"/>
      <c r="K17" s="389"/>
      <c r="L17" s="389"/>
      <c r="M17" s="389"/>
      <c r="N17" s="389"/>
      <c r="O17" s="389"/>
    </row>
    <row r="18" spans="2:15" x14ac:dyDescent="0.25">
      <c r="B18" s="389"/>
      <c r="C18" s="389"/>
      <c r="D18" s="389"/>
      <c r="E18" s="389"/>
      <c r="F18" s="389"/>
      <c r="G18" s="389"/>
      <c r="H18" s="389"/>
      <c r="I18" s="389"/>
      <c r="J18" s="389"/>
      <c r="K18" s="389"/>
      <c r="L18" s="389"/>
      <c r="M18" s="389"/>
      <c r="N18" s="389"/>
      <c r="O18" s="389"/>
    </row>
    <row r="19" spans="2:15" x14ac:dyDescent="0.25">
      <c r="B19" s="389"/>
      <c r="C19" s="389"/>
      <c r="D19" s="389"/>
      <c r="E19" s="389"/>
      <c r="F19" s="389"/>
      <c r="G19" s="389"/>
      <c r="H19" s="389"/>
      <c r="I19" s="389"/>
      <c r="J19" s="389"/>
      <c r="K19" s="389"/>
      <c r="L19" s="389"/>
      <c r="M19" s="389"/>
      <c r="N19" s="389"/>
      <c r="O19" s="389"/>
    </row>
    <row r="20" spans="2:15" x14ac:dyDescent="0.25">
      <c r="B20" s="389"/>
      <c r="C20" s="389"/>
      <c r="D20" s="389"/>
      <c r="E20" s="389"/>
      <c r="F20" s="389"/>
      <c r="G20" s="389"/>
      <c r="H20" s="389"/>
      <c r="I20" s="389"/>
      <c r="J20" s="389"/>
      <c r="K20" s="389"/>
      <c r="L20" s="389"/>
      <c r="M20" s="389"/>
      <c r="N20" s="389"/>
      <c r="O20" s="389"/>
    </row>
    <row r="21" spans="2:15" x14ac:dyDescent="0.25">
      <c r="B21" s="389"/>
      <c r="C21" s="389"/>
      <c r="D21" s="389"/>
      <c r="E21" s="389"/>
      <c r="F21" s="389"/>
      <c r="G21" s="389"/>
      <c r="H21" s="389"/>
      <c r="I21" s="389"/>
      <c r="J21" s="389"/>
      <c r="K21" s="389"/>
      <c r="L21" s="389"/>
      <c r="M21" s="389"/>
      <c r="N21" s="389"/>
      <c r="O21" s="389"/>
    </row>
    <row r="22" spans="2:15" x14ac:dyDescent="0.25">
      <c r="B22" s="389"/>
      <c r="C22" s="389"/>
      <c r="D22" s="389"/>
      <c r="E22" s="389"/>
      <c r="F22" s="389"/>
      <c r="G22" s="389"/>
      <c r="H22" s="389"/>
      <c r="I22" s="389"/>
      <c r="J22" s="389"/>
      <c r="K22" s="389"/>
      <c r="L22" s="389"/>
      <c r="M22" s="389"/>
      <c r="N22" s="389"/>
      <c r="O22" s="389"/>
    </row>
    <row r="23" spans="2:15" x14ac:dyDescent="0.25">
      <c r="B23" s="389"/>
      <c r="C23" s="389"/>
      <c r="D23" s="389"/>
      <c r="E23" s="389"/>
      <c r="F23" s="389"/>
      <c r="G23" s="389"/>
      <c r="H23" s="389"/>
      <c r="I23" s="389"/>
      <c r="J23" s="389"/>
      <c r="K23" s="389"/>
      <c r="L23" s="389"/>
      <c r="M23" s="389"/>
      <c r="N23" s="389"/>
      <c r="O23" s="389"/>
    </row>
    <row r="24" spans="2:15" x14ac:dyDescent="0.25">
      <c r="B24" s="389"/>
      <c r="C24" s="389"/>
      <c r="D24" s="389"/>
      <c r="E24" s="389"/>
      <c r="F24" s="389"/>
      <c r="G24" s="389"/>
      <c r="H24" s="389"/>
      <c r="I24" s="389"/>
      <c r="J24" s="389"/>
      <c r="K24" s="389"/>
      <c r="L24" s="389"/>
      <c r="M24" s="389"/>
      <c r="N24" s="389"/>
      <c r="O24" s="389"/>
    </row>
    <row r="25" spans="2:15" x14ac:dyDescent="0.25">
      <c r="B25" s="389"/>
      <c r="C25" s="389"/>
      <c r="D25" s="389"/>
      <c r="E25" s="389"/>
      <c r="F25" s="389"/>
      <c r="G25" s="389"/>
      <c r="H25" s="389"/>
      <c r="I25" s="389"/>
      <c r="J25" s="389"/>
      <c r="K25" s="389"/>
      <c r="L25" s="389"/>
      <c r="M25" s="389"/>
      <c r="N25" s="389"/>
      <c r="O25" s="389"/>
    </row>
    <row r="26" spans="2:15" ht="14.25" customHeight="1" x14ac:dyDescent="0.25">
      <c r="B26" s="389"/>
      <c r="C26" s="389"/>
      <c r="D26" s="389"/>
      <c r="E26" s="389"/>
      <c r="F26" s="389"/>
      <c r="G26" s="389"/>
      <c r="H26" s="389"/>
      <c r="I26" s="389"/>
      <c r="J26" s="389"/>
      <c r="K26" s="389"/>
      <c r="L26" s="389"/>
      <c r="M26" s="389"/>
      <c r="N26" s="389"/>
      <c r="O26" s="389"/>
    </row>
    <row r="27" spans="2:15" x14ac:dyDescent="0.25">
      <c r="B27" s="338"/>
      <c r="C27" s="338"/>
      <c r="D27" s="338"/>
      <c r="E27" s="338"/>
      <c r="F27" s="338"/>
      <c r="G27" s="338"/>
      <c r="H27" s="338"/>
      <c r="I27" s="338"/>
      <c r="J27" s="338"/>
      <c r="K27" s="338"/>
      <c r="L27" s="338"/>
      <c r="M27" s="338"/>
      <c r="N27" s="338"/>
      <c r="O27" s="338"/>
    </row>
    <row r="28" spans="2:15" x14ac:dyDescent="0.25">
      <c r="B28" s="338"/>
      <c r="C28" s="338"/>
      <c r="D28" s="338"/>
      <c r="E28" s="338"/>
      <c r="F28" s="338"/>
      <c r="G28" s="338"/>
      <c r="H28" s="338"/>
      <c r="I28" s="338"/>
      <c r="J28" s="338"/>
      <c r="K28" s="338"/>
      <c r="L28" s="338"/>
      <c r="M28" s="338"/>
      <c r="N28" s="338"/>
      <c r="O28" s="338"/>
    </row>
    <row r="29" spans="2:15" x14ac:dyDescent="0.25">
      <c r="B29" s="338"/>
      <c r="C29" s="338"/>
      <c r="D29" s="338"/>
      <c r="E29" s="338"/>
      <c r="F29" s="338"/>
      <c r="G29" s="338"/>
      <c r="H29" s="338"/>
      <c r="I29" s="338"/>
      <c r="J29" s="338"/>
      <c r="K29" s="338"/>
      <c r="L29" s="338"/>
      <c r="M29" s="338"/>
      <c r="N29" s="338"/>
      <c r="O29" s="338"/>
    </row>
    <row r="30" spans="2:15" x14ac:dyDescent="0.25">
      <c r="B30" s="338"/>
      <c r="C30" s="338"/>
      <c r="D30" s="338"/>
      <c r="E30" s="338"/>
      <c r="F30" s="338"/>
      <c r="G30" s="338"/>
      <c r="H30" s="338"/>
      <c r="I30" s="338"/>
      <c r="J30" s="338"/>
      <c r="K30" s="338"/>
      <c r="L30" s="338"/>
      <c r="M30" s="338"/>
      <c r="N30" s="338"/>
      <c r="O30" s="338"/>
    </row>
    <row r="58" spans="2:15" ht="12.75" customHeight="1" x14ac:dyDescent="0.25">
      <c r="B58" s="388" t="s">
        <v>456</v>
      </c>
      <c r="C58" s="388"/>
      <c r="D58" s="388"/>
      <c r="E58" s="388"/>
      <c r="F58" s="388"/>
      <c r="G58" s="388"/>
      <c r="H58" s="388"/>
      <c r="I58" s="388"/>
      <c r="J58" s="388"/>
      <c r="K58" s="388"/>
      <c r="L58" s="388"/>
      <c r="M58" s="388"/>
      <c r="N58" s="388"/>
      <c r="O58" s="388"/>
    </row>
    <row r="59" spans="2:15" x14ac:dyDescent="0.25">
      <c r="B59" s="388"/>
      <c r="C59" s="388"/>
      <c r="D59" s="388"/>
      <c r="E59" s="388"/>
      <c r="F59" s="388"/>
      <c r="G59" s="388"/>
      <c r="H59" s="388"/>
      <c r="I59" s="388"/>
      <c r="J59" s="388"/>
      <c r="K59" s="388"/>
      <c r="L59" s="388"/>
      <c r="M59" s="388"/>
      <c r="N59" s="388"/>
      <c r="O59" s="388"/>
    </row>
    <row r="60" spans="2:15" x14ac:dyDescent="0.25">
      <c r="B60" s="388"/>
      <c r="C60" s="388"/>
      <c r="D60" s="388"/>
      <c r="E60" s="388"/>
      <c r="F60" s="388"/>
      <c r="G60" s="388"/>
      <c r="H60" s="388"/>
      <c r="I60" s="388"/>
      <c r="J60" s="388"/>
      <c r="K60" s="388"/>
      <c r="L60" s="388"/>
      <c r="M60" s="388"/>
      <c r="N60" s="388"/>
      <c r="O60" s="388"/>
    </row>
    <row r="61" spans="2:15" x14ac:dyDescent="0.25">
      <c r="B61" s="388"/>
      <c r="C61" s="388"/>
      <c r="D61" s="388"/>
      <c r="E61" s="388"/>
      <c r="F61" s="388"/>
      <c r="G61" s="388"/>
      <c r="H61" s="388"/>
      <c r="I61" s="388"/>
      <c r="J61" s="388"/>
      <c r="K61" s="388"/>
      <c r="L61" s="388"/>
      <c r="M61" s="388"/>
      <c r="N61" s="388"/>
      <c r="O61" s="388"/>
    </row>
    <row r="62" spans="2:15" x14ac:dyDescent="0.25">
      <c r="B62" s="388"/>
      <c r="C62" s="388"/>
      <c r="D62" s="388"/>
      <c r="E62" s="388"/>
      <c r="F62" s="388"/>
      <c r="G62" s="388"/>
      <c r="H62" s="388"/>
      <c r="I62" s="388"/>
      <c r="J62" s="388"/>
      <c r="K62" s="388"/>
      <c r="L62" s="388"/>
      <c r="M62" s="388"/>
      <c r="N62" s="388"/>
      <c r="O62" s="388"/>
    </row>
    <row r="63" spans="2:15" x14ac:dyDescent="0.25">
      <c r="B63" s="388"/>
      <c r="C63" s="388"/>
      <c r="D63" s="388"/>
      <c r="E63" s="388"/>
      <c r="F63" s="388"/>
      <c r="G63" s="388"/>
      <c r="H63" s="388"/>
      <c r="I63" s="388"/>
      <c r="J63" s="388"/>
      <c r="K63" s="388"/>
      <c r="L63" s="388"/>
      <c r="M63" s="388"/>
      <c r="N63" s="388"/>
      <c r="O63" s="388"/>
    </row>
    <row r="64" spans="2:15" x14ac:dyDescent="0.25">
      <c r="B64" s="388"/>
      <c r="C64" s="388"/>
      <c r="D64" s="388"/>
      <c r="E64" s="388"/>
      <c r="F64" s="388"/>
      <c r="G64" s="388"/>
      <c r="H64" s="388"/>
      <c r="I64" s="388"/>
      <c r="J64" s="388"/>
      <c r="K64" s="388"/>
      <c r="L64" s="388"/>
      <c r="M64" s="388"/>
      <c r="N64" s="388"/>
      <c r="O64" s="388"/>
    </row>
    <row r="65" spans="2:15" x14ac:dyDescent="0.25">
      <c r="B65" s="388"/>
      <c r="C65" s="388"/>
      <c r="D65" s="388"/>
      <c r="E65" s="388"/>
      <c r="F65" s="388"/>
      <c r="G65" s="388"/>
      <c r="H65" s="388"/>
      <c r="I65" s="388"/>
      <c r="J65" s="388"/>
      <c r="K65" s="388"/>
      <c r="L65" s="388"/>
      <c r="M65" s="388"/>
      <c r="N65" s="388"/>
      <c r="O65" s="388"/>
    </row>
    <row r="66" spans="2:15" x14ac:dyDescent="0.25">
      <c r="B66" s="388"/>
      <c r="C66" s="388"/>
      <c r="D66" s="388"/>
      <c r="E66" s="388"/>
      <c r="F66" s="388"/>
      <c r="G66" s="388"/>
      <c r="H66" s="388"/>
      <c r="I66" s="388"/>
      <c r="J66" s="388"/>
      <c r="K66" s="388"/>
      <c r="L66" s="388"/>
      <c r="M66" s="388"/>
      <c r="N66" s="388"/>
      <c r="O66" s="388"/>
    </row>
    <row r="67" spans="2:15" x14ac:dyDescent="0.25">
      <c r="B67" s="388"/>
      <c r="C67" s="388"/>
      <c r="D67" s="388"/>
      <c r="E67" s="388"/>
      <c r="F67" s="388"/>
      <c r="G67" s="388"/>
      <c r="H67" s="388"/>
      <c r="I67" s="388"/>
      <c r="J67" s="388"/>
      <c r="K67" s="388"/>
      <c r="L67" s="388"/>
      <c r="M67" s="388"/>
      <c r="N67" s="388"/>
      <c r="O67" s="388"/>
    </row>
    <row r="68" spans="2:15" x14ac:dyDescent="0.25">
      <c r="B68" s="388"/>
      <c r="C68" s="388"/>
      <c r="D68" s="388"/>
      <c r="E68" s="388"/>
      <c r="F68" s="388"/>
      <c r="G68" s="388"/>
      <c r="H68" s="388"/>
      <c r="I68" s="388"/>
      <c r="J68" s="388"/>
      <c r="K68" s="388"/>
      <c r="L68" s="388"/>
      <c r="M68" s="388"/>
      <c r="N68" s="388"/>
      <c r="O68" s="388"/>
    </row>
    <row r="69" spans="2:15" x14ac:dyDescent="0.25">
      <c r="B69" s="388"/>
      <c r="C69" s="388"/>
      <c r="D69" s="388"/>
      <c r="E69" s="388"/>
      <c r="F69" s="388"/>
      <c r="G69" s="388"/>
      <c r="H69" s="388"/>
      <c r="I69" s="388"/>
      <c r="J69" s="388"/>
      <c r="K69" s="388"/>
      <c r="L69" s="388"/>
      <c r="M69" s="388"/>
      <c r="N69" s="388"/>
      <c r="O69" s="388"/>
    </row>
    <row r="70" spans="2:15" x14ac:dyDescent="0.25">
      <c r="B70" s="388"/>
      <c r="C70" s="388"/>
      <c r="D70" s="388"/>
      <c r="E70" s="388"/>
      <c r="F70" s="388"/>
      <c r="G70" s="388"/>
      <c r="H70" s="388"/>
      <c r="I70" s="388"/>
      <c r="J70" s="388"/>
      <c r="K70" s="388"/>
      <c r="L70" s="388"/>
      <c r="M70" s="388"/>
      <c r="N70" s="388"/>
      <c r="O70" s="388"/>
    </row>
    <row r="71" spans="2:15" x14ac:dyDescent="0.25">
      <c r="B71" s="388"/>
      <c r="C71" s="388"/>
      <c r="D71" s="388"/>
      <c r="E71" s="388"/>
      <c r="F71" s="388"/>
      <c r="G71" s="388"/>
      <c r="H71" s="388"/>
      <c r="I71" s="388"/>
      <c r="J71" s="388"/>
      <c r="K71" s="388"/>
      <c r="L71" s="388"/>
      <c r="M71" s="388"/>
      <c r="N71" s="388"/>
      <c r="O71" s="388"/>
    </row>
    <row r="72" spans="2:15" x14ac:dyDescent="0.25">
      <c r="B72" s="388"/>
      <c r="C72" s="388"/>
      <c r="D72" s="388"/>
      <c r="E72" s="388"/>
      <c r="F72" s="388"/>
      <c r="G72" s="388"/>
      <c r="H72" s="388"/>
      <c r="I72" s="388"/>
      <c r="J72" s="388"/>
      <c r="K72" s="388"/>
      <c r="L72" s="388"/>
      <c r="M72" s="388"/>
      <c r="N72" s="388"/>
      <c r="O72" s="388"/>
    </row>
    <row r="73" spans="2:15" x14ac:dyDescent="0.25">
      <c r="B73" s="388"/>
      <c r="C73" s="388"/>
      <c r="D73" s="388"/>
      <c r="E73" s="388"/>
      <c r="F73" s="388"/>
      <c r="G73" s="388"/>
      <c r="H73" s="388"/>
      <c r="I73" s="388"/>
      <c r="J73" s="388"/>
      <c r="K73" s="388"/>
      <c r="L73" s="388"/>
      <c r="M73" s="388"/>
      <c r="N73" s="388"/>
      <c r="O73" s="388"/>
    </row>
    <row r="74" spans="2:15" x14ac:dyDescent="0.25">
      <c r="B74" s="388"/>
      <c r="C74" s="388"/>
      <c r="D74" s="388"/>
      <c r="E74" s="388"/>
      <c r="F74" s="388"/>
      <c r="G74" s="388"/>
      <c r="H74" s="388"/>
      <c r="I74" s="388"/>
      <c r="J74" s="388"/>
      <c r="K74" s="388"/>
      <c r="L74" s="388"/>
      <c r="M74" s="388"/>
      <c r="N74" s="388"/>
      <c r="O74" s="388"/>
    </row>
    <row r="75" spans="2:15" x14ac:dyDescent="0.25">
      <c r="B75" s="388"/>
      <c r="C75" s="388"/>
      <c r="D75" s="388"/>
      <c r="E75" s="388"/>
      <c r="F75" s="388"/>
      <c r="G75" s="388"/>
      <c r="H75" s="388"/>
      <c r="I75" s="388"/>
      <c r="J75" s="388"/>
      <c r="K75" s="388"/>
      <c r="L75" s="388"/>
      <c r="M75" s="388"/>
      <c r="N75" s="388"/>
      <c r="O75" s="388"/>
    </row>
    <row r="76" spans="2:15" x14ac:dyDescent="0.25">
      <c r="B76" s="388"/>
      <c r="C76" s="388"/>
      <c r="D76" s="388"/>
      <c r="E76" s="388"/>
      <c r="F76" s="388"/>
      <c r="G76" s="388"/>
      <c r="H76" s="388"/>
      <c r="I76" s="388"/>
      <c r="J76" s="388"/>
      <c r="K76" s="388"/>
      <c r="L76" s="388"/>
      <c r="M76" s="388"/>
      <c r="N76" s="388"/>
      <c r="O76" s="388"/>
    </row>
    <row r="77" spans="2:15" x14ac:dyDescent="0.25">
      <c r="B77" s="388"/>
      <c r="C77" s="388"/>
      <c r="D77" s="388"/>
      <c r="E77" s="388"/>
      <c r="F77" s="388"/>
      <c r="G77" s="388"/>
      <c r="H77" s="388"/>
      <c r="I77" s="388"/>
      <c r="J77" s="388"/>
      <c r="K77" s="388"/>
      <c r="L77" s="388"/>
      <c r="M77" s="388"/>
      <c r="N77" s="388"/>
      <c r="O77" s="388"/>
    </row>
    <row r="78" spans="2:15" x14ac:dyDescent="0.25">
      <c r="B78" s="388"/>
      <c r="C78" s="388"/>
      <c r="D78" s="388"/>
      <c r="E78" s="388"/>
      <c r="F78" s="388"/>
      <c r="G78" s="388"/>
      <c r="H78" s="388"/>
      <c r="I78" s="388"/>
      <c r="J78" s="388"/>
      <c r="K78" s="388"/>
      <c r="L78" s="388"/>
      <c r="M78" s="388"/>
      <c r="N78" s="388"/>
      <c r="O78" s="388"/>
    </row>
    <row r="79" spans="2:15" x14ac:dyDescent="0.25">
      <c r="B79" s="388"/>
      <c r="C79" s="388"/>
      <c r="D79" s="388"/>
      <c r="E79" s="388"/>
      <c r="F79" s="388"/>
      <c r="G79" s="388"/>
      <c r="H79" s="388"/>
      <c r="I79" s="388"/>
      <c r="J79" s="388"/>
      <c r="K79" s="388"/>
      <c r="L79" s="388"/>
      <c r="M79" s="388"/>
      <c r="N79" s="388"/>
      <c r="O79" s="388"/>
    </row>
    <row r="80" spans="2:15" x14ac:dyDescent="0.25">
      <c r="B80" s="388"/>
      <c r="C80" s="388"/>
      <c r="D80" s="388"/>
      <c r="E80" s="388"/>
      <c r="F80" s="388"/>
      <c r="G80" s="388"/>
      <c r="H80" s="388"/>
      <c r="I80" s="388"/>
      <c r="J80" s="388"/>
      <c r="K80" s="388"/>
      <c r="L80" s="388"/>
      <c r="M80" s="388"/>
      <c r="N80" s="388"/>
      <c r="O80" s="388"/>
    </row>
    <row r="81" spans="2:15" x14ac:dyDescent="0.25">
      <c r="B81" s="388"/>
      <c r="C81" s="388"/>
      <c r="D81" s="388"/>
      <c r="E81" s="388"/>
      <c r="F81" s="388"/>
      <c r="G81" s="388"/>
      <c r="H81" s="388"/>
      <c r="I81" s="388"/>
      <c r="J81" s="388"/>
      <c r="K81" s="388"/>
      <c r="L81" s="388"/>
      <c r="M81" s="388"/>
      <c r="N81" s="388"/>
      <c r="O81" s="388"/>
    </row>
    <row r="82" spans="2:15" x14ac:dyDescent="0.25">
      <c r="B82" s="388"/>
      <c r="C82" s="388"/>
      <c r="D82" s="388"/>
      <c r="E82" s="388"/>
      <c r="F82" s="388"/>
      <c r="G82" s="388"/>
      <c r="H82" s="388"/>
      <c r="I82" s="388"/>
      <c r="J82" s="388"/>
      <c r="K82" s="388"/>
      <c r="L82" s="388"/>
      <c r="M82" s="388"/>
      <c r="N82" s="388"/>
      <c r="O82" s="388"/>
    </row>
    <row r="83" spans="2:15" x14ac:dyDescent="0.25">
      <c r="B83" s="388"/>
      <c r="C83" s="388"/>
      <c r="D83" s="388"/>
      <c r="E83" s="388"/>
      <c r="F83" s="388"/>
      <c r="G83" s="388"/>
      <c r="H83" s="388"/>
      <c r="I83" s="388"/>
      <c r="J83" s="388"/>
      <c r="K83" s="388"/>
      <c r="L83" s="388"/>
      <c r="M83" s="388"/>
      <c r="N83" s="388"/>
      <c r="O83" s="388"/>
    </row>
    <row r="84" spans="2:15" x14ac:dyDescent="0.25">
      <c r="B84" s="388"/>
      <c r="C84" s="388"/>
      <c r="D84" s="388"/>
      <c r="E84" s="388"/>
      <c r="F84" s="388"/>
      <c r="G84" s="388"/>
      <c r="H84" s="388"/>
      <c r="I84" s="388"/>
      <c r="J84" s="388"/>
      <c r="K84" s="388"/>
      <c r="L84" s="388"/>
      <c r="M84" s="388"/>
      <c r="N84" s="388"/>
      <c r="O84" s="388"/>
    </row>
    <row r="85" spans="2:15" x14ac:dyDescent="0.25">
      <c r="B85" s="388"/>
      <c r="C85" s="388"/>
      <c r="D85" s="388"/>
      <c r="E85" s="388"/>
      <c r="F85" s="388"/>
      <c r="G85" s="388"/>
      <c r="H85" s="388"/>
      <c r="I85" s="388"/>
      <c r="J85" s="388"/>
      <c r="K85" s="388"/>
      <c r="L85" s="388"/>
      <c r="M85" s="388"/>
      <c r="N85" s="388"/>
      <c r="O85" s="388"/>
    </row>
    <row r="86" spans="2:15" x14ac:dyDescent="0.25">
      <c r="B86" s="388"/>
      <c r="C86" s="388"/>
      <c r="D86" s="388"/>
      <c r="E86" s="388"/>
      <c r="F86" s="388"/>
      <c r="G86" s="388"/>
      <c r="H86" s="388"/>
      <c r="I86" s="388"/>
      <c r="J86" s="388"/>
      <c r="K86" s="388"/>
      <c r="L86" s="388"/>
      <c r="M86" s="388"/>
      <c r="N86" s="388"/>
      <c r="O86" s="388"/>
    </row>
    <row r="87" spans="2:15" x14ac:dyDescent="0.25">
      <c r="B87" s="388"/>
      <c r="C87" s="388"/>
      <c r="D87" s="388"/>
      <c r="E87" s="388"/>
      <c r="F87" s="388"/>
      <c r="G87" s="388"/>
      <c r="H87" s="388"/>
      <c r="I87" s="388"/>
      <c r="J87" s="388"/>
      <c r="K87" s="388"/>
      <c r="L87" s="388"/>
      <c r="M87" s="388"/>
      <c r="N87" s="388"/>
      <c r="O87" s="388"/>
    </row>
    <row r="88" spans="2:15" x14ac:dyDescent="0.25">
      <c r="B88" s="388"/>
      <c r="C88" s="388"/>
      <c r="D88" s="388"/>
      <c r="E88" s="388"/>
      <c r="F88" s="388"/>
      <c r="G88" s="388"/>
      <c r="H88" s="388"/>
      <c r="I88" s="388"/>
      <c r="J88" s="388"/>
      <c r="K88" s="388"/>
      <c r="L88" s="388"/>
      <c r="M88" s="388"/>
      <c r="N88" s="388"/>
      <c r="O88" s="388"/>
    </row>
    <row r="89" spans="2:15" x14ac:dyDescent="0.25">
      <c r="B89" s="388"/>
      <c r="C89" s="388"/>
      <c r="D89" s="388"/>
      <c r="E89" s="388"/>
      <c r="F89" s="388"/>
      <c r="G89" s="388"/>
      <c r="H89" s="388"/>
      <c r="I89" s="388"/>
      <c r="J89" s="388"/>
      <c r="K89" s="388"/>
      <c r="L89" s="388"/>
      <c r="M89" s="388"/>
      <c r="N89" s="388"/>
      <c r="O89" s="388"/>
    </row>
    <row r="90" spans="2:15" x14ac:dyDescent="0.25">
      <c r="B90" s="388"/>
      <c r="C90" s="388"/>
      <c r="D90" s="388"/>
      <c r="E90" s="388"/>
      <c r="F90" s="388"/>
      <c r="G90" s="388"/>
      <c r="H90" s="388"/>
      <c r="I90" s="388"/>
      <c r="J90" s="388"/>
      <c r="K90" s="388"/>
      <c r="L90" s="388"/>
      <c r="M90" s="388"/>
      <c r="N90" s="388"/>
      <c r="O90" s="388"/>
    </row>
    <row r="91" spans="2:15" x14ac:dyDescent="0.25">
      <c r="B91" s="388"/>
      <c r="C91" s="388"/>
      <c r="D91" s="388"/>
      <c r="E91" s="388"/>
      <c r="F91" s="388"/>
      <c r="G91" s="388"/>
      <c r="H91" s="388"/>
      <c r="I91" s="388"/>
      <c r="J91" s="388"/>
      <c r="K91" s="388"/>
      <c r="L91" s="388"/>
      <c r="M91" s="388"/>
      <c r="N91" s="388"/>
      <c r="O91" s="388"/>
    </row>
    <row r="92" spans="2:15" x14ac:dyDescent="0.25">
      <c r="B92" s="388"/>
      <c r="C92" s="388"/>
      <c r="D92" s="388"/>
      <c r="E92" s="388"/>
      <c r="F92" s="388"/>
      <c r="G92" s="388"/>
      <c r="H92" s="388"/>
      <c r="I92" s="388"/>
      <c r="J92" s="388"/>
      <c r="K92" s="388"/>
      <c r="L92" s="388"/>
      <c r="M92" s="388"/>
      <c r="N92" s="388"/>
      <c r="O92" s="388"/>
    </row>
    <row r="93" spans="2:15" x14ac:dyDescent="0.25">
      <c r="B93" s="388"/>
      <c r="C93" s="388"/>
      <c r="D93" s="388"/>
      <c r="E93" s="388"/>
      <c r="F93" s="388"/>
      <c r="G93" s="388"/>
      <c r="H93" s="388"/>
      <c r="I93" s="388"/>
      <c r="J93" s="388"/>
      <c r="K93" s="388"/>
      <c r="L93" s="388"/>
      <c r="M93" s="388"/>
      <c r="N93" s="388"/>
      <c r="O93" s="388"/>
    </row>
    <row r="94" spans="2:15" x14ac:dyDescent="0.25">
      <c r="B94" s="388"/>
      <c r="C94" s="388"/>
      <c r="D94" s="388"/>
      <c r="E94" s="388"/>
      <c r="F94" s="388"/>
      <c r="G94" s="388"/>
      <c r="H94" s="388"/>
      <c r="I94" s="388"/>
      <c r="J94" s="388"/>
      <c r="K94" s="388"/>
      <c r="L94" s="388"/>
      <c r="M94" s="388"/>
      <c r="N94" s="388"/>
      <c r="O94" s="388"/>
    </row>
    <row r="95" spans="2:15" x14ac:dyDescent="0.25">
      <c r="B95" s="388"/>
      <c r="C95" s="388"/>
      <c r="D95" s="388"/>
      <c r="E95" s="388"/>
      <c r="F95" s="388"/>
      <c r="G95" s="388"/>
      <c r="H95" s="388"/>
      <c r="I95" s="388"/>
      <c r="J95" s="388"/>
      <c r="K95" s="388"/>
      <c r="L95" s="388"/>
      <c r="M95" s="388"/>
      <c r="N95" s="388"/>
      <c r="O95" s="388"/>
    </row>
    <row r="96" spans="2:15" x14ac:dyDescent="0.25">
      <c r="B96" s="388"/>
      <c r="C96" s="388"/>
      <c r="D96" s="388"/>
      <c r="E96" s="388"/>
      <c r="F96" s="388"/>
      <c r="G96" s="388"/>
      <c r="H96" s="388"/>
      <c r="I96" s="388"/>
      <c r="J96" s="388"/>
      <c r="K96" s="388"/>
      <c r="L96" s="388"/>
      <c r="M96" s="388"/>
      <c r="N96" s="388"/>
      <c r="O96" s="388"/>
    </row>
    <row r="97" spans="2:15" x14ac:dyDescent="0.25">
      <c r="B97" s="388"/>
      <c r="C97" s="388"/>
      <c r="D97" s="388"/>
      <c r="E97" s="388"/>
      <c r="F97" s="388"/>
      <c r="G97" s="388"/>
      <c r="H97" s="388"/>
      <c r="I97" s="388"/>
      <c r="J97" s="388"/>
      <c r="K97" s="388"/>
      <c r="L97" s="388"/>
      <c r="M97" s="388"/>
      <c r="N97" s="388"/>
      <c r="O97" s="388"/>
    </row>
    <row r="98" spans="2:15" x14ac:dyDescent="0.25">
      <c r="B98" s="388"/>
      <c r="C98" s="388"/>
      <c r="D98" s="388"/>
      <c r="E98" s="388"/>
      <c r="F98" s="388"/>
      <c r="G98" s="388"/>
      <c r="H98" s="388"/>
      <c r="I98" s="388"/>
      <c r="J98" s="388"/>
      <c r="K98" s="388"/>
      <c r="L98" s="388"/>
      <c r="M98" s="388"/>
      <c r="N98" s="388"/>
      <c r="O98" s="388"/>
    </row>
    <row r="99" spans="2:15" x14ac:dyDescent="0.25">
      <c r="B99" s="388"/>
      <c r="C99" s="388"/>
      <c r="D99" s="388"/>
      <c r="E99" s="388"/>
      <c r="F99" s="388"/>
      <c r="G99" s="388"/>
      <c r="H99" s="388"/>
      <c r="I99" s="388"/>
      <c r="J99" s="388"/>
      <c r="K99" s="388"/>
      <c r="L99" s="388"/>
      <c r="M99" s="388"/>
      <c r="N99" s="388"/>
      <c r="O99" s="388"/>
    </row>
    <row r="100" spans="2:15" x14ac:dyDescent="0.25">
      <c r="B100" s="388"/>
      <c r="C100" s="388"/>
      <c r="D100" s="388"/>
      <c r="E100" s="388"/>
      <c r="F100" s="388"/>
      <c r="G100" s="388"/>
      <c r="H100" s="388"/>
      <c r="I100" s="388"/>
      <c r="J100" s="388"/>
      <c r="K100" s="388"/>
      <c r="L100" s="388"/>
      <c r="M100" s="388"/>
      <c r="N100" s="388"/>
      <c r="O100" s="388"/>
    </row>
    <row r="101" spans="2:15" x14ac:dyDescent="0.25">
      <c r="B101" s="388"/>
      <c r="C101" s="388"/>
      <c r="D101" s="388"/>
      <c r="E101" s="388"/>
      <c r="F101" s="388"/>
      <c r="G101" s="388"/>
      <c r="H101" s="388"/>
      <c r="I101" s="388"/>
      <c r="J101" s="388"/>
      <c r="K101" s="388"/>
      <c r="L101" s="388"/>
      <c r="M101" s="388"/>
      <c r="N101" s="388"/>
      <c r="O101" s="388"/>
    </row>
    <row r="102" spans="2:15" x14ac:dyDescent="0.25">
      <c r="B102" s="388"/>
      <c r="C102" s="388"/>
      <c r="D102" s="388"/>
      <c r="E102" s="388"/>
      <c r="F102" s="388"/>
      <c r="G102" s="388"/>
      <c r="H102" s="388"/>
      <c r="I102" s="388"/>
      <c r="J102" s="388"/>
      <c r="K102" s="388"/>
      <c r="L102" s="388"/>
      <c r="M102" s="388"/>
      <c r="N102" s="388"/>
      <c r="O102" s="388"/>
    </row>
    <row r="103" spans="2:15" x14ac:dyDescent="0.25">
      <c r="B103" s="388"/>
      <c r="C103" s="388"/>
      <c r="D103" s="388"/>
      <c r="E103" s="388"/>
      <c r="F103" s="388"/>
      <c r="G103" s="388"/>
      <c r="H103" s="388"/>
      <c r="I103" s="388"/>
      <c r="J103" s="388"/>
      <c r="K103" s="388"/>
      <c r="L103" s="388"/>
      <c r="M103" s="388"/>
      <c r="N103" s="388"/>
      <c r="O103" s="388"/>
    </row>
    <row r="104" spans="2:15" x14ac:dyDescent="0.25">
      <c r="B104" s="388"/>
      <c r="C104" s="388"/>
      <c r="D104" s="388"/>
      <c r="E104" s="388"/>
      <c r="F104" s="388"/>
      <c r="G104" s="388"/>
      <c r="H104" s="388"/>
      <c r="I104" s="388"/>
      <c r="J104" s="388"/>
      <c r="K104" s="388"/>
      <c r="L104" s="388"/>
      <c r="M104" s="388"/>
      <c r="N104" s="388"/>
      <c r="O104" s="388"/>
    </row>
    <row r="105" spans="2:15" x14ac:dyDescent="0.25">
      <c r="B105" s="388"/>
      <c r="C105" s="388"/>
      <c r="D105" s="388"/>
      <c r="E105" s="388"/>
      <c r="F105" s="388"/>
      <c r="G105" s="388"/>
      <c r="H105" s="388"/>
      <c r="I105" s="388"/>
      <c r="J105" s="388"/>
      <c r="K105" s="388"/>
      <c r="L105" s="388"/>
      <c r="M105" s="388"/>
      <c r="N105" s="388"/>
      <c r="O105" s="388"/>
    </row>
    <row r="106" spans="2:15" x14ac:dyDescent="0.25">
      <c r="B106" s="388"/>
      <c r="C106" s="388"/>
      <c r="D106" s="388"/>
      <c r="E106" s="388"/>
      <c r="F106" s="388"/>
      <c r="G106" s="388"/>
      <c r="H106" s="388"/>
      <c r="I106" s="388"/>
      <c r="J106" s="388"/>
      <c r="K106" s="388"/>
      <c r="L106" s="388"/>
      <c r="M106" s="388"/>
      <c r="N106" s="388"/>
      <c r="O106" s="388"/>
    </row>
    <row r="107" spans="2:15" x14ac:dyDescent="0.25">
      <c r="B107" s="388"/>
      <c r="C107" s="388"/>
      <c r="D107" s="388"/>
      <c r="E107" s="388"/>
      <c r="F107" s="388"/>
      <c r="G107" s="388"/>
      <c r="H107" s="388"/>
      <c r="I107" s="388"/>
      <c r="J107" s="388"/>
      <c r="K107" s="388"/>
      <c r="L107" s="388"/>
      <c r="M107" s="388"/>
      <c r="N107" s="388"/>
      <c r="O107" s="388"/>
    </row>
    <row r="108" spans="2:15" x14ac:dyDescent="0.25">
      <c r="B108" s="388"/>
      <c r="C108" s="388"/>
      <c r="D108" s="388"/>
      <c r="E108" s="388"/>
      <c r="F108" s="388"/>
      <c r="G108" s="388"/>
      <c r="H108" s="388"/>
      <c r="I108" s="388"/>
      <c r="J108" s="388"/>
      <c r="K108" s="388"/>
      <c r="L108" s="388"/>
      <c r="M108" s="388"/>
      <c r="N108" s="388"/>
      <c r="O108" s="388"/>
    </row>
    <row r="109" spans="2:15" x14ac:dyDescent="0.25">
      <c r="B109" s="388"/>
      <c r="C109" s="388"/>
      <c r="D109" s="388"/>
      <c r="E109" s="388"/>
      <c r="F109" s="388"/>
      <c r="G109" s="388"/>
      <c r="H109" s="388"/>
      <c r="I109" s="388"/>
      <c r="J109" s="388"/>
      <c r="K109" s="388"/>
      <c r="L109" s="388"/>
      <c r="M109" s="388"/>
      <c r="N109" s="388"/>
      <c r="O109" s="388"/>
    </row>
    <row r="110" spans="2:15" x14ac:dyDescent="0.25">
      <c r="B110" s="388"/>
      <c r="C110" s="388"/>
      <c r="D110" s="388"/>
      <c r="E110" s="388"/>
      <c r="F110" s="388"/>
      <c r="G110" s="388"/>
      <c r="H110" s="388"/>
      <c r="I110" s="388"/>
      <c r="J110" s="388"/>
      <c r="K110" s="388"/>
      <c r="L110" s="388"/>
      <c r="M110" s="388"/>
      <c r="N110" s="388"/>
      <c r="O110" s="388"/>
    </row>
    <row r="111" spans="2:15" x14ac:dyDescent="0.25">
      <c r="B111" s="388"/>
      <c r="C111" s="388"/>
      <c r="D111" s="388"/>
      <c r="E111" s="388"/>
      <c r="F111" s="388"/>
      <c r="G111" s="388"/>
      <c r="H111" s="388"/>
      <c r="I111" s="388"/>
      <c r="J111" s="388"/>
      <c r="K111" s="388"/>
      <c r="L111" s="388"/>
      <c r="M111" s="388"/>
      <c r="N111" s="388"/>
      <c r="O111" s="388"/>
    </row>
    <row r="112" spans="2:15" x14ac:dyDescent="0.25">
      <c r="B112" s="388"/>
      <c r="C112" s="388"/>
      <c r="D112" s="388"/>
      <c r="E112" s="388"/>
      <c r="F112" s="388"/>
      <c r="G112" s="388"/>
      <c r="H112" s="388"/>
      <c r="I112" s="388"/>
      <c r="J112" s="388"/>
      <c r="K112" s="388"/>
      <c r="L112" s="388"/>
      <c r="M112" s="388"/>
      <c r="N112" s="388"/>
      <c r="O112" s="388"/>
    </row>
    <row r="113" spans="2:15" x14ac:dyDescent="0.25">
      <c r="B113" s="388"/>
      <c r="C113" s="388"/>
      <c r="D113" s="388"/>
      <c r="E113" s="388"/>
      <c r="F113" s="388"/>
      <c r="G113" s="388"/>
      <c r="H113" s="388"/>
      <c r="I113" s="388"/>
      <c r="J113" s="388"/>
      <c r="K113" s="388"/>
      <c r="L113" s="388"/>
      <c r="M113" s="388"/>
      <c r="N113" s="388"/>
      <c r="O113" s="388"/>
    </row>
    <row r="114" spans="2:15" x14ac:dyDescent="0.25">
      <c r="B114" s="388"/>
      <c r="C114" s="388"/>
      <c r="D114" s="388"/>
      <c r="E114" s="388"/>
      <c r="F114" s="388"/>
      <c r="G114" s="388"/>
      <c r="H114" s="388"/>
      <c r="I114" s="388"/>
      <c r="J114" s="388"/>
      <c r="K114" s="388"/>
      <c r="L114" s="388"/>
      <c r="M114" s="388"/>
      <c r="N114" s="388"/>
      <c r="O114" s="388"/>
    </row>
    <row r="115" spans="2:15" x14ac:dyDescent="0.25">
      <c r="B115" s="388"/>
      <c r="C115" s="388"/>
      <c r="D115" s="388"/>
      <c r="E115" s="388"/>
      <c r="F115" s="388"/>
      <c r="G115" s="388"/>
      <c r="H115" s="388"/>
      <c r="I115" s="388"/>
      <c r="J115" s="388"/>
      <c r="K115" s="388"/>
      <c r="L115" s="388"/>
      <c r="M115" s="388"/>
      <c r="N115" s="388"/>
      <c r="O115" s="388"/>
    </row>
    <row r="116" spans="2:15" x14ac:dyDescent="0.25">
      <c r="B116" s="388"/>
      <c r="C116" s="388"/>
      <c r="D116" s="388"/>
      <c r="E116" s="388"/>
      <c r="F116" s="388"/>
      <c r="G116" s="388"/>
      <c r="H116" s="388"/>
      <c r="I116" s="388"/>
      <c r="J116" s="388"/>
      <c r="K116" s="388"/>
      <c r="L116" s="388"/>
      <c r="M116" s="388"/>
      <c r="N116" s="388"/>
      <c r="O116" s="388"/>
    </row>
    <row r="117" spans="2:15" x14ac:dyDescent="0.25">
      <c r="B117" s="388"/>
      <c r="C117" s="388"/>
      <c r="D117" s="388"/>
      <c r="E117" s="388"/>
      <c r="F117" s="388"/>
      <c r="G117" s="388"/>
      <c r="H117" s="388"/>
      <c r="I117" s="388"/>
      <c r="J117" s="388"/>
      <c r="K117" s="388"/>
      <c r="L117" s="388"/>
      <c r="M117" s="388"/>
      <c r="N117" s="388"/>
      <c r="O117" s="388"/>
    </row>
    <row r="118" spans="2:15" x14ac:dyDescent="0.25">
      <c r="B118" s="388"/>
      <c r="C118" s="388"/>
      <c r="D118" s="388"/>
      <c r="E118" s="388"/>
      <c r="F118" s="388"/>
      <c r="G118" s="388"/>
      <c r="H118" s="388"/>
      <c r="I118" s="388"/>
      <c r="J118" s="388"/>
      <c r="K118" s="388"/>
      <c r="L118" s="388"/>
      <c r="M118" s="388"/>
      <c r="N118" s="388"/>
      <c r="O118" s="388"/>
    </row>
    <row r="119" spans="2:15" x14ac:dyDescent="0.25">
      <c r="B119" s="388"/>
      <c r="C119" s="388"/>
      <c r="D119" s="388"/>
      <c r="E119" s="388"/>
      <c r="F119" s="388"/>
      <c r="G119" s="388"/>
      <c r="H119" s="388"/>
      <c r="I119" s="388"/>
      <c r="J119" s="388"/>
      <c r="K119" s="388"/>
      <c r="L119" s="388"/>
      <c r="M119" s="388"/>
      <c r="N119" s="388"/>
      <c r="O119" s="388"/>
    </row>
    <row r="120" spans="2:15" x14ac:dyDescent="0.25">
      <c r="B120" s="388"/>
      <c r="C120" s="388"/>
      <c r="D120" s="388"/>
      <c r="E120" s="388"/>
      <c r="F120" s="388"/>
      <c r="G120" s="388"/>
      <c r="H120" s="388"/>
      <c r="I120" s="388"/>
      <c r="J120" s="388"/>
      <c r="K120" s="388"/>
      <c r="L120" s="388"/>
      <c r="M120" s="388"/>
      <c r="N120" s="388"/>
      <c r="O120" s="388"/>
    </row>
    <row r="121" spans="2:15" x14ac:dyDescent="0.25">
      <c r="B121" s="388"/>
      <c r="C121" s="388"/>
      <c r="D121" s="388"/>
      <c r="E121" s="388"/>
      <c r="F121" s="388"/>
      <c r="G121" s="388"/>
      <c r="H121" s="388"/>
      <c r="I121" s="388"/>
      <c r="J121" s="388"/>
      <c r="K121" s="388"/>
      <c r="L121" s="388"/>
      <c r="M121" s="388"/>
      <c r="N121" s="388"/>
      <c r="O121" s="388"/>
    </row>
    <row r="122" spans="2:15" x14ac:dyDescent="0.25">
      <c r="B122" s="388"/>
      <c r="C122" s="388"/>
      <c r="D122" s="388"/>
      <c r="E122" s="388"/>
      <c r="F122" s="388"/>
      <c r="G122" s="388"/>
      <c r="H122" s="388"/>
      <c r="I122" s="388"/>
      <c r="J122" s="388"/>
      <c r="K122" s="388"/>
      <c r="L122" s="388"/>
      <c r="M122" s="388"/>
      <c r="N122" s="388"/>
      <c r="O122" s="388"/>
    </row>
    <row r="123" spans="2:15" x14ac:dyDescent="0.25">
      <c r="B123" s="338"/>
      <c r="C123" s="338"/>
      <c r="D123" s="338"/>
      <c r="E123" s="338"/>
      <c r="F123" s="338"/>
      <c r="G123" s="338"/>
      <c r="H123" s="338"/>
      <c r="I123" s="338"/>
      <c r="J123" s="338"/>
      <c r="K123" s="338"/>
      <c r="L123" s="338"/>
      <c r="M123" s="338"/>
      <c r="N123" s="338"/>
      <c r="O123" s="338"/>
    </row>
    <row r="124" spans="2:15" x14ac:dyDescent="0.25">
      <c r="B124" s="338"/>
      <c r="C124" s="338"/>
      <c r="D124" s="338"/>
      <c r="E124" s="338"/>
      <c r="F124" s="338"/>
      <c r="G124" s="338"/>
      <c r="H124" s="338"/>
      <c r="I124" s="338"/>
      <c r="J124" s="338"/>
      <c r="K124" s="338"/>
      <c r="L124" s="338"/>
      <c r="M124" s="338"/>
      <c r="N124" s="338"/>
      <c r="O124" s="338"/>
    </row>
    <row r="125" spans="2:15" x14ac:dyDescent="0.25">
      <c r="B125" s="338"/>
      <c r="C125" s="338"/>
      <c r="D125" s="338"/>
      <c r="E125" s="338"/>
      <c r="F125" s="338"/>
      <c r="G125" s="338"/>
      <c r="H125" s="338"/>
      <c r="I125" s="338"/>
      <c r="J125" s="338"/>
      <c r="K125" s="338"/>
      <c r="L125" s="338"/>
      <c r="M125" s="338"/>
      <c r="N125" s="338"/>
      <c r="O125" s="338"/>
    </row>
    <row r="126" spans="2:15" x14ac:dyDescent="0.25">
      <c r="B126" s="338"/>
      <c r="C126" s="338"/>
      <c r="D126" s="338"/>
      <c r="E126" s="338"/>
      <c r="F126" s="338"/>
      <c r="G126" s="338"/>
      <c r="H126" s="338"/>
      <c r="I126" s="338"/>
      <c r="J126" s="338"/>
      <c r="K126" s="338"/>
      <c r="L126" s="338"/>
      <c r="M126" s="338"/>
      <c r="N126" s="338"/>
      <c r="O126" s="338"/>
    </row>
    <row r="127" spans="2:15" x14ac:dyDescent="0.25">
      <c r="B127" s="338"/>
      <c r="C127" s="338"/>
      <c r="D127" s="338"/>
      <c r="E127" s="338"/>
      <c r="F127" s="338"/>
      <c r="G127" s="338"/>
      <c r="H127" s="338"/>
      <c r="I127" s="338"/>
      <c r="J127" s="338"/>
      <c r="K127" s="338"/>
      <c r="L127" s="338"/>
      <c r="M127" s="338"/>
      <c r="N127" s="338"/>
      <c r="O127" s="338"/>
    </row>
    <row r="128" spans="2:15" x14ac:dyDescent="0.25">
      <c r="B128" s="338"/>
      <c r="C128" s="338"/>
      <c r="D128" s="338"/>
      <c r="E128" s="338"/>
      <c r="F128" s="338"/>
      <c r="G128" s="338"/>
      <c r="H128" s="338"/>
      <c r="I128" s="338"/>
      <c r="J128" s="338"/>
      <c r="K128" s="338"/>
      <c r="L128" s="338"/>
      <c r="M128" s="338"/>
      <c r="N128" s="338"/>
      <c r="O128" s="338"/>
    </row>
    <row r="129" spans="2:15" x14ac:dyDescent="0.25">
      <c r="B129" s="338"/>
      <c r="C129" s="338"/>
      <c r="D129" s="338"/>
      <c r="E129" s="338"/>
      <c r="F129" s="338"/>
      <c r="G129" s="338"/>
      <c r="H129" s="338"/>
      <c r="I129" s="338"/>
      <c r="J129" s="338"/>
      <c r="K129" s="338"/>
      <c r="L129" s="338"/>
      <c r="M129" s="338"/>
      <c r="N129" s="338"/>
      <c r="O129" s="338"/>
    </row>
    <row r="130" spans="2:15" x14ac:dyDescent="0.25">
      <c r="B130" s="338"/>
      <c r="C130" s="338"/>
      <c r="D130" s="338"/>
      <c r="E130" s="338"/>
      <c r="F130" s="338"/>
      <c r="G130" s="338"/>
      <c r="H130" s="338"/>
      <c r="I130" s="338"/>
      <c r="J130" s="338"/>
      <c r="K130" s="338"/>
      <c r="L130" s="338"/>
      <c r="M130" s="338"/>
      <c r="N130" s="338"/>
      <c r="O130" s="338"/>
    </row>
    <row r="131" spans="2:15" x14ac:dyDescent="0.25">
      <c r="B131" s="338"/>
      <c r="C131" s="338"/>
      <c r="D131" s="338"/>
      <c r="E131" s="338"/>
      <c r="F131" s="338"/>
      <c r="G131" s="338"/>
      <c r="H131" s="338"/>
      <c r="I131" s="338"/>
      <c r="J131" s="338"/>
      <c r="K131" s="338"/>
      <c r="L131" s="338"/>
      <c r="M131" s="338"/>
      <c r="N131" s="338"/>
      <c r="O131" s="338"/>
    </row>
    <row r="132" spans="2:15" x14ac:dyDescent="0.25">
      <c r="B132" s="338"/>
      <c r="C132" s="338"/>
      <c r="D132" s="338"/>
      <c r="E132" s="338"/>
      <c r="F132" s="338"/>
      <c r="G132" s="338"/>
      <c r="H132" s="338"/>
      <c r="I132" s="338"/>
      <c r="J132" s="338"/>
      <c r="K132" s="338"/>
      <c r="L132" s="338"/>
      <c r="M132" s="338"/>
      <c r="N132" s="338"/>
      <c r="O132" s="338"/>
    </row>
    <row r="133" spans="2:15" x14ac:dyDescent="0.25">
      <c r="B133" s="338"/>
      <c r="C133" s="338"/>
      <c r="D133" s="338"/>
      <c r="E133" s="338"/>
      <c r="F133" s="338"/>
      <c r="G133" s="338"/>
      <c r="H133" s="338"/>
      <c r="I133" s="338"/>
      <c r="J133" s="338"/>
      <c r="K133" s="338"/>
      <c r="L133" s="338"/>
      <c r="M133" s="338"/>
      <c r="N133" s="338"/>
      <c r="O133" s="338"/>
    </row>
    <row r="134" spans="2:15" x14ac:dyDescent="0.25">
      <c r="B134" s="338"/>
      <c r="C134" s="338"/>
      <c r="D134" s="338"/>
      <c r="E134" s="338"/>
      <c r="F134" s="338"/>
      <c r="G134" s="338"/>
      <c r="H134" s="338"/>
      <c r="I134" s="338"/>
      <c r="J134" s="338"/>
      <c r="K134" s="338"/>
      <c r="L134" s="338"/>
      <c r="M134" s="338"/>
      <c r="N134" s="338"/>
      <c r="O134" s="338"/>
    </row>
    <row r="135" spans="2:15" x14ac:dyDescent="0.25">
      <c r="B135" s="338"/>
      <c r="C135" s="338"/>
      <c r="D135" s="338"/>
      <c r="E135" s="338"/>
      <c r="F135" s="338"/>
      <c r="G135" s="338"/>
      <c r="H135" s="338"/>
      <c r="I135" s="338"/>
      <c r="J135" s="338"/>
      <c r="K135" s="338"/>
      <c r="L135" s="338"/>
      <c r="M135" s="338"/>
      <c r="N135" s="338"/>
      <c r="O135" s="338"/>
    </row>
    <row r="136" spans="2:15" x14ac:dyDescent="0.25">
      <c r="B136" s="338"/>
      <c r="C136" s="338"/>
      <c r="D136" s="338"/>
      <c r="E136" s="338"/>
      <c r="F136" s="338"/>
      <c r="G136" s="338"/>
      <c r="H136" s="338"/>
      <c r="I136" s="338"/>
      <c r="J136" s="338"/>
      <c r="K136" s="338"/>
      <c r="L136" s="338"/>
      <c r="M136" s="338"/>
      <c r="N136" s="338"/>
      <c r="O136" s="338"/>
    </row>
    <row r="137" spans="2:15" x14ac:dyDescent="0.25">
      <c r="B137" s="338"/>
      <c r="C137" s="338"/>
      <c r="D137" s="338"/>
      <c r="E137" s="338"/>
      <c r="F137" s="338"/>
      <c r="G137" s="338"/>
      <c r="H137" s="338"/>
      <c r="I137" s="338"/>
      <c r="J137" s="338"/>
      <c r="K137" s="338"/>
      <c r="L137" s="338"/>
      <c r="M137" s="338"/>
      <c r="N137" s="338"/>
      <c r="O137" s="338"/>
    </row>
    <row r="138" spans="2:15" x14ac:dyDescent="0.25">
      <c r="B138" s="338"/>
      <c r="C138" s="338"/>
      <c r="D138" s="338"/>
      <c r="E138" s="338"/>
      <c r="F138" s="338"/>
      <c r="G138" s="338"/>
      <c r="H138" s="338"/>
      <c r="I138" s="338"/>
      <c r="J138" s="338"/>
      <c r="K138" s="338"/>
      <c r="L138" s="338"/>
      <c r="M138" s="338"/>
      <c r="N138" s="338"/>
      <c r="O138" s="338"/>
    </row>
    <row r="139" spans="2:15" x14ac:dyDescent="0.25">
      <c r="B139" s="338"/>
      <c r="C139" s="338"/>
      <c r="D139" s="338"/>
      <c r="E139" s="338"/>
      <c r="F139" s="338"/>
      <c r="G139" s="338"/>
      <c r="H139" s="338"/>
      <c r="I139" s="338"/>
      <c r="J139" s="338"/>
      <c r="K139" s="338"/>
      <c r="L139" s="338"/>
      <c r="M139" s="338"/>
      <c r="N139" s="338"/>
      <c r="O139" s="338"/>
    </row>
    <row r="140" spans="2:15" x14ac:dyDescent="0.25">
      <c r="B140" s="338"/>
      <c r="C140" s="338"/>
      <c r="D140" s="338"/>
      <c r="E140" s="338"/>
      <c r="F140" s="338"/>
      <c r="G140" s="338"/>
      <c r="H140" s="338"/>
      <c r="I140" s="338"/>
      <c r="J140" s="338"/>
      <c r="K140" s="338"/>
      <c r="L140" s="338"/>
      <c r="M140" s="338"/>
      <c r="N140" s="338"/>
      <c r="O140" s="338"/>
    </row>
    <row r="141" spans="2:15" x14ac:dyDescent="0.25">
      <c r="B141" s="338"/>
      <c r="C141" s="338"/>
      <c r="D141" s="338"/>
      <c r="E141" s="338"/>
      <c r="F141" s="338"/>
      <c r="G141" s="338"/>
      <c r="H141" s="338"/>
      <c r="I141" s="338"/>
      <c r="J141" s="338"/>
      <c r="K141" s="338"/>
      <c r="L141" s="338"/>
      <c r="M141" s="338"/>
      <c r="N141" s="338"/>
      <c r="O141" s="338"/>
    </row>
    <row r="142" spans="2:15" x14ac:dyDescent="0.25">
      <c r="B142" s="338"/>
      <c r="C142" s="338"/>
      <c r="D142" s="338"/>
      <c r="E142" s="338"/>
      <c r="F142" s="338"/>
      <c r="G142" s="338"/>
      <c r="H142" s="338"/>
      <c r="I142" s="338"/>
      <c r="J142" s="338"/>
      <c r="K142" s="338"/>
      <c r="L142" s="338"/>
      <c r="M142" s="338"/>
      <c r="N142" s="338"/>
      <c r="O142" s="338"/>
    </row>
    <row r="143" spans="2:15" x14ac:dyDescent="0.25">
      <c r="B143" s="338"/>
      <c r="C143" s="338"/>
      <c r="D143" s="338"/>
      <c r="E143" s="338"/>
      <c r="F143" s="338"/>
      <c r="G143" s="338"/>
      <c r="H143" s="338"/>
      <c r="I143" s="338"/>
      <c r="J143" s="338"/>
      <c r="K143" s="338"/>
      <c r="L143" s="338"/>
      <c r="M143" s="338"/>
      <c r="N143" s="338"/>
      <c r="O143" s="338"/>
    </row>
    <row r="144" spans="2:15" x14ac:dyDescent="0.25">
      <c r="B144" s="338"/>
      <c r="C144" s="338"/>
      <c r="D144" s="338"/>
      <c r="E144" s="338"/>
      <c r="F144" s="338"/>
      <c r="G144" s="338"/>
      <c r="H144" s="338"/>
      <c r="I144" s="338"/>
      <c r="J144" s="338"/>
      <c r="K144" s="338"/>
      <c r="L144" s="338"/>
      <c r="M144" s="338"/>
      <c r="N144" s="338"/>
      <c r="O144" s="338"/>
    </row>
    <row r="145" spans="2:15" x14ac:dyDescent="0.25">
      <c r="B145" s="338"/>
      <c r="C145" s="338"/>
      <c r="D145" s="338"/>
      <c r="E145" s="338"/>
      <c r="F145" s="338"/>
      <c r="G145" s="338"/>
      <c r="H145" s="338"/>
      <c r="I145" s="338"/>
      <c r="J145" s="338"/>
      <c r="K145" s="338"/>
      <c r="L145" s="338"/>
      <c r="M145" s="338"/>
      <c r="N145" s="338"/>
      <c r="O145" s="338"/>
    </row>
    <row r="146" spans="2:15" x14ac:dyDescent="0.25">
      <c r="B146" s="338"/>
      <c r="C146" s="338"/>
      <c r="D146" s="338"/>
      <c r="E146" s="338"/>
      <c r="F146" s="338"/>
      <c r="G146" s="338"/>
      <c r="H146" s="338"/>
      <c r="I146" s="338"/>
      <c r="J146" s="338"/>
      <c r="K146" s="338"/>
      <c r="L146" s="338"/>
      <c r="M146" s="338"/>
      <c r="N146" s="338"/>
      <c r="O146" s="338"/>
    </row>
    <row r="147" spans="2:15" x14ac:dyDescent="0.25">
      <c r="B147" s="338"/>
      <c r="C147" s="338"/>
      <c r="D147" s="338"/>
      <c r="E147" s="338"/>
      <c r="F147" s="338"/>
      <c r="G147" s="338"/>
      <c r="H147" s="338"/>
      <c r="I147" s="338"/>
      <c r="J147" s="338"/>
      <c r="K147" s="338"/>
      <c r="L147" s="338"/>
      <c r="M147" s="338"/>
      <c r="N147" s="338"/>
      <c r="O147" s="338"/>
    </row>
    <row r="148" spans="2:15" x14ac:dyDescent="0.25">
      <c r="B148" s="338"/>
      <c r="C148" s="338"/>
      <c r="D148" s="338"/>
      <c r="E148" s="338"/>
      <c r="F148" s="338"/>
      <c r="G148" s="338"/>
      <c r="H148" s="338"/>
      <c r="I148" s="338"/>
      <c r="J148" s="338"/>
      <c r="K148" s="338"/>
      <c r="L148" s="338"/>
      <c r="M148" s="338"/>
      <c r="N148" s="338"/>
      <c r="O148" s="338"/>
    </row>
    <row r="149" spans="2:15" x14ac:dyDescent="0.25">
      <c r="B149" s="338"/>
      <c r="C149" s="338"/>
      <c r="D149" s="338"/>
      <c r="E149" s="338"/>
      <c r="F149" s="338"/>
      <c r="G149" s="338"/>
      <c r="H149" s="338"/>
      <c r="I149" s="338"/>
      <c r="J149" s="338"/>
      <c r="K149" s="338"/>
      <c r="L149" s="338"/>
      <c r="M149" s="338"/>
      <c r="N149" s="338"/>
      <c r="O149" s="338"/>
    </row>
    <row r="150" spans="2:15" x14ac:dyDescent="0.25">
      <c r="B150" s="338"/>
      <c r="C150" s="338"/>
      <c r="D150" s="338"/>
      <c r="E150" s="338"/>
      <c r="F150" s="338"/>
      <c r="G150" s="338"/>
      <c r="H150" s="338"/>
      <c r="I150" s="338"/>
      <c r="J150" s="338"/>
      <c r="K150" s="338"/>
      <c r="L150" s="338"/>
      <c r="M150" s="338"/>
      <c r="N150" s="338"/>
      <c r="O150" s="338"/>
    </row>
    <row r="151" spans="2:15" x14ac:dyDescent="0.25">
      <c r="B151" s="338"/>
      <c r="C151" s="338"/>
      <c r="D151" s="338"/>
      <c r="E151" s="338"/>
      <c r="F151" s="338"/>
      <c r="G151" s="338"/>
      <c r="H151" s="338"/>
      <c r="I151" s="338"/>
      <c r="J151" s="338"/>
      <c r="K151" s="338"/>
      <c r="L151" s="338"/>
      <c r="M151" s="338"/>
      <c r="N151" s="338"/>
      <c r="O151" s="338"/>
    </row>
    <row r="152" spans="2:15" x14ac:dyDescent="0.25">
      <c r="B152" s="338"/>
      <c r="C152" s="338"/>
      <c r="D152" s="338"/>
      <c r="E152" s="338"/>
      <c r="F152" s="338"/>
      <c r="G152" s="338"/>
      <c r="H152" s="338"/>
      <c r="I152" s="338"/>
      <c r="J152" s="338"/>
      <c r="K152" s="338"/>
      <c r="L152" s="338"/>
      <c r="M152" s="338"/>
      <c r="N152" s="338"/>
      <c r="O152" s="338"/>
    </row>
    <row r="153" spans="2:15" x14ac:dyDescent="0.25">
      <c r="B153" s="338"/>
      <c r="C153" s="338"/>
      <c r="D153" s="338"/>
      <c r="E153" s="338"/>
      <c r="F153" s="338"/>
      <c r="G153" s="338"/>
      <c r="H153" s="338"/>
      <c r="I153" s="338"/>
      <c r="J153" s="338"/>
      <c r="K153" s="338"/>
      <c r="L153" s="338"/>
      <c r="M153" s="338"/>
      <c r="N153" s="338"/>
      <c r="O153" s="338"/>
    </row>
    <row r="154" spans="2:15" x14ac:dyDescent="0.25">
      <c r="B154" s="338"/>
      <c r="C154" s="338"/>
      <c r="D154" s="338"/>
      <c r="E154" s="338"/>
      <c r="F154" s="338"/>
      <c r="G154" s="338"/>
      <c r="H154" s="338"/>
      <c r="I154" s="338"/>
      <c r="J154" s="338"/>
      <c r="K154" s="338"/>
      <c r="L154" s="338"/>
      <c r="M154" s="338"/>
      <c r="N154" s="338"/>
      <c r="O154" s="338"/>
    </row>
    <row r="155" spans="2:15" x14ac:dyDescent="0.25">
      <c r="B155" s="338"/>
      <c r="C155" s="338"/>
      <c r="D155" s="338"/>
      <c r="E155" s="338"/>
      <c r="F155" s="338"/>
      <c r="G155" s="338"/>
      <c r="H155" s="338"/>
      <c r="I155" s="338"/>
      <c r="J155" s="338"/>
      <c r="K155" s="338"/>
      <c r="L155" s="338"/>
      <c r="M155" s="338"/>
      <c r="N155" s="338"/>
      <c r="O155" s="338"/>
    </row>
    <row r="156" spans="2:15" x14ac:dyDescent="0.25">
      <c r="B156" s="338"/>
      <c r="C156" s="338"/>
      <c r="D156" s="338"/>
      <c r="E156" s="338"/>
      <c r="F156" s="338"/>
      <c r="G156" s="338"/>
      <c r="H156" s="338"/>
      <c r="I156" s="338"/>
      <c r="J156" s="338"/>
      <c r="K156" s="338"/>
      <c r="L156" s="338"/>
      <c r="M156" s="338"/>
      <c r="N156" s="338"/>
      <c r="O156" s="338"/>
    </row>
    <row r="157" spans="2:15" x14ac:dyDescent="0.25">
      <c r="B157" s="338"/>
      <c r="C157" s="338"/>
      <c r="D157" s="338"/>
      <c r="E157" s="338"/>
      <c r="F157" s="338"/>
      <c r="G157" s="338"/>
      <c r="H157" s="338"/>
      <c r="I157" s="338"/>
      <c r="J157" s="338"/>
      <c r="K157" s="338"/>
      <c r="L157" s="338"/>
      <c r="M157" s="338"/>
      <c r="N157" s="338"/>
      <c r="O157" s="338"/>
    </row>
    <row r="158" spans="2:15" x14ac:dyDescent="0.25">
      <c r="B158" s="338"/>
      <c r="C158" s="338"/>
      <c r="D158" s="338"/>
      <c r="E158" s="338"/>
      <c r="F158" s="338"/>
      <c r="G158" s="338"/>
      <c r="H158" s="338"/>
      <c r="I158" s="338"/>
      <c r="J158" s="338"/>
      <c r="K158" s="338"/>
      <c r="L158" s="338"/>
      <c r="M158" s="338"/>
      <c r="N158" s="338"/>
      <c r="O158" s="338"/>
    </row>
    <row r="159" spans="2:15" x14ac:dyDescent="0.25">
      <c r="B159" s="338"/>
      <c r="C159" s="338"/>
      <c r="D159" s="338"/>
      <c r="E159" s="338"/>
      <c r="F159" s="338"/>
      <c r="G159" s="338"/>
      <c r="H159" s="338"/>
      <c r="I159" s="338"/>
      <c r="J159" s="338"/>
      <c r="K159" s="338"/>
      <c r="L159" s="338"/>
      <c r="M159" s="338"/>
      <c r="N159" s="338"/>
      <c r="O159" s="338"/>
    </row>
    <row r="160" spans="2:15" x14ac:dyDescent="0.25">
      <c r="B160" s="338"/>
      <c r="C160" s="338"/>
      <c r="D160" s="338"/>
      <c r="E160" s="338"/>
      <c r="F160" s="338"/>
      <c r="G160" s="338"/>
      <c r="H160" s="338"/>
      <c r="I160" s="338"/>
      <c r="J160" s="338"/>
      <c r="K160" s="338"/>
      <c r="L160" s="338"/>
      <c r="M160" s="338"/>
      <c r="N160" s="338"/>
      <c r="O160" s="338"/>
    </row>
    <row r="161" spans="2:15" x14ac:dyDescent="0.25">
      <c r="B161" s="338"/>
      <c r="C161" s="338"/>
      <c r="D161" s="338"/>
      <c r="E161" s="338"/>
      <c r="F161" s="338"/>
      <c r="G161" s="338"/>
      <c r="H161" s="338"/>
      <c r="I161" s="338"/>
      <c r="J161" s="338"/>
      <c r="K161" s="338"/>
      <c r="L161" s="338"/>
      <c r="M161" s="338"/>
      <c r="N161" s="338"/>
      <c r="O161" s="338"/>
    </row>
    <row r="162" spans="2:15" x14ac:dyDescent="0.25">
      <c r="B162" s="338"/>
      <c r="C162" s="338"/>
      <c r="D162" s="338"/>
      <c r="E162" s="338"/>
      <c r="F162" s="338"/>
      <c r="G162" s="338"/>
      <c r="H162" s="338"/>
      <c r="I162" s="338"/>
      <c r="J162" s="338"/>
      <c r="K162" s="338"/>
      <c r="L162" s="338"/>
      <c r="M162" s="338"/>
      <c r="N162" s="338"/>
      <c r="O162" s="338"/>
    </row>
    <row r="163" spans="2:15" x14ac:dyDescent="0.25">
      <c r="B163" s="338"/>
      <c r="C163" s="338"/>
      <c r="D163" s="338"/>
      <c r="E163" s="338"/>
      <c r="F163" s="338"/>
      <c r="G163" s="338"/>
      <c r="H163" s="338"/>
      <c r="I163" s="338"/>
      <c r="J163" s="338"/>
      <c r="K163" s="338"/>
      <c r="L163" s="338"/>
      <c r="M163" s="338"/>
      <c r="N163" s="338"/>
      <c r="O163" s="338"/>
    </row>
    <row r="164" spans="2:15" x14ac:dyDescent="0.25">
      <c r="B164" s="338"/>
      <c r="C164" s="338"/>
      <c r="D164" s="338"/>
      <c r="E164" s="338"/>
      <c r="F164" s="338"/>
      <c r="G164" s="338"/>
      <c r="H164" s="338"/>
      <c r="I164" s="338"/>
      <c r="J164" s="338"/>
      <c r="K164" s="338"/>
      <c r="L164" s="338"/>
      <c r="M164" s="338"/>
      <c r="N164" s="338"/>
      <c r="O164" s="338"/>
    </row>
    <row r="165" spans="2:15" x14ac:dyDescent="0.25">
      <c r="B165" s="338"/>
      <c r="C165" s="338"/>
      <c r="D165" s="338"/>
      <c r="E165" s="338"/>
      <c r="F165" s="338"/>
      <c r="G165" s="338"/>
      <c r="H165" s="338"/>
      <c r="I165" s="338"/>
      <c r="J165" s="338"/>
      <c r="K165" s="338"/>
      <c r="L165" s="338"/>
      <c r="M165" s="338"/>
      <c r="N165" s="338"/>
      <c r="O165" s="338"/>
    </row>
    <row r="166" spans="2:15" x14ac:dyDescent="0.25">
      <c r="B166" s="338"/>
      <c r="C166" s="338"/>
      <c r="D166" s="338"/>
      <c r="E166" s="338"/>
      <c r="F166" s="338"/>
      <c r="G166" s="338"/>
      <c r="H166" s="338"/>
      <c r="I166" s="338"/>
      <c r="J166" s="338"/>
      <c r="K166" s="338"/>
      <c r="L166" s="338"/>
      <c r="M166" s="338"/>
      <c r="N166" s="338"/>
      <c r="O166" s="338"/>
    </row>
    <row r="167" spans="2:15" x14ac:dyDescent="0.25">
      <c r="B167" s="338"/>
      <c r="C167" s="338"/>
      <c r="D167" s="338"/>
      <c r="E167" s="338"/>
      <c r="F167" s="338"/>
      <c r="G167" s="338"/>
      <c r="H167" s="338"/>
      <c r="I167" s="338"/>
      <c r="J167" s="338"/>
      <c r="K167" s="338"/>
      <c r="L167" s="338"/>
      <c r="M167" s="338"/>
      <c r="N167" s="338"/>
      <c r="O167" s="338"/>
    </row>
    <row r="168" spans="2:15" x14ac:dyDescent="0.25">
      <c r="B168" s="338"/>
      <c r="C168" s="338"/>
      <c r="D168" s="338"/>
      <c r="E168" s="338"/>
      <c r="F168" s="338"/>
      <c r="G168" s="338"/>
      <c r="H168" s="338"/>
      <c r="I168" s="338"/>
      <c r="J168" s="338"/>
      <c r="K168" s="338"/>
      <c r="L168" s="338"/>
      <c r="M168" s="338"/>
      <c r="N168" s="338"/>
      <c r="O168" s="338"/>
    </row>
    <row r="169" spans="2:15" x14ac:dyDescent="0.25">
      <c r="B169" s="338"/>
      <c r="C169" s="338"/>
      <c r="D169" s="338"/>
      <c r="E169" s="338"/>
      <c r="F169" s="338"/>
      <c r="G169" s="338"/>
      <c r="H169" s="338"/>
      <c r="I169" s="338"/>
      <c r="J169" s="338"/>
      <c r="K169" s="338"/>
      <c r="L169" s="338"/>
      <c r="M169" s="338"/>
      <c r="N169" s="338"/>
      <c r="O169" s="338"/>
    </row>
    <row r="170" spans="2:15" x14ac:dyDescent="0.25">
      <c r="B170" s="338"/>
      <c r="C170" s="338"/>
      <c r="D170" s="338"/>
      <c r="E170" s="338"/>
      <c r="F170" s="338"/>
      <c r="G170" s="338"/>
      <c r="H170" s="338"/>
      <c r="I170" s="338"/>
      <c r="J170" s="338"/>
      <c r="K170" s="338"/>
      <c r="L170" s="338"/>
      <c r="M170" s="338"/>
      <c r="N170" s="338"/>
      <c r="O170" s="338"/>
    </row>
    <row r="171" spans="2:15" x14ac:dyDescent="0.25">
      <c r="B171" s="338"/>
      <c r="C171" s="338"/>
      <c r="D171" s="338"/>
      <c r="E171" s="338"/>
      <c r="F171" s="338"/>
      <c r="G171" s="338"/>
      <c r="H171" s="338"/>
      <c r="I171" s="338"/>
      <c r="J171" s="338"/>
      <c r="K171" s="338"/>
      <c r="L171" s="338"/>
      <c r="M171" s="338"/>
      <c r="N171" s="338"/>
      <c r="O171" s="338"/>
    </row>
    <row r="172" spans="2:15" x14ac:dyDescent="0.25">
      <c r="B172" s="338"/>
      <c r="C172" s="338"/>
      <c r="D172" s="338"/>
      <c r="E172" s="338"/>
      <c r="F172" s="338"/>
      <c r="G172" s="338"/>
      <c r="H172" s="338"/>
      <c r="I172" s="338"/>
      <c r="J172" s="338"/>
      <c r="K172" s="338"/>
      <c r="L172" s="338"/>
      <c r="M172" s="338"/>
      <c r="N172" s="338"/>
      <c r="O172" s="338"/>
    </row>
    <row r="173" spans="2:15" x14ac:dyDescent="0.25">
      <c r="B173" s="338"/>
      <c r="C173" s="338"/>
      <c r="D173" s="338"/>
      <c r="E173" s="338"/>
      <c r="F173" s="338"/>
      <c r="G173" s="338"/>
      <c r="H173" s="338"/>
      <c r="I173" s="338"/>
      <c r="J173" s="338"/>
      <c r="K173" s="338"/>
      <c r="L173" s="338"/>
      <c r="M173" s="338"/>
      <c r="N173" s="338"/>
      <c r="O173" s="338"/>
    </row>
    <row r="174" spans="2:15" x14ac:dyDescent="0.25">
      <c r="B174" s="338"/>
      <c r="C174" s="338"/>
      <c r="D174" s="338"/>
      <c r="E174" s="338"/>
      <c r="F174" s="338"/>
      <c r="G174" s="338"/>
      <c r="H174" s="338"/>
      <c r="I174" s="338"/>
      <c r="J174" s="338"/>
      <c r="K174" s="338"/>
      <c r="L174" s="338"/>
      <c r="M174" s="338"/>
      <c r="N174" s="338"/>
      <c r="O174" s="338"/>
    </row>
    <row r="175" spans="2:15" x14ac:dyDescent="0.25">
      <c r="B175" s="338"/>
      <c r="C175" s="338"/>
      <c r="D175" s="338"/>
      <c r="E175" s="338"/>
      <c r="F175" s="338"/>
      <c r="G175" s="338"/>
      <c r="H175" s="338"/>
      <c r="I175" s="338"/>
      <c r="J175" s="338"/>
      <c r="K175" s="338"/>
      <c r="L175" s="338"/>
      <c r="M175" s="338"/>
      <c r="N175" s="338"/>
      <c r="O175" s="338"/>
    </row>
    <row r="176" spans="2:15" x14ac:dyDescent="0.25">
      <c r="B176" s="338"/>
      <c r="C176" s="338"/>
      <c r="D176" s="338"/>
      <c r="E176" s="338"/>
      <c r="F176" s="338"/>
      <c r="G176" s="338"/>
      <c r="H176" s="338"/>
      <c r="I176" s="338"/>
      <c r="J176" s="338"/>
      <c r="K176" s="338"/>
      <c r="L176" s="338"/>
      <c r="M176" s="338"/>
      <c r="N176" s="338"/>
      <c r="O176" s="338"/>
    </row>
    <row r="177" spans="2:15" x14ac:dyDescent="0.25">
      <c r="B177" s="338"/>
      <c r="C177" s="338"/>
      <c r="D177" s="338"/>
      <c r="E177" s="338"/>
      <c r="F177" s="338"/>
      <c r="G177" s="338"/>
      <c r="H177" s="338"/>
      <c r="I177" s="338"/>
      <c r="J177" s="338"/>
      <c r="K177" s="338"/>
      <c r="L177" s="338"/>
      <c r="M177" s="338"/>
      <c r="N177" s="338"/>
      <c r="O177" s="338"/>
    </row>
    <row r="178" spans="2:15" x14ac:dyDescent="0.25">
      <c r="B178" s="338"/>
      <c r="C178" s="338"/>
      <c r="D178" s="338"/>
      <c r="E178" s="338"/>
      <c r="F178" s="338"/>
      <c r="G178" s="338"/>
      <c r="H178" s="338"/>
      <c r="I178" s="338"/>
      <c r="J178" s="338"/>
      <c r="K178" s="338"/>
      <c r="L178" s="338"/>
      <c r="M178" s="338"/>
      <c r="N178" s="338"/>
      <c r="O178" s="338"/>
    </row>
    <row r="179" spans="2:15" x14ac:dyDescent="0.25">
      <c r="B179" s="338"/>
      <c r="C179" s="338"/>
      <c r="D179" s="338"/>
      <c r="E179" s="338"/>
      <c r="F179" s="338"/>
      <c r="G179" s="338"/>
      <c r="H179" s="338"/>
      <c r="I179" s="338"/>
      <c r="J179" s="338"/>
      <c r="K179" s="338"/>
      <c r="L179" s="338"/>
      <c r="M179" s="338"/>
      <c r="N179" s="338"/>
      <c r="O179" s="338"/>
    </row>
    <row r="180" spans="2:15" x14ac:dyDescent="0.25">
      <c r="B180" s="338"/>
      <c r="C180" s="338"/>
      <c r="D180" s="338"/>
      <c r="E180" s="338"/>
      <c r="F180" s="338"/>
      <c r="G180" s="338"/>
      <c r="H180" s="338"/>
      <c r="I180" s="338"/>
      <c r="J180" s="338"/>
      <c r="K180" s="338"/>
      <c r="L180" s="338"/>
      <c r="M180" s="338"/>
      <c r="N180" s="338"/>
      <c r="O180" s="338"/>
    </row>
    <row r="181" spans="2:15" x14ac:dyDescent="0.25">
      <c r="B181" s="338"/>
      <c r="C181" s="338"/>
      <c r="D181" s="338"/>
      <c r="E181" s="338"/>
      <c r="F181" s="338"/>
      <c r="G181" s="338"/>
      <c r="H181" s="338"/>
      <c r="I181" s="338"/>
      <c r="J181" s="338"/>
      <c r="K181" s="338"/>
      <c r="L181" s="338"/>
      <c r="M181" s="338"/>
      <c r="N181" s="338"/>
      <c r="O181" s="338"/>
    </row>
    <row r="182" spans="2:15" x14ac:dyDescent="0.25">
      <c r="B182" s="338"/>
      <c r="C182" s="338"/>
      <c r="D182" s="338"/>
      <c r="E182" s="338"/>
      <c r="F182" s="338"/>
      <c r="G182" s="338"/>
      <c r="H182" s="338"/>
      <c r="I182" s="338"/>
      <c r="J182" s="338"/>
      <c r="K182" s="338"/>
      <c r="L182" s="338"/>
      <c r="M182" s="338"/>
      <c r="N182" s="338"/>
      <c r="O182" s="338"/>
    </row>
    <row r="183" spans="2:15" x14ac:dyDescent="0.25">
      <c r="B183" s="338"/>
      <c r="C183" s="338"/>
      <c r="D183" s="338"/>
      <c r="E183" s="338"/>
      <c r="F183" s="338"/>
      <c r="G183" s="338"/>
      <c r="H183" s="338"/>
      <c r="I183" s="338"/>
      <c r="J183" s="338"/>
      <c r="K183" s="338"/>
      <c r="L183" s="338"/>
      <c r="M183" s="338"/>
      <c r="N183" s="338"/>
      <c r="O183" s="338"/>
    </row>
    <row r="184" spans="2:15" x14ac:dyDescent="0.25">
      <c r="B184" s="338"/>
      <c r="C184" s="338"/>
      <c r="D184" s="338"/>
      <c r="E184" s="338"/>
      <c r="F184" s="338"/>
      <c r="G184" s="338"/>
      <c r="H184" s="338"/>
      <c r="I184" s="338"/>
      <c r="J184" s="338"/>
      <c r="K184" s="338"/>
      <c r="L184" s="338"/>
      <c r="M184" s="338"/>
      <c r="N184" s="338"/>
      <c r="O184" s="338"/>
    </row>
    <row r="185" spans="2:15" x14ac:dyDescent="0.25">
      <c r="B185" s="338"/>
      <c r="C185" s="338"/>
      <c r="D185" s="338"/>
      <c r="E185" s="338"/>
      <c r="F185" s="338"/>
      <c r="G185" s="338"/>
      <c r="H185" s="338"/>
      <c r="I185" s="338"/>
      <c r="J185" s="338"/>
      <c r="K185" s="338"/>
      <c r="L185" s="338"/>
      <c r="M185" s="338"/>
      <c r="N185" s="338"/>
      <c r="O185" s="338"/>
    </row>
    <row r="186" spans="2:15" x14ac:dyDescent="0.25">
      <c r="B186" s="338"/>
      <c r="C186" s="338"/>
      <c r="D186" s="338"/>
      <c r="E186" s="338"/>
      <c r="F186" s="338"/>
      <c r="G186" s="338"/>
      <c r="H186" s="338"/>
      <c r="I186" s="338"/>
      <c r="J186" s="338"/>
      <c r="K186" s="338"/>
      <c r="L186" s="338"/>
      <c r="M186" s="338"/>
      <c r="N186" s="338"/>
      <c r="O186" s="338"/>
    </row>
    <row r="187" spans="2:15" x14ac:dyDescent="0.25">
      <c r="B187" s="338"/>
      <c r="C187" s="338"/>
      <c r="D187" s="338"/>
      <c r="E187" s="338"/>
      <c r="F187" s="338"/>
      <c r="G187" s="338"/>
      <c r="H187" s="338"/>
      <c r="I187" s="338"/>
      <c r="J187" s="338"/>
      <c r="K187" s="338"/>
      <c r="L187" s="338"/>
      <c r="M187" s="338"/>
      <c r="N187" s="338"/>
      <c r="O187" s="338"/>
    </row>
    <row r="188" spans="2:15" x14ac:dyDescent="0.25">
      <c r="B188" s="338"/>
      <c r="C188" s="338"/>
      <c r="D188" s="338"/>
      <c r="E188" s="338"/>
      <c r="F188" s="338"/>
      <c r="G188" s="338"/>
      <c r="H188" s="338"/>
      <c r="I188" s="338"/>
      <c r="J188" s="338"/>
      <c r="K188" s="338"/>
      <c r="L188" s="338"/>
      <c r="M188" s="338"/>
      <c r="N188" s="338"/>
      <c r="O188" s="338"/>
    </row>
    <row r="189" spans="2:15" x14ac:dyDescent="0.25">
      <c r="B189" s="338"/>
      <c r="C189" s="338"/>
      <c r="D189" s="338"/>
      <c r="E189" s="338"/>
      <c r="F189" s="338"/>
      <c r="G189" s="338"/>
      <c r="H189" s="338"/>
      <c r="I189" s="338"/>
      <c r="J189" s="338"/>
      <c r="K189" s="338"/>
      <c r="L189" s="338"/>
      <c r="M189" s="338"/>
      <c r="N189" s="338"/>
      <c r="O189" s="338"/>
    </row>
    <row r="190" spans="2:15" x14ac:dyDescent="0.25">
      <c r="B190" s="338"/>
      <c r="C190" s="338"/>
      <c r="D190" s="338"/>
      <c r="E190" s="338"/>
      <c r="F190" s="338"/>
      <c r="G190" s="338"/>
      <c r="H190" s="338"/>
      <c r="I190" s="338"/>
      <c r="J190" s="338"/>
      <c r="K190" s="338"/>
      <c r="L190" s="338"/>
      <c r="M190" s="338"/>
      <c r="N190" s="338"/>
      <c r="O190" s="338"/>
    </row>
    <row r="191" spans="2:15" x14ac:dyDescent="0.25">
      <c r="B191" s="338"/>
      <c r="C191" s="338"/>
      <c r="D191" s="338"/>
      <c r="E191" s="338"/>
      <c r="F191" s="338"/>
      <c r="G191" s="338"/>
      <c r="H191" s="338"/>
      <c r="I191" s="338"/>
      <c r="J191" s="338"/>
      <c r="K191" s="338"/>
      <c r="L191" s="338"/>
      <c r="M191" s="338"/>
      <c r="N191" s="338"/>
      <c r="O191" s="338"/>
    </row>
    <row r="192" spans="2:15" x14ac:dyDescent="0.25">
      <c r="B192" s="338"/>
      <c r="C192" s="338"/>
      <c r="D192" s="338"/>
      <c r="E192" s="338"/>
      <c r="F192" s="338"/>
      <c r="G192" s="338"/>
      <c r="H192" s="338"/>
      <c r="I192" s="338"/>
      <c r="J192" s="338"/>
      <c r="K192" s="338"/>
      <c r="L192" s="338"/>
      <c r="M192" s="338"/>
      <c r="N192" s="338"/>
      <c r="O192" s="338"/>
    </row>
    <row r="193" spans="2:15" x14ac:dyDescent="0.25">
      <c r="B193" s="338"/>
      <c r="C193" s="338"/>
      <c r="D193" s="338"/>
      <c r="E193" s="338"/>
      <c r="F193" s="338"/>
      <c r="G193" s="338"/>
      <c r="H193" s="338"/>
      <c r="I193" s="338"/>
      <c r="J193" s="338"/>
      <c r="K193" s="338"/>
      <c r="L193" s="338"/>
      <c r="M193" s="338"/>
      <c r="N193" s="338"/>
      <c r="O193" s="338"/>
    </row>
  </sheetData>
  <sheetProtection algorithmName="SHA-512" hashValue="XgtO+SYQFD7uEHUuZbF+SsVssk8jNT/ssjl/AEJao02rPBDt+dhP03wRcCEkjXgoW8XDOyrySsdro6Tp+ErbOg==" saltValue="FgLhk8tJ2U473ZwyJHN2hA==" spinCount="100000" sheet="1" objects="1" scenarios="1"/>
  <mergeCells count="2">
    <mergeCell ref="B58:O122"/>
    <mergeCell ref="B10:O26"/>
  </mergeCells>
  <pageMargins left="0.25" right="0.25" top="0.75" bottom="0.75" header="0.3" footer="0.3"/>
  <pageSetup paperSize="9" scale="4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theme="6" tint="0.39997558519241921"/>
  </sheetPr>
  <dimension ref="A1:AK55"/>
  <sheetViews>
    <sheetView workbookViewId="0">
      <selection activeCell="N38" sqref="N38"/>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9" width="5.1093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5" style="21" customWidth="1"/>
    <col min="17" max="18" width="4.6640625" style="21" customWidth="1"/>
    <col min="19" max="19" width="7" style="21" bestFit="1" customWidth="1"/>
    <col min="20" max="20" width="4.88671875" style="21" bestFit="1" customWidth="1"/>
    <col min="21" max="21" width="6.55468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133</v>
      </c>
      <c r="D2" s="444"/>
      <c r="F2" s="137" t="s">
        <v>135</v>
      </c>
      <c r="G2" s="138"/>
      <c r="H2" s="138"/>
      <c r="I2" s="139"/>
      <c r="J2" s="140"/>
      <c r="K2" s="445" t="s">
        <v>137</v>
      </c>
      <c r="L2" s="443"/>
      <c r="M2" s="443"/>
      <c r="N2" s="446"/>
      <c r="P2" s="141" t="s">
        <v>136</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64"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6</v>
      </c>
      <c r="F6" s="128">
        <v>923</v>
      </c>
      <c r="G6" s="129">
        <v>9.7188585869221864</v>
      </c>
      <c r="H6" s="129">
        <v>9.1392973621764142</v>
      </c>
      <c r="I6" s="129">
        <v>10.33099342036558</v>
      </c>
      <c r="J6" s="129"/>
      <c r="K6" s="129"/>
      <c r="L6" s="129"/>
      <c r="M6" s="60">
        <f t="shared" ref="M6:M11" si="0">IF($C$2="Significance not measured",6,IF(AND($C$2="Better / Worse",$K$2="Low = Worst",I6&lt;Q6),1,IF(AND($C$2="Better / Worse",$K$2="Low = Worst",H6&gt;R6),2,IF(AND($C$2="Better / Worse",$K$2="High = Worst",I6&lt;Q6),2,IF(AND($C$2="Better / Worse",$K$2="High = Worst",H6&gt;R6),1,IF(AND($C$2="Higher / Lower",I6&lt;Q6),3,IF(AND($C$2="Higher / Lower",H6&gt;R6),4,5)))))))</f>
        <v>3</v>
      </c>
      <c r="N6" s="61">
        <f>MIN($G$6:$G$32)</f>
        <v>1.2440291848196945</v>
      </c>
      <c r="O6" s="61">
        <f>VLOOKUP(7,$E$5:$G$39,3,FALSE)</f>
        <v>10.094212651413191</v>
      </c>
      <c r="P6" s="129">
        <f>$G$32</f>
        <v>12.934784109581475</v>
      </c>
      <c r="Q6" s="129">
        <f>$H$32</f>
        <v>12.813070780813593</v>
      </c>
      <c r="R6" s="129">
        <f>$I$32</f>
        <v>13.057480458553494</v>
      </c>
      <c r="S6" s="61">
        <f>VLOOKUP(20,$E$5:$G$39,3,FALSE)</f>
        <v>17.506211881635419</v>
      </c>
      <c r="T6" s="61">
        <f t="shared" ref="T6:T14" si="1">MAX($G$6:$G$31)</f>
        <v>20.986823122054439</v>
      </c>
      <c r="U6" s="61">
        <f>VLOOKUP(C6,$C$43:$I$46,5,FALSE)</f>
        <v>7.9910820169821166</v>
      </c>
      <c r="V6" s="61"/>
      <c r="Y6" s="159" t="s">
        <v>33</v>
      </c>
      <c r="Z6" s="159" t="s">
        <v>58</v>
      </c>
      <c r="AA6" s="159" t="s">
        <v>163</v>
      </c>
      <c r="AB6" s="159">
        <f t="shared" ref="AB6:AB11" si="2">RANK(AH6,$AH$6:$AH$13,1)</f>
        <v>1</v>
      </c>
      <c r="AC6" s="164">
        <f>MIN($AH$6:$AH$13)</f>
        <v>14.287742210234937</v>
      </c>
      <c r="AD6" s="164">
        <f>MAX($AH$6:$AH$13)</f>
        <v>20.986823122054439</v>
      </c>
      <c r="AE6" s="159"/>
      <c r="AF6" s="159">
        <f>VLOOKUP($Y6,$A$6:$I$31,5,FALSE)</f>
        <v>13</v>
      </c>
      <c r="AG6" s="160">
        <f>VLOOKUP($Y6,$A$6:$I$31,6,FALSE)</f>
        <v>2013</v>
      </c>
      <c r="AH6" s="161">
        <f>VLOOKUP($Y6,$A$6:$I$31,7,FALSE)</f>
        <v>14.287742210234937</v>
      </c>
      <c r="AI6" s="161">
        <f>VLOOKUP($Y6,$A$6:$I$31,8,FALSE)</f>
        <v>13.71962860888628</v>
      </c>
      <c r="AJ6" s="161">
        <f>VLOOKUP($Y6,$A$6:$I$31,9,FALSE)</f>
        <v>14.875324868706564</v>
      </c>
      <c r="AK6" s="160">
        <f>VLOOKUP($Y6,$A$6:$M$31,13,FALSE)</f>
        <v>4</v>
      </c>
    </row>
    <row r="7" spans="1:37" x14ac:dyDescent="0.2">
      <c r="A7" s="62" t="s">
        <v>30</v>
      </c>
      <c r="B7" s="62" t="s">
        <v>56</v>
      </c>
      <c r="C7" s="62" t="s">
        <v>200</v>
      </c>
      <c r="D7" s="62"/>
      <c r="E7" s="62">
        <f t="shared" ref="E7:E31" si="3">RANK(G7,$G$6:$G$31,1)</f>
        <v>22</v>
      </c>
      <c r="F7" s="128">
        <v>2072</v>
      </c>
      <c r="G7" s="129">
        <v>17.945608868872338</v>
      </c>
      <c r="H7" s="129">
        <v>17.256362875277627</v>
      </c>
      <c r="I7" s="129">
        <v>18.656177341046803</v>
      </c>
      <c r="J7" s="129"/>
      <c r="K7" s="129"/>
      <c r="L7" s="129"/>
      <c r="M7" s="60">
        <f t="shared" si="0"/>
        <v>4</v>
      </c>
      <c r="N7" s="61">
        <f t="shared" ref="N7:N31" si="4">MIN($G$6:$G$32)</f>
        <v>1.2440291848196945</v>
      </c>
      <c r="O7" s="61">
        <f>VLOOKUP(7,$E$5:$G$39,3,FALSE)</f>
        <v>10.094212651413191</v>
      </c>
      <c r="P7" s="129">
        <f t="shared" ref="P7:P31" si="5">$G$32</f>
        <v>12.934784109581475</v>
      </c>
      <c r="Q7" s="129">
        <f t="shared" ref="Q7:Q31" si="6">$H$32</f>
        <v>12.813070780813593</v>
      </c>
      <c r="R7" s="129">
        <f t="shared" ref="R7:R31" si="7">$I$32</f>
        <v>13.057480458553494</v>
      </c>
      <c r="S7" s="61">
        <f t="shared" ref="S7:S31" si="8">VLOOKUP(20,$E$5:$G$39,3,FALSE)</f>
        <v>17.506211881635419</v>
      </c>
      <c r="T7" s="61">
        <f t="shared" si="1"/>
        <v>20.986823122054439</v>
      </c>
      <c r="U7" s="61">
        <f t="shared" ref="U7:U31" si="9">VLOOKUP(C7,$C$43:$I$46,5,FALSE)</f>
        <v>15.042715308242899</v>
      </c>
      <c r="V7" s="61"/>
      <c r="Y7" s="159" t="s">
        <v>35</v>
      </c>
      <c r="Z7" s="159" t="s">
        <v>60</v>
      </c>
      <c r="AA7" s="159" t="s">
        <v>163</v>
      </c>
      <c r="AB7" s="159">
        <f t="shared" si="2"/>
        <v>6</v>
      </c>
      <c r="AC7" s="164">
        <f>MIN($AH$6:$AH$13)</f>
        <v>14.287742210234937</v>
      </c>
      <c r="AD7" s="164">
        <f t="shared" ref="AD7:AD13" si="10">MAX($AH$6:$AH$13)</f>
        <v>20.986823122054439</v>
      </c>
      <c r="AE7" s="159"/>
      <c r="AF7" s="159">
        <f t="shared" ref="AF7:AF31" si="11">VLOOKUP($Y7,$A$6:$I$31,5,FALSE)</f>
        <v>19</v>
      </c>
      <c r="AG7" s="160">
        <f t="shared" ref="AG7:AG31" si="12">VLOOKUP($Y7,$A$6:$I$31,6,FALSE)</f>
        <v>2536</v>
      </c>
      <c r="AH7" s="161">
        <f t="shared" ref="AH7:AH31" si="13">VLOOKUP($Y7,$A$6:$I$31,7,FALSE)</f>
        <v>17.419975271328479</v>
      </c>
      <c r="AI7" s="161">
        <f t="shared" ref="AI7:AI31" si="14">VLOOKUP($Y7,$A$6:$I$31,8,FALSE)</f>
        <v>16.812480950518385</v>
      </c>
      <c r="AJ7" s="161">
        <f t="shared" ref="AJ7:AJ31" si="15">VLOOKUP($Y7,$A$6:$I$31,9,FALSE)</f>
        <v>18.044659014743715</v>
      </c>
      <c r="AK7" s="160">
        <f t="shared" ref="AK7:AK31" si="16">VLOOKUP($Y7,$A$6:$M$31,13,FALSE)</f>
        <v>4</v>
      </c>
    </row>
    <row r="8" spans="1:37" x14ac:dyDescent="0.2">
      <c r="A8" s="62" t="s">
        <v>31</v>
      </c>
      <c r="B8" s="62" t="s">
        <v>57</v>
      </c>
      <c r="C8" s="62" t="s">
        <v>200</v>
      </c>
      <c r="D8" s="62"/>
      <c r="E8" s="62">
        <f t="shared" si="3"/>
        <v>25</v>
      </c>
      <c r="F8" s="128">
        <v>2423</v>
      </c>
      <c r="G8" s="129">
        <v>19.68638284042899</v>
      </c>
      <c r="H8" s="129">
        <v>18.993410345390391</v>
      </c>
      <c r="I8" s="129">
        <v>20.398271841566903</v>
      </c>
      <c r="J8" s="129"/>
      <c r="K8" s="129"/>
      <c r="L8" s="129"/>
      <c r="M8" s="60">
        <f t="shared" si="0"/>
        <v>4</v>
      </c>
      <c r="N8" s="61">
        <f t="shared" si="4"/>
        <v>1.2440291848196945</v>
      </c>
      <c r="O8" s="61">
        <f t="shared" ref="O8:O31" si="17">VLOOKUP(7,$E$5:$G$39,3,FALSE)</f>
        <v>10.094212651413191</v>
      </c>
      <c r="P8" s="129">
        <f t="shared" si="5"/>
        <v>12.934784109581475</v>
      </c>
      <c r="Q8" s="129">
        <f t="shared" si="6"/>
        <v>12.813070780813593</v>
      </c>
      <c r="R8" s="129">
        <f t="shared" si="7"/>
        <v>13.057480458553494</v>
      </c>
      <c r="S8" s="61">
        <f t="shared" si="8"/>
        <v>17.506211881635419</v>
      </c>
      <c r="T8" s="61">
        <f t="shared" si="1"/>
        <v>20.986823122054439</v>
      </c>
      <c r="U8" s="61">
        <f t="shared" si="9"/>
        <v>15.042715308242899</v>
      </c>
      <c r="V8" s="61"/>
      <c r="Y8" s="159" t="s">
        <v>41</v>
      </c>
      <c r="Z8" s="159" t="s">
        <v>64</v>
      </c>
      <c r="AA8" s="159" t="s">
        <v>163</v>
      </c>
      <c r="AB8" s="159">
        <f t="shared" si="2"/>
        <v>7</v>
      </c>
      <c r="AC8" s="164">
        <f t="shared" ref="AC8:AC13" si="18">MIN($AH$6:$AH$13)</f>
        <v>14.287742210234937</v>
      </c>
      <c r="AD8" s="164">
        <f t="shared" si="10"/>
        <v>20.986823122054439</v>
      </c>
      <c r="AE8" s="159"/>
      <c r="AF8" s="159">
        <f t="shared" si="11"/>
        <v>21</v>
      </c>
      <c r="AG8" s="160">
        <f t="shared" si="12"/>
        <v>1878</v>
      </c>
      <c r="AH8" s="161">
        <f t="shared" si="13"/>
        <v>17.811077389984828</v>
      </c>
      <c r="AI8" s="161">
        <f t="shared" si="14"/>
        <v>17.092546301411858</v>
      </c>
      <c r="AJ8" s="161">
        <f t="shared" si="15"/>
        <v>18.553054492829364</v>
      </c>
      <c r="AK8" s="160">
        <f t="shared" si="16"/>
        <v>4</v>
      </c>
    </row>
    <row r="9" spans="1:37" x14ac:dyDescent="0.2">
      <c r="A9" s="62" t="s">
        <v>32</v>
      </c>
      <c r="B9" s="62" t="s">
        <v>156</v>
      </c>
      <c r="C9" s="62" t="s">
        <v>201</v>
      </c>
      <c r="D9" s="62"/>
      <c r="E9" s="62">
        <f t="shared" si="3"/>
        <v>4</v>
      </c>
      <c r="F9" s="128">
        <v>1384</v>
      </c>
      <c r="G9" s="129">
        <v>7.6599512951073718</v>
      </c>
      <c r="H9" s="129">
        <v>7.281094115755411</v>
      </c>
      <c r="I9" s="129">
        <v>8.0568085829636775</v>
      </c>
      <c r="J9" s="129"/>
      <c r="K9" s="129"/>
      <c r="L9" s="129"/>
      <c r="M9" s="60">
        <f t="shared" si="0"/>
        <v>3</v>
      </c>
      <c r="N9" s="61">
        <f t="shared" si="4"/>
        <v>1.2440291848196945</v>
      </c>
      <c r="O9" s="61">
        <f t="shared" si="17"/>
        <v>10.094212651413191</v>
      </c>
      <c r="P9" s="129">
        <f t="shared" si="5"/>
        <v>12.934784109581475</v>
      </c>
      <c r="Q9" s="129">
        <f t="shared" si="6"/>
        <v>12.813070780813593</v>
      </c>
      <c r="R9" s="129">
        <f t="shared" si="7"/>
        <v>13.057480458553494</v>
      </c>
      <c r="S9" s="61">
        <f t="shared" si="8"/>
        <v>17.506211881635419</v>
      </c>
      <c r="T9" s="61">
        <f t="shared" si="1"/>
        <v>20.986823122054439</v>
      </c>
      <c r="U9" s="61">
        <f t="shared" si="9"/>
        <v>7.9910820169821166</v>
      </c>
      <c r="V9" s="61"/>
      <c r="X9" s="63"/>
      <c r="Y9" s="159" t="s">
        <v>45</v>
      </c>
      <c r="Z9" s="159" t="s">
        <v>67</v>
      </c>
      <c r="AA9" s="159" t="s">
        <v>163</v>
      </c>
      <c r="AB9" s="159">
        <f t="shared" si="2"/>
        <v>5</v>
      </c>
      <c r="AC9" s="164">
        <f t="shared" si="18"/>
        <v>14.287742210234937</v>
      </c>
      <c r="AD9" s="164">
        <f t="shared" si="10"/>
        <v>20.986823122054439</v>
      </c>
      <c r="AE9" s="159"/>
      <c r="AF9" s="159">
        <f t="shared" si="11"/>
        <v>18</v>
      </c>
      <c r="AG9" s="160">
        <f t="shared" si="12"/>
        <v>1481</v>
      </c>
      <c r="AH9" s="161">
        <f t="shared" si="13"/>
        <v>16.904462960849219</v>
      </c>
      <c r="AI9" s="161">
        <f t="shared" si="14"/>
        <v>16.134202781876539</v>
      </c>
      <c r="AJ9" s="161">
        <f t="shared" si="15"/>
        <v>17.703733394777899</v>
      </c>
      <c r="AK9" s="160">
        <f t="shared" si="16"/>
        <v>4</v>
      </c>
    </row>
    <row r="10" spans="1:37" x14ac:dyDescent="0.2">
      <c r="A10" s="62" t="s">
        <v>33</v>
      </c>
      <c r="B10" s="62" t="s">
        <v>58</v>
      </c>
      <c r="C10" s="62" t="s">
        <v>163</v>
      </c>
      <c r="D10" s="62"/>
      <c r="E10" s="62">
        <f t="shared" si="3"/>
        <v>13</v>
      </c>
      <c r="F10" s="128">
        <v>2013</v>
      </c>
      <c r="G10" s="129">
        <v>14.287742210234937</v>
      </c>
      <c r="H10" s="129">
        <v>13.71962860888628</v>
      </c>
      <c r="I10" s="129">
        <v>14.875324868706564</v>
      </c>
      <c r="J10" s="129"/>
      <c r="K10" s="129"/>
      <c r="L10" s="129"/>
      <c r="M10" s="60">
        <f t="shared" si="0"/>
        <v>4</v>
      </c>
      <c r="N10" s="61">
        <f t="shared" si="4"/>
        <v>1.2440291848196945</v>
      </c>
      <c r="O10" s="61">
        <f t="shared" si="17"/>
        <v>10.094212651413191</v>
      </c>
      <c r="P10" s="129">
        <f t="shared" si="5"/>
        <v>12.934784109581475</v>
      </c>
      <c r="Q10" s="129">
        <f t="shared" si="6"/>
        <v>12.813070780813593</v>
      </c>
      <c r="R10" s="129">
        <f t="shared" si="7"/>
        <v>13.057480458553494</v>
      </c>
      <c r="S10" s="61">
        <f t="shared" si="8"/>
        <v>17.506211881635419</v>
      </c>
      <c r="T10" s="61">
        <f t="shared" si="1"/>
        <v>20.986823122054439</v>
      </c>
      <c r="U10" s="61">
        <f t="shared" si="9"/>
        <v>16.400946149356432</v>
      </c>
      <c r="V10" s="61"/>
      <c r="Y10" s="159" t="s">
        <v>46</v>
      </c>
      <c r="Z10" s="159" t="s">
        <v>68</v>
      </c>
      <c r="AA10" s="159" t="s">
        <v>163</v>
      </c>
      <c r="AB10" s="159">
        <f t="shared" si="2"/>
        <v>8</v>
      </c>
      <c r="AC10" s="164">
        <f t="shared" si="18"/>
        <v>14.287742210234937</v>
      </c>
      <c r="AD10" s="164">
        <f t="shared" si="10"/>
        <v>20.986823122054439</v>
      </c>
      <c r="AE10" s="159"/>
      <c r="AF10" s="159">
        <f t="shared" si="11"/>
        <v>26</v>
      </c>
      <c r="AG10" s="160">
        <f t="shared" si="12"/>
        <v>2182</v>
      </c>
      <c r="AH10" s="161">
        <f t="shared" si="13"/>
        <v>20.986823122054439</v>
      </c>
      <c r="AI10" s="161">
        <f t="shared" si="14"/>
        <v>20.214870708129485</v>
      </c>
      <c r="AJ10" s="161">
        <f t="shared" si="15"/>
        <v>21.780207056626143</v>
      </c>
      <c r="AK10" s="160">
        <f t="shared" si="16"/>
        <v>4</v>
      </c>
    </row>
    <row r="11" spans="1:37" x14ac:dyDescent="0.2">
      <c r="A11" s="62" t="s">
        <v>34</v>
      </c>
      <c r="B11" s="62" t="s">
        <v>59</v>
      </c>
      <c r="C11" s="62" t="s">
        <v>200</v>
      </c>
      <c r="D11" s="62"/>
      <c r="E11" s="62">
        <f t="shared" si="3"/>
        <v>10</v>
      </c>
      <c r="F11" s="128">
        <v>2026</v>
      </c>
      <c r="G11" s="129">
        <v>13.056647547850746</v>
      </c>
      <c r="H11" s="129">
        <v>12.535652949943621</v>
      </c>
      <c r="I11" s="129">
        <v>13.59592934590998</v>
      </c>
      <c r="J11" s="129"/>
      <c r="K11" s="129"/>
      <c r="L11" s="129"/>
      <c r="M11" s="60">
        <f t="shared" si="0"/>
        <v>5</v>
      </c>
      <c r="N11" s="61">
        <f t="shared" si="4"/>
        <v>1.2440291848196945</v>
      </c>
      <c r="O11" s="61">
        <f t="shared" si="17"/>
        <v>10.094212651413191</v>
      </c>
      <c r="P11" s="129">
        <f t="shared" si="5"/>
        <v>12.934784109581475</v>
      </c>
      <c r="Q11" s="129">
        <f t="shared" si="6"/>
        <v>12.813070780813593</v>
      </c>
      <c r="R11" s="129">
        <f t="shared" si="7"/>
        <v>13.057480458553494</v>
      </c>
      <c r="S11" s="61">
        <f t="shared" si="8"/>
        <v>17.506211881635419</v>
      </c>
      <c r="T11" s="61">
        <f t="shared" si="1"/>
        <v>20.986823122054439</v>
      </c>
      <c r="U11" s="61">
        <f t="shared" si="9"/>
        <v>15.042715308242899</v>
      </c>
      <c r="V11" s="61"/>
      <c r="Y11" s="159" t="s">
        <v>47</v>
      </c>
      <c r="Z11" s="159" t="s">
        <v>69</v>
      </c>
      <c r="AA11" s="159" t="s">
        <v>163</v>
      </c>
      <c r="AB11" s="159">
        <f t="shared" si="2"/>
        <v>4</v>
      </c>
      <c r="AC11" s="164">
        <f t="shared" si="18"/>
        <v>14.287742210234937</v>
      </c>
      <c r="AD11" s="164">
        <f t="shared" si="10"/>
        <v>20.986823122054439</v>
      </c>
      <c r="AE11" s="159"/>
      <c r="AF11" s="159">
        <f t="shared" si="11"/>
        <v>16</v>
      </c>
      <c r="AG11" s="160">
        <f t="shared" si="12"/>
        <v>876</v>
      </c>
      <c r="AH11" s="161">
        <f t="shared" si="13"/>
        <v>16.222222222222221</v>
      </c>
      <c r="AI11" s="161">
        <f t="shared" si="14"/>
        <v>15.263024817865251</v>
      </c>
      <c r="AJ11" s="161">
        <f t="shared" si="15"/>
        <v>17.229443219934652</v>
      </c>
      <c r="AK11" s="160">
        <f t="shared" si="16"/>
        <v>4</v>
      </c>
    </row>
    <row r="12" spans="1:37" x14ac:dyDescent="0.2">
      <c r="A12" s="62" t="s">
        <v>35</v>
      </c>
      <c r="B12" s="62" t="s">
        <v>60</v>
      </c>
      <c r="C12" s="62" t="s">
        <v>163</v>
      </c>
      <c r="D12" s="62"/>
      <c r="E12" s="62">
        <f t="shared" si="3"/>
        <v>19</v>
      </c>
      <c r="F12" s="128">
        <v>2536</v>
      </c>
      <c r="G12" s="129">
        <v>17.419975271328479</v>
      </c>
      <c r="H12" s="129">
        <v>16.812480950518385</v>
      </c>
      <c r="I12" s="129">
        <v>18.044659014743715</v>
      </c>
      <c r="J12" s="129"/>
      <c r="K12" s="129"/>
      <c r="L12" s="129"/>
      <c r="M12" s="60">
        <f t="shared" ref="M12:M31" si="19">IF($C$2="Significance not measured",6,IF(AND($C$2="Better / Worse",$K$2="Low = Worst",I12&lt;Q12),1,IF(AND($C$2="Better / Worse",$K$2="Low = Worst",H12&gt;R12),2,IF(AND($C$2="Better / Worse",$K$2="High = Worst",I12&lt;Q12),2,IF(AND($C$2="Better / Worse",$K$2="High = Worst",H12&gt;R12),1,IF(AND($C$2="Higher / Lower",I12&lt;Q12),3,IF(AND($C$2="Higher / Lower",H12&gt;R12),4,5)))))))</f>
        <v>4</v>
      </c>
      <c r="N12" s="61">
        <f t="shared" si="4"/>
        <v>1.2440291848196945</v>
      </c>
      <c r="O12" s="61">
        <f t="shared" si="17"/>
        <v>10.094212651413191</v>
      </c>
      <c r="P12" s="129">
        <f t="shared" si="5"/>
        <v>12.934784109581475</v>
      </c>
      <c r="Q12" s="129">
        <f t="shared" si="6"/>
        <v>12.813070780813593</v>
      </c>
      <c r="R12" s="129">
        <f t="shared" si="7"/>
        <v>13.057480458553494</v>
      </c>
      <c r="S12" s="61">
        <f t="shared" si="8"/>
        <v>17.506211881635419</v>
      </c>
      <c r="T12" s="61">
        <f t="shared" si="1"/>
        <v>20.986823122054439</v>
      </c>
      <c r="U12" s="61">
        <f t="shared" si="9"/>
        <v>16.400946149356432</v>
      </c>
      <c r="V12" s="61"/>
      <c r="Y12" s="159" t="s">
        <v>50</v>
      </c>
      <c r="Z12" s="159" t="s">
        <v>161</v>
      </c>
      <c r="AA12" s="159" t="s">
        <v>163</v>
      </c>
      <c r="AB12" s="159">
        <f t="shared" ref="AB12" si="20">RANK(AH12,$AH$6:$AH$13,1)</f>
        <v>3</v>
      </c>
      <c r="AC12" s="164">
        <f t="shared" si="18"/>
        <v>14.287742210234937</v>
      </c>
      <c r="AD12" s="164">
        <f t="shared" si="10"/>
        <v>20.986823122054439</v>
      </c>
      <c r="AE12" s="159"/>
      <c r="AF12" s="159">
        <f t="shared" si="11"/>
        <v>15</v>
      </c>
      <c r="AG12" s="160">
        <f t="shared" si="12"/>
        <v>880</v>
      </c>
      <c r="AH12" s="161">
        <f t="shared" si="13"/>
        <v>15.086576375792903</v>
      </c>
      <c r="AI12" s="161">
        <f t="shared" si="14"/>
        <v>14.191055464336074</v>
      </c>
      <c r="AJ12" s="161">
        <f t="shared" si="15"/>
        <v>16.028053128294257</v>
      </c>
      <c r="AK12" s="160">
        <f t="shared" si="16"/>
        <v>4</v>
      </c>
    </row>
    <row r="13" spans="1:37" x14ac:dyDescent="0.2">
      <c r="A13" s="62" t="s">
        <v>36</v>
      </c>
      <c r="B13" s="62" t="s">
        <v>61</v>
      </c>
      <c r="C13" s="62" t="s">
        <v>201</v>
      </c>
      <c r="D13" s="62"/>
      <c r="E13" s="62">
        <f t="shared" si="3"/>
        <v>1</v>
      </c>
      <c r="F13" s="128">
        <v>237</v>
      </c>
      <c r="G13" s="129">
        <v>1.2440291848196945</v>
      </c>
      <c r="H13" s="129">
        <v>1.0961743387700513</v>
      </c>
      <c r="I13" s="129">
        <v>1.4115424525417761</v>
      </c>
      <c r="J13" s="129"/>
      <c r="K13" s="129"/>
      <c r="L13" s="129"/>
      <c r="M13" s="60">
        <f t="shared" si="19"/>
        <v>3</v>
      </c>
      <c r="N13" s="61">
        <f t="shared" si="4"/>
        <v>1.2440291848196945</v>
      </c>
      <c r="O13" s="61">
        <f t="shared" si="17"/>
        <v>10.094212651413191</v>
      </c>
      <c r="P13" s="129">
        <f t="shared" si="5"/>
        <v>12.934784109581475</v>
      </c>
      <c r="Q13" s="129">
        <f t="shared" si="6"/>
        <v>12.813070780813593</v>
      </c>
      <c r="R13" s="129">
        <f t="shared" si="7"/>
        <v>13.057480458553494</v>
      </c>
      <c r="S13" s="61">
        <f t="shared" si="8"/>
        <v>17.506211881635419</v>
      </c>
      <c r="T13" s="61">
        <f t="shared" si="1"/>
        <v>20.986823122054439</v>
      </c>
      <c r="U13" s="61">
        <f t="shared" si="9"/>
        <v>7.9910820169821166</v>
      </c>
      <c r="V13" s="61"/>
      <c r="Y13" s="159" t="s">
        <v>53</v>
      </c>
      <c r="Z13" s="159" t="s">
        <v>162</v>
      </c>
      <c r="AA13" s="159" t="s">
        <v>163</v>
      </c>
      <c r="AB13" s="159">
        <f>RANK(AH13,$AH$6:$AH$13,1)</f>
        <v>2</v>
      </c>
      <c r="AC13" s="164">
        <f t="shared" si="18"/>
        <v>14.287742210234937</v>
      </c>
      <c r="AD13" s="164">
        <f t="shared" si="10"/>
        <v>20.986823122054439</v>
      </c>
      <c r="AE13" s="159"/>
      <c r="AF13" s="159">
        <f t="shared" si="11"/>
        <v>14</v>
      </c>
      <c r="AG13" s="160">
        <f t="shared" si="12"/>
        <v>4171</v>
      </c>
      <c r="AH13" s="161">
        <f t="shared" si="13"/>
        <v>14.855575738148664</v>
      </c>
      <c r="AI13" s="161">
        <f t="shared" si="14"/>
        <v>14.444382003117671</v>
      </c>
      <c r="AJ13" s="161">
        <f t="shared" si="15"/>
        <v>15.276384986929619</v>
      </c>
      <c r="AK13" s="160">
        <f t="shared" si="16"/>
        <v>4</v>
      </c>
    </row>
    <row r="14" spans="1:37" x14ac:dyDescent="0.2">
      <c r="A14" s="62" t="s">
        <v>37</v>
      </c>
      <c r="B14" s="62" t="s">
        <v>157</v>
      </c>
      <c r="C14" s="62" t="s">
        <v>201</v>
      </c>
      <c r="D14" s="62"/>
      <c r="E14" s="62">
        <f t="shared" si="3"/>
        <v>3</v>
      </c>
      <c r="F14" s="128">
        <v>1406</v>
      </c>
      <c r="G14" s="129">
        <v>5.7948316366483947</v>
      </c>
      <c r="H14" s="129">
        <v>5.5077786238759856</v>
      </c>
      <c r="I14" s="129">
        <v>6.0958800706393275</v>
      </c>
      <c r="J14" s="129"/>
      <c r="K14" s="129"/>
      <c r="L14" s="129"/>
      <c r="M14" s="60">
        <f t="shared" si="19"/>
        <v>3</v>
      </c>
      <c r="N14" s="61">
        <f t="shared" si="4"/>
        <v>1.2440291848196945</v>
      </c>
      <c r="O14" s="61">
        <f t="shared" si="17"/>
        <v>10.094212651413191</v>
      </c>
      <c r="P14" s="129">
        <f t="shared" si="5"/>
        <v>12.934784109581475</v>
      </c>
      <c r="Q14" s="129">
        <f t="shared" si="6"/>
        <v>12.813070780813593</v>
      </c>
      <c r="R14" s="129">
        <f t="shared" si="7"/>
        <v>13.057480458553494</v>
      </c>
      <c r="S14" s="61">
        <f t="shared" si="8"/>
        <v>17.506211881635419</v>
      </c>
      <c r="T14" s="61">
        <f t="shared" si="1"/>
        <v>20.986823122054439</v>
      </c>
      <c r="U14" s="61">
        <f t="shared" si="9"/>
        <v>7.9910820169821166</v>
      </c>
      <c r="V14" s="61"/>
      <c r="Y14" s="162" t="s">
        <v>29</v>
      </c>
      <c r="Z14" s="162" t="s">
        <v>55</v>
      </c>
      <c r="AA14" s="162" t="s">
        <v>201</v>
      </c>
      <c r="AB14" s="162">
        <f t="shared" ref="AB14:AB22" si="21">RANK(AH14,$AH$14:$AH$22,1)</f>
        <v>6</v>
      </c>
      <c r="AC14" s="165">
        <f>MIN($AH$14:$AH$22)</f>
        <v>1.2440291848196945</v>
      </c>
      <c r="AD14" s="165">
        <f>MAX($AH$14:$AH$22)</f>
        <v>18.309463633810729</v>
      </c>
      <c r="AE14" s="162"/>
      <c r="AF14" s="162">
        <f t="shared" si="11"/>
        <v>6</v>
      </c>
      <c r="AG14" s="167">
        <f t="shared" si="12"/>
        <v>923</v>
      </c>
      <c r="AH14" s="165">
        <f t="shared" si="13"/>
        <v>9.7188585869221864</v>
      </c>
      <c r="AI14" s="165">
        <f t="shared" si="14"/>
        <v>9.1392973621764142</v>
      </c>
      <c r="AJ14" s="165">
        <f t="shared" si="15"/>
        <v>10.33099342036558</v>
      </c>
      <c r="AK14" s="167">
        <f t="shared" si="16"/>
        <v>3</v>
      </c>
    </row>
    <row r="15" spans="1:37" x14ac:dyDescent="0.2">
      <c r="A15" s="62" t="s">
        <v>38</v>
      </c>
      <c r="B15" s="62" t="s">
        <v>62</v>
      </c>
      <c r="C15" s="62" t="s">
        <v>201</v>
      </c>
      <c r="D15" s="62"/>
      <c r="E15" s="62">
        <f t="shared" si="3"/>
        <v>24</v>
      </c>
      <c r="F15" s="128">
        <v>1304</v>
      </c>
      <c r="G15" s="129">
        <v>18.309463633810729</v>
      </c>
      <c r="H15" s="129">
        <v>17.428431944005464</v>
      </c>
      <c r="I15" s="129">
        <v>19.224663327818707</v>
      </c>
      <c r="J15" s="129"/>
      <c r="K15" s="129"/>
      <c r="L15" s="129"/>
      <c r="M15" s="60">
        <f t="shared" si="19"/>
        <v>4</v>
      </c>
      <c r="N15" s="61">
        <f t="shared" si="4"/>
        <v>1.2440291848196945</v>
      </c>
      <c r="O15" s="61">
        <f t="shared" si="17"/>
        <v>10.094212651413191</v>
      </c>
      <c r="P15" s="129">
        <f t="shared" si="5"/>
        <v>12.934784109581475</v>
      </c>
      <c r="Q15" s="129">
        <f t="shared" si="6"/>
        <v>12.813070780813593</v>
      </c>
      <c r="R15" s="129">
        <f t="shared" si="7"/>
        <v>13.057480458553494</v>
      </c>
      <c r="S15" s="61">
        <f t="shared" si="8"/>
        <v>17.506211881635419</v>
      </c>
      <c r="T15" s="61">
        <f t="shared" ref="T15:T31" si="22">MAX($G$6:$G$31)</f>
        <v>20.986823122054439</v>
      </c>
      <c r="U15" s="61">
        <f t="shared" si="9"/>
        <v>7.9910820169821166</v>
      </c>
      <c r="V15" s="61"/>
      <c r="Y15" s="162" t="s">
        <v>32</v>
      </c>
      <c r="Z15" s="162" t="s">
        <v>156</v>
      </c>
      <c r="AA15" s="162" t="s">
        <v>201</v>
      </c>
      <c r="AB15" s="162">
        <f t="shared" si="21"/>
        <v>4</v>
      </c>
      <c r="AC15" s="165">
        <f t="shared" ref="AC15:AC22" si="23">MIN($AH$14:$AH$22)</f>
        <v>1.2440291848196945</v>
      </c>
      <c r="AD15" s="165">
        <f t="shared" ref="AD15:AD22" si="24">MAX($AH$14:$AH$22)</f>
        <v>18.309463633810729</v>
      </c>
      <c r="AE15" s="162"/>
      <c r="AF15" s="162">
        <f t="shared" si="11"/>
        <v>4</v>
      </c>
      <c r="AG15" s="167">
        <f t="shared" si="12"/>
        <v>1384</v>
      </c>
      <c r="AH15" s="165">
        <f t="shared" si="13"/>
        <v>7.6599512951073718</v>
      </c>
      <c r="AI15" s="165">
        <f t="shared" si="14"/>
        <v>7.281094115755411</v>
      </c>
      <c r="AJ15" s="165">
        <f t="shared" si="15"/>
        <v>8.0568085829636775</v>
      </c>
      <c r="AK15" s="167">
        <f t="shared" si="16"/>
        <v>3</v>
      </c>
    </row>
    <row r="16" spans="1:37" x14ac:dyDescent="0.2">
      <c r="A16" s="62" t="s">
        <v>39</v>
      </c>
      <c r="B16" s="62" t="s">
        <v>158</v>
      </c>
      <c r="C16" s="62" t="s">
        <v>200</v>
      </c>
      <c r="D16" s="62"/>
      <c r="E16" s="62">
        <f t="shared" si="3"/>
        <v>12</v>
      </c>
      <c r="F16" s="128">
        <v>2071</v>
      </c>
      <c r="G16" s="129">
        <v>14.221947534679302</v>
      </c>
      <c r="H16" s="129">
        <v>13.664089536756114</v>
      </c>
      <c r="I16" s="129">
        <v>14.798677070593444</v>
      </c>
      <c r="J16" s="129"/>
      <c r="K16" s="129"/>
      <c r="L16" s="129"/>
      <c r="M16" s="60">
        <f t="shared" si="19"/>
        <v>4</v>
      </c>
      <c r="N16" s="61">
        <f t="shared" si="4"/>
        <v>1.2440291848196945</v>
      </c>
      <c r="O16" s="61">
        <f t="shared" si="17"/>
        <v>10.094212651413191</v>
      </c>
      <c r="P16" s="129">
        <f t="shared" si="5"/>
        <v>12.934784109581475</v>
      </c>
      <c r="Q16" s="129">
        <f t="shared" si="6"/>
        <v>12.813070780813593</v>
      </c>
      <c r="R16" s="129">
        <f t="shared" si="7"/>
        <v>13.057480458553494</v>
      </c>
      <c r="S16" s="61">
        <f t="shared" si="8"/>
        <v>17.506211881635419</v>
      </c>
      <c r="T16" s="61">
        <f t="shared" si="22"/>
        <v>20.986823122054439</v>
      </c>
      <c r="U16" s="61">
        <f t="shared" si="9"/>
        <v>15.042715308242899</v>
      </c>
      <c r="V16" s="61"/>
      <c r="Y16" s="162" t="s">
        <v>36</v>
      </c>
      <c r="Z16" s="162" t="s">
        <v>61</v>
      </c>
      <c r="AA16" s="162" t="s">
        <v>201</v>
      </c>
      <c r="AB16" s="162">
        <f t="shared" si="21"/>
        <v>1</v>
      </c>
      <c r="AC16" s="165">
        <f>MIN($AH$14:$AH$22)</f>
        <v>1.2440291848196945</v>
      </c>
      <c r="AD16" s="165">
        <f t="shared" si="24"/>
        <v>18.309463633810729</v>
      </c>
      <c r="AE16" s="162"/>
      <c r="AF16" s="162">
        <f t="shared" si="11"/>
        <v>1</v>
      </c>
      <c r="AG16" s="167">
        <f t="shared" si="12"/>
        <v>237</v>
      </c>
      <c r="AH16" s="165">
        <f t="shared" si="13"/>
        <v>1.2440291848196945</v>
      </c>
      <c r="AI16" s="165">
        <f t="shared" si="14"/>
        <v>1.0961743387700513</v>
      </c>
      <c r="AJ16" s="165">
        <f t="shared" si="15"/>
        <v>1.4115424525417761</v>
      </c>
      <c r="AK16" s="167">
        <f t="shared" si="16"/>
        <v>3</v>
      </c>
    </row>
    <row r="17" spans="1:37" x14ac:dyDescent="0.2">
      <c r="A17" s="62" t="s">
        <v>40</v>
      </c>
      <c r="B17" s="62" t="s">
        <v>63</v>
      </c>
      <c r="C17" s="62" t="s">
        <v>200</v>
      </c>
      <c r="D17" s="62"/>
      <c r="E17" s="62">
        <f t="shared" si="3"/>
        <v>17</v>
      </c>
      <c r="F17" s="128">
        <v>1349</v>
      </c>
      <c r="G17" s="129">
        <v>16.493458858051106</v>
      </c>
      <c r="H17" s="129">
        <v>15.70493091586054</v>
      </c>
      <c r="I17" s="129">
        <v>17.313446287430427</v>
      </c>
      <c r="J17" s="129"/>
      <c r="K17" s="129"/>
      <c r="L17" s="129"/>
      <c r="M17" s="60">
        <f t="shared" si="19"/>
        <v>4</v>
      </c>
      <c r="N17" s="61">
        <f t="shared" si="4"/>
        <v>1.2440291848196945</v>
      </c>
      <c r="O17" s="61">
        <f t="shared" si="17"/>
        <v>10.094212651413191</v>
      </c>
      <c r="P17" s="129">
        <f t="shared" si="5"/>
        <v>12.934784109581475</v>
      </c>
      <c r="Q17" s="129">
        <f t="shared" si="6"/>
        <v>12.813070780813593</v>
      </c>
      <c r="R17" s="129">
        <f t="shared" si="7"/>
        <v>13.057480458553494</v>
      </c>
      <c r="S17" s="61">
        <f t="shared" si="8"/>
        <v>17.506211881635419</v>
      </c>
      <c r="T17" s="61">
        <f t="shared" si="22"/>
        <v>20.986823122054439</v>
      </c>
      <c r="U17" s="61">
        <f t="shared" si="9"/>
        <v>15.042715308242899</v>
      </c>
      <c r="V17" s="61"/>
      <c r="Y17" s="162" t="s">
        <v>37</v>
      </c>
      <c r="Z17" s="162" t="s">
        <v>157</v>
      </c>
      <c r="AA17" s="162" t="s">
        <v>201</v>
      </c>
      <c r="AB17" s="162">
        <f t="shared" si="21"/>
        <v>3</v>
      </c>
      <c r="AC17" s="165">
        <f t="shared" si="23"/>
        <v>1.2440291848196945</v>
      </c>
      <c r="AD17" s="165">
        <f>MAX($AH$14:$AH$22)</f>
        <v>18.309463633810729</v>
      </c>
      <c r="AE17" s="162"/>
      <c r="AF17" s="162">
        <f t="shared" si="11"/>
        <v>3</v>
      </c>
      <c r="AG17" s="167">
        <f t="shared" si="12"/>
        <v>1406</v>
      </c>
      <c r="AH17" s="165">
        <f t="shared" si="13"/>
        <v>5.7948316366483947</v>
      </c>
      <c r="AI17" s="165">
        <f t="shared" si="14"/>
        <v>5.5077786238759856</v>
      </c>
      <c r="AJ17" s="165">
        <f t="shared" si="15"/>
        <v>6.0958800706393275</v>
      </c>
      <c r="AK17" s="167">
        <f t="shared" si="16"/>
        <v>3</v>
      </c>
    </row>
    <row r="18" spans="1:37" x14ac:dyDescent="0.2">
      <c r="A18" s="62" t="s">
        <v>41</v>
      </c>
      <c r="B18" s="62" t="s">
        <v>64</v>
      </c>
      <c r="C18" s="62" t="s">
        <v>163</v>
      </c>
      <c r="D18" s="62"/>
      <c r="E18" s="62">
        <f t="shared" si="3"/>
        <v>21</v>
      </c>
      <c r="F18" s="128">
        <v>1878</v>
      </c>
      <c r="G18" s="129">
        <v>17.811077389984828</v>
      </c>
      <c r="H18" s="129">
        <v>17.092546301411858</v>
      </c>
      <c r="I18" s="129">
        <v>18.553054492829364</v>
      </c>
      <c r="J18" s="129"/>
      <c r="K18" s="129"/>
      <c r="L18" s="129"/>
      <c r="M18" s="60">
        <f t="shared" si="19"/>
        <v>4</v>
      </c>
      <c r="N18" s="61">
        <f t="shared" si="4"/>
        <v>1.2440291848196945</v>
      </c>
      <c r="O18" s="61">
        <f t="shared" si="17"/>
        <v>10.094212651413191</v>
      </c>
      <c r="P18" s="129">
        <f t="shared" si="5"/>
        <v>12.934784109581475</v>
      </c>
      <c r="Q18" s="129">
        <f t="shared" si="6"/>
        <v>12.813070780813593</v>
      </c>
      <c r="R18" s="129">
        <f t="shared" si="7"/>
        <v>13.057480458553494</v>
      </c>
      <c r="S18" s="61">
        <f t="shared" si="8"/>
        <v>17.506211881635419</v>
      </c>
      <c r="T18" s="61">
        <f t="shared" si="22"/>
        <v>20.986823122054439</v>
      </c>
      <c r="U18" s="61">
        <f t="shared" si="9"/>
        <v>16.400946149356432</v>
      </c>
      <c r="V18" s="61"/>
      <c r="Y18" s="162" t="s">
        <v>38</v>
      </c>
      <c r="Z18" s="162" t="s">
        <v>62</v>
      </c>
      <c r="AA18" s="162" t="s">
        <v>201</v>
      </c>
      <c r="AB18" s="162">
        <f t="shared" si="21"/>
        <v>9</v>
      </c>
      <c r="AC18" s="165">
        <f t="shared" si="23"/>
        <v>1.2440291848196945</v>
      </c>
      <c r="AD18" s="165">
        <f t="shared" si="24"/>
        <v>18.309463633810729</v>
      </c>
      <c r="AE18" s="162"/>
      <c r="AF18" s="162">
        <f t="shared" si="11"/>
        <v>24</v>
      </c>
      <c r="AG18" s="167">
        <f t="shared" si="12"/>
        <v>1304</v>
      </c>
      <c r="AH18" s="165">
        <f t="shared" si="13"/>
        <v>18.309463633810729</v>
      </c>
      <c r="AI18" s="165">
        <f t="shared" si="14"/>
        <v>17.428431944005464</v>
      </c>
      <c r="AJ18" s="165">
        <f t="shared" si="15"/>
        <v>19.224663327818707</v>
      </c>
      <c r="AK18" s="167">
        <f t="shared" si="16"/>
        <v>4</v>
      </c>
    </row>
    <row r="19" spans="1:37" x14ac:dyDescent="0.2">
      <c r="A19" s="62" t="s">
        <v>42</v>
      </c>
      <c r="B19" s="62" t="s">
        <v>65</v>
      </c>
      <c r="C19" s="62" t="s">
        <v>200</v>
      </c>
      <c r="D19" s="62"/>
      <c r="E19" s="62">
        <f t="shared" si="3"/>
        <v>7</v>
      </c>
      <c r="F19" s="128">
        <v>525</v>
      </c>
      <c r="G19" s="129">
        <v>10.094212651413191</v>
      </c>
      <c r="H19" s="129">
        <v>9.3047190026562401</v>
      </c>
      <c r="I19" s="129">
        <v>10.942611625152583</v>
      </c>
      <c r="J19" s="129"/>
      <c r="K19" s="129"/>
      <c r="L19" s="129"/>
      <c r="M19" s="60">
        <f t="shared" si="19"/>
        <v>3</v>
      </c>
      <c r="N19" s="61">
        <f t="shared" si="4"/>
        <v>1.2440291848196945</v>
      </c>
      <c r="O19" s="61">
        <f t="shared" si="17"/>
        <v>10.094212651413191</v>
      </c>
      <c r="P19" s="129">
        <f t="shared" si="5"/>
        <v>12.934784109581475</v>
      </c>
      <c r="Q19" s="129">
        <f t="shared" si="6"/>
        <v>12.813070780813593</v>
      </c>
      <c r="R19" s="129">
        <f t="shared" si="7"/>
        <v>13.057480458553494</v>
      </c>
      <c r="S19" s="61">
        <f t="shared" si="8"/>
        <v>17.506211881635419</v>
      </c>
      <c r="T19" s="61">
        <f t="shared" si="22"/>
        <v>20.986823122054439</v>
      </c>
      <c r="U19" s="61">
        <f t="shared" si="9"/>
        <v>15.042715308242899</v>
      </c>
      <c r="V19" s="61"/>
      <c r="Y19" s="162" t="s">
        <v>43</v>
      </c>
      <c r="Z19" s="162" t="s">
        <v>159</v>
      </c>
      <c r="AA19" s="162" t="s">
        <v>201</v>
      </c>
      <c r="AB19" s="162">
        <f t="shared" si="21"/>
        <v>7</v>
      </c>
      <c r="AC19" s="165">
        <f t="shared" si="23"/>
        <v>1.2440291848196945</v>
      </c>
      <c r="AD19" s="165">
        <f t="shared" si="24"/>
        <v>18.309463633810729</v>
      </c>
      <c r="AE19" s="162"/>
      <c r="AF19" s="162">
        <f t="shared" si="11"/>
        <v>11</v>
      </c>
      <c r="AG19" s="167">
        <f t="shared" si="12"/>
        <v>1379</v>
      </c>
      <c r="AH19" s="165">
        <f t="shared" si="13"/>
        <v>14.147942956807222</v>
      </c>
      <c r="AI19" s="165">
        <f t="shared" si="14"/>
        <v>13.470173308253539</v>
      </c>
      <c r="AJ19" s="165">
        <f t="shared" si="15"/>
        <v>14.853961285508202</v>
      </c>
      <c r="AK19" s="167">
        <f t="shared" si="16"/>
        <v>4</v>
      </c>
    </row>
    <row r="20" spans="1:37" x14ac:dyDescent="0.2">
      <c r="A20" s="62" t="s">
        <v>43</v>
      </c>
      <c r="B20" s="62" t="s">
        <v>159</v>
      </c>
      <c r="C20" s="62" t="s">
        <v>201</v>
      </c>
      <c r="D20" s="62"/>
      <c r="E20" s="62">
        <f t="shared" si="3"/>
        <v>11</v>
      </c>
      <c r="F20" s="128">
        <v>1379</v>
      </c>
      <c r="G20" s="129">
        <v>14.147942956807222</v>
      </c>
      <c r="H20" s="129">
        <v>13.470173308253539</v>
      </c>
      <c r="I20" s="129">
        <v>14.853961285508202</v>
      </c>
      <c r="J20" s="129"/>
      <c r="K20" s="129"/>
      <c r="L20" s="129"/>
      <c r="M20" s="60">
        <f t="shared" si="19"/>
        <v>4</v>
      </c>
      <c r="N20" s="61">
        <f t="shared" si="4"/>
        <v>1.2440291848196945</v>
      </c>
      <c r="O20" s="61">
        <f t="shared" si="17"/>
        <v>10.094212651413191</v>
      </c>
      <c r="P20" s="129">
        <f t="shared" si="5"/>
        <v>12.934784109581475</v>
      </c>
      <c r="Q20" s="129">
        <f t="shared" si="6"/>
        <v>12.813070780813593</v>
      </c>
      <c r="R20" s="129">
        <f t="shared" si="7"/>
        <v>13.057480458553494</v>
      </c>
      <c r="S20" s="61">
        <f t="shared" si="8"/>
        <v>17.506211881635419</v>
      </c>
      <c r="T20" s="61">
        <f t="shared" si="22"/>
        <v>20.986823122054439</v>
      </c>
      <c r="U20" s="61">
        <f t="shared" si="9"/>
        <v>7.9910820169821166</v>
      </c>
      <c r="V20" s="61"/>
      <c r="Y20" s="162" t="s">
        <v>48</v>
      </c>
      <c r="Z20" s="162" t="s">
        <v>160</v>
      </c>
      <c r="AA20" s="162" t="s">
        <v>201</v>
      </c>
      <c r="AB20" s="162">
        <f t="shared" si="21"/>
        <v>8</v>
      </c>
      <c r="AC20" s="165">
        <f t="shared" si="23"/>
        <v>1.2440291848196945</v>
      </c>
      <c r="AD20" s="165">
        <f t="shared" si="24"/>
        <v>18.309463633810729</v>
      </c>
      <c r="AE20" s="162"/>
      <c r="AF20" s="162">
        <f t="shared" si="11"/>
        <v>23</v>
      </c>
      <c r="AG20" s="167">
        <f t="shared" si="12"/>
        <v>1111</v>
      </c>
      <c r="AH20" s="165">
        <f t="shared" si="13"/>
        <v>17.991902834008098</v>
      </c>
      <c r="AI20" s="165">
        <f t="shared" si="14"/>
        <v>17.053825382884259</v>
      </c>
      <c r="AJ20" s="165">
        <f t="shared" si="15"/>
        <v>18.969779910356628</v>
      </c>
      <c r="AK20" s="167">
        <f t="shared" si="16"/>
        <v>4</v>
      </c>
    </row>
    <row r="21" spans="1:37" x14ac:dyDescent="0.2">
      <c r="A21" s="62" t="s">
        <v>44</v>
      </c>
      <c r="B21" s="62" t="s">
        <v>66</v>
      </c>
      <c r="C21" s="62" t="s">
        <v>200</v>
      </c>
      <c r="D21" s="62"/>
      <c r="E21" s="62">
        <f t="shared" si="3"/>
        <v>20</v>
      </c>
      <c r="F21" s="128">
        <v>775</v>
      </c>
      <c r="G21" s="129">
        <v>17.506211881635419</v>
      </c>
      <c r="H21" s="129">
        <v>16.415076202488244</v>
      </c>
      <c r="I21" s="129">
        <v>18.653690605391677</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4</v>
      </c>
      <c r="N21" s="61">
        <f t="shared" si="4"/>
        <v>1.2440291848196945</v>
      </c>
      <c r="O21" s="61">
        <f t="shared" si="17"/>
        <v>10.094212651413191</v>
      </c>
      <c r="P21" s="129">
        <f t="shared" si="5"/>
        <v>12.934784109581475</v>
      </c>
      <c r="Q21" s="129">
        <f t="shared" si="6"/>
        <v>12.813070780813593</v>
      </c>
      <c r="R21" s="129">
        <f t="shared" si="7"/>
        <v>13.057480458553494</v>
      </c>
      <c r="S21" s="61">
        <f t="shared" si="8"/>
        <v>17.506211881635419</v>
      </c>
      <c r="T21" s="61">
        <f t="shared" si="22"/>
        <v>20.986823122054439</v>
      </c>
      <c r="U21" s="61">
        <f t="shared" si="9"/>
        <v>15.042715308242899</v>
      </c>
      <c r="V21" s="61"/>
      <c r="Y21" s="162" t="s">
        <v>52</v>
      </c>
      <c r="Z21" s="162" t="s">
        <v>72</v>
      </c>
      <c r="AA21" s="162" t="s">
        <v>201</v>
      </c>
      <c r="AB21" s="162">
        <f t="shared" si="21"/>
        <v>5</v>
      </c>
      <c r="AC21" s="165">
        <f t="shared" si="23"/>
        <v>1.2440291848196945</v>
      </c>
      <c r="AD21" s="165">
        <f t="shared" si="24"/>
        <v>18.309463633810729</v>
      </c>
      <c r="AE21" s="162"/>
      <c r="AF21" s="162">
        <f t="shared" si="11"/>
        <v>5</v>
      </c>
      <c r="AG21" s="167">
        <f t="shared" si="12"/>
        <v>365</v>
      </c>
      <c r="AH21" s="165">
        <f t="shared" si="13"/>
        <v>8.4043288049735203</v>
      </c>
      <c r="AI21" s="165">
        <f t="shared" si="14"/>
        <v>7.6154667371758213</v>
      </c>
      <c r="AJ21" s="165">
        <f t="shared" si="15"/>
        <v>9.2667100289348667</v>
      </c>
      <c r="AK21" s="167">
        <f t="shared" si="16"/>
        <v>3</v>
      </c>
    </row>
    <row r="22" spans="1:37" x14ac:dyDescent="0.2">
      <c r="A22" s="62" t="s">
        <v>45</v>
      </c>
      <c r="B22" s="62" t="s">
        <v>67</v>
      </c>
      <c r="C22" s="62" t="s">
        <v>163</v>
      </c>
      <c r="D22" s="62"/>
      <c r="E22" s="62">
        <f t="shared" si="3"/>
        <v>18</v>
      </c>
      <c r="F22" s="128">
        <v>1481</v>
      </c>
      <c r="G22" s="129">
        <v>16.904462960849219</v>
      </c>
      <c r="H22" s="129">
        <v>16.134202781876539</v>
      </c>
      <c r="I22" s="129">
        <v>17.703733394777899</v>
      </c>
      <c r="J22" s="129"/>
      <c r="K22" s="129"/>
      <c r="L22" s="129"/>
      <c r="M22" s="60">
        <f t="shared" si="19"/>
        <v>4</v>
      </c>
      <c r="N22" s="61">
        <f t="shared" si="4"/>
        <v>1.2440291848196945</v>
      </c>
      <c r="O22" s="61">
        <f t="shared" si="17"/>
        <v>10.094212651413191</v>
      </c>
      <c r="P22" s="129">
        <f t="shared" si="5"/>
        <v>12.934784109581475</v>
      </c>
      <c r="Q22" s="129">
        <f t="shared" si="6"/>
        <v>12.813070780813593</v>
      </c>
      <c r="R22" s="129">
        <f t="shared" si="7"/>
        <v>13.057480458553494</v>
      </c>
      <c r="S22" s="61">
        <f t="shared" si="8"/>
        <v>17.506211881635419</v>
      </c>
      <c r="T22" s="61">
        <f t="shared" si="22"/>
        <v>20.986823122054439</v>
      </c>
      <c r="U22" s="61">
        <f>VLOOKUP(C22,$C$43:$I$46,5,FALSE)</f>
        <v>16.400946149356432</v>
      </c>
      <c r="V22" s="61"/>
      <c r="Y22" s="162" t="s">
        <v>54</v>
      </c>
      <c r="Z22" s="162" t="s">
        <v>73</v>
      </c>
      <c r="AA22" s="162" t="s">
        <v>201</v>
      </c>
      <c r="AB22" s="162">
        <f t="shared" si="21"/>
        <v>2</v>
      </c>
      <c r="AC22" s="165">
        <f t="shared" si="23"/>
        <v>1.2440291848196945</v>
      </c>
      <c r="AD22" s="165">
        <f t="shared" si="24"/>
        <v>18.309463633810729</v>
      </c>
      <c r="AE22" s="162"/>
      <c r="AF22" s="162">
        <f t="shared" si="11"/>
        <v>2</v>
      </c>
      <c r="AG22" s="167">
        <f t="shared" si="12"/>
        <v>308</v>
      </c>
      <c r="AH22" s="165">
        <f t="shared" si="13"/>
        <v>4.6149235840575367</v>
      </c>
      <c r="AI22" s="165">
        <f t="shared" si="14"/>
        <v>4.137140974185785</v>
      </c>
      <c r="AJ22" s="165">
        <f t="shared" si="15"/>
        <v>5.1449221392167015</v>
      </c>
      <c r="AK22" s="167">
        <f t="shared" si="16"/>
        <v>3</v>
      </c>
    </row>
    <row r="23" spans="1:37" x14ac:dyDescent="0.2">
      <c r="A23" s="62" t="s">
        <v>46</v>
      </c>
      <c r="B23" s="62" t="s">
        <v>68</v>
      </c>
      <c r="C23" s="62" t="s">
        <v>163</v>
      </c>
      <c r="D23" s="62"/>
      <c r="E23" s="62">
        <f t="shared" si="3"/>
        <v>26</v>
      </c>
      <c r="F23" s="128">
        <v>2182</v>
      </c>
      <c r="G23" s="129">
        <v>20.986823122054439</v>
      </c>
      <c r="H23" s="129">
        <v>20.214870708129485</v>
      </c>
      <c r="I23" s="129">
        <v>21.780207056626143</v>
      </c>
      <c r="J23" s="129"/>
      <c r="K23" s="129"/>
      <c r="L23" s="129"/>
      <c r="M23" s="60">
        <f t="shared" si="19"/>
        <v>4</v>
      </c>
      <c r="N23" s="61">
        <f t="shared" si="4"/>
        <v>1.2440291848196945</v>
      </c>
      <c r="O23" s="61">
        <f t="shared" si="17"/>
        <v>10.094212651413191</v>
      </c>
      <c r="P23" s="129">
        <f t="shared" si="5"/>
        <v>12.934784109581475</v>
      </c>
      <c r="Q23" s="129">
        <f t="shared" si="6"/>
        <v>12.813070780813593</v>
      </c>
      <c r="R23" s="129">
        <f t="shared" si="7"/>
        <v>13.057480458553494</v>
      </c>
      <c r="S23" s="61">
        <f t="shared" si="8"/>
        <v>17.506211881635419</v>
      </c>
      <c r="T23" s="61">
        <f t="shared" si="22"/>
        <v>20.986823122054439</v>
      </c>
      <c r="U23" s="61">
        <f t="shared" si="9"/>
        <v>16.400946149356432</v>
      </c>
      <c r="V23" s="61"/>
      <c r="Y23" s="163" t="s">
        <v>30</v>
      </c>
      <c r="Z23" s="163" t="s">
        <v>56</v>
      </c>
      <c r="AA23" s="163" t="s">
        <v>200</v>
      </c>
      <c r="AB23" s="163">
        <f>RANK(AH23,$AH$23:$AH$31,1)</f>
        <v>8</v>
      </c>
      <c r="AC23" s="166">
        <f>MIN($AH$23:$AH$31)</f>
        <v>10.094212651413191</v>
      </c>
      <c r="AD23" s="166">
        <f>MAX($AH$23:$AH$31)</f>
        <v>19.68638284042899</v>
      </c>
      <c r="AE23" s="163"/>
      <c r="AF23" s="163">
        <f t="shared" si="11"/>
        <v>22</v>
      </c>
      <c r="AG23" s="168">
        <f t="shared" si="12"/>
        <v>2072</v>
      </c>
      <c r="AH23" s="166">
        <f t="shared" si="13"/>
        <v>17.945608868872338</v>
      </c>
      <c r="AI23" s="166">
        <f t="shared" si="14"/>
        <v>17.256362875277627</v>
      </c>
      <c r="AJ23" s="166">
        <f t="shared" si="15"/>
        <v>18.656177341046803</v>
      </c>
      <c r="AK23" s="168">
        <f t="shared" si="16"/>
        <v>4</v>
      </c>
    </row>
    <row r="24" spans="1:37" x14ac:dyDescent="0.2">
      <c r="A24" s="62" t="s">
        <v>47</v>
      </c>
      <c r="B24" s="62" t="s">
        <v>69</v>
      </c>
      <c r="C24" s="62" t="s">
        <v>163</v>
      </c>
      <c r="D24" s="62"/>
      <c r="E24" s="62">
        <f t="shared" si="3"/>
        <v>16</v>
      </c>
      <c r="F24" s="128">
        <v>876</v>
      </c>
      <c r="G24" s="129">
        <v>16.222222222222221</v>
      </c>
      <c r="H24" s="129">
        <v>15.263024817865251</v>
      </c>
      <c r="I24" s="129">
        <v>17.229443219934652</v>
      </c>
      <c r="J24" s="129"/>
      <c r="K24" s="129"/>
      <c r="L24" s="129"/>
      <c r="M24" s="60">
        <f t="shared" si="19"/>
        <v>4</v>
      </c>
      <c r="N24" s="61">
        <f t="shared" si="4"/>
        <v>1.2440291848196945</v>
      </c>
      <c r="O24" s="61">
        <f t="shared" si="17"/>
        <v>10.094212651413191</v>
      </c>
      <c r="P24" s="129">
        <f t="shared" si="5"/>
        <v>12.934784109581475</v>
      </c>
      <c r="Q24" s="129">
        <f t="shared" si="6"/>
        <v>12.813070780813593</v>
      </c>
      <c r="R24" s="129">
        <f t="shared" si="7"/>
        <v>13.057480458553494</v>
      </c>
      <c r="S24" s="61">
        <f t="shared" si="8"/>
        <v>17.506211881635419</v>
      </c>
      <c r="T24" s="61">
        <f t="shared" si="22"/>
        <v>20.986823122054439</v>
      </c>
      <c r="U24" s="61">
        <f t="shared" si="9"/>
        <v>16.400946149356432</v>
      </c>
      <c r="V24" s="61"/>
      <c r="Y24" s="163" t="s">
        <v>31</v>
      </c>
      <c r="Z24" s="163" t="s">
        <v>57</v>
      </c>
      <c r="AA24" s="163" t="s">
        <v>200</v>
      </c>
      <c r="AB24" s="163">
        <f t="shared" ref="AB24:AB31" si="25">RANK(AH24,$AH$23:$AH$31,1)</f>
        <v>9</v>
      </c>
      <c r="AC24" s="166">
        <f t="shared" ref="AC24:AC31" si="26">MIN($AH$23:$AH$31)</f>
        <v>10.094212651413191</v>
      </c>
      <c r="AD24" s="166">
        <f t="shared" ref="AD24:AD31" si="27">MAX($AH$23:$AH$31)</f>
        <v>19.68638284042899</v>
      </c>
      <c r="AE24" s="163"/>
      <c r="AF24" s="163">
        <f t="shared" si="11"/>
        <v>25</v>
      </c>
      <c r="AG24" s="168">
        <f t="shared" si="12"/>
        <v>2423</v>
      </c>
      <c r="AH24" s="166">
        <f t="shared" si="13"/>
        <v>19.68638284042899</v>
      </c>
      <c r="AI24" s="166">
        <f t="shared" si="14"/>
        <v>18.993410345390391</v>
      </c>
      <c r="AJ24" s="166">
        <f t="shared" si="15"/>
        <v>20.398271841566903</v>
      </c>
      <c r="AK24" s="168">
        <f t="shared" si="16"/>
        <v>4</v>
      </c>
    </row>
    <row r="25" spans="1:37" x14ac:dyDescent="0.2">
      <c r="A25" s="62" t="s">
        <v>48</v>
      </c>
      <c r="B25" s="62" t="s">
        <v>160</v>
      </c>
      <c r="C25" s="62" t="s">
        <v>201</v>
      </c>
      <c r="D25" s="62"/>
      <c r="E25" s="62">
        <f t="shared" si="3"/>
        <v>23</v>
      </c>
      <c r="F25" s="128">
        <v>1111</v>
      </c>
      <c r="G25" s="129">
        <v>17.991902834008098</v>
      </c>
      <c r="H25" s="129">
        <v>17.053825382884259</v>
      </c>
      <c r="I25" s="129">
        <v>18.969779910356628</v>
      </c>
      <c r="J25" s="129"/>
      <c r="K25" s="129"/>
      <c r="L25" s="129"/>
      <c r="M25" s="60">
        <f t="shared" si="19"/>
        <v>4</v>
      </c>
      <c r="N25" s="61">
        <f t="shared" si="4"/>
        <v>1.2440291848196945</v>
      </c>
      <c r="O25" s="61">
        <f t="shared" si="17"/>
        <v>10.094212651413191</v>
      </c>
      <c r="P25" s="129">
        <f t="shared" si="5"/>
        <v>12.934784109581475</v>
      </c>
      <c r="Q25" s="129">
        <f t="shared" si="6"/>
        <v>12.813070780813593</v>
      </c>
      <c r="R25" s="129">
        <f t="shared" si="7"/>
        <v>13.057480458553494</v>
      </c>
      <c r="S25" s="61">
        <f t="shared" si="8"/>
        <v>17.506211881635419</v>
      </c>
      <c r="T25" s="61">
        <f t="shared" si="22"/>
        <v>20.986823122054439</v>
      </c>
      <c r="U25" s="61">
        <f t="shared" si="9"/>
        <v>7.9910820169821166</v>
      </c>
      <c r="V25" s="61"/>
      <c r="Y25" s="163" t="s">
        <v>34</v>
      </c>
      <c r="Z25" s="163" t="s">
        <v>59</v>
      </c>
      <c r="AA25" s="163" t="s">
        <v>200</v>
      </c>
      <c r="AB25" s="163">
        <f t="shared" si="25"/>
        <v>4</v>
      </c>
      <c r="AC25" s="166">
        <f t="shared" si="26"/>
        <v>10.094212651413191</v>
      </c>
      <c r="AD25" s="166">
        <f t="shared" si="27"/>
        <v>19.68638284042899</v>
      </c>
      <c r="AE25" s="163"/>
      <c r="AF25" s="163">
        <f t="shared" si="11"/>
        <v>10</v>
      </c>
      <c r="AG25" s="168">
        <f t="shared" si="12"/>
        <v>2026</v>
      </c>
      <c r="AH25" s="166">
        <f t="shared" si="13"/>
        <v>13.056647547850746</v>
      </c>
      <c r="AI25" s="166">
        <f t="shared" si="14"/>
        <v>12.535652949943621</v>
      </c>
      <c r="AJ25" s="166">
        <f t="shared" si="15"/>
        <v>13.59592934590998</v>
      </c>
      <c r="AK25" s="168">
        <f t="shared" si="16"/>
        <v>5</v>
      </c>
    </row>
    <row r="26" spans="1:37" x14ac:dyDescent="0.2">
      <c r="A26" s="62" t="s">
        <v>49</v>
      </c>
      <c r="B26" s="62" t="s">
        <v>70</v>
      </c>
      <c r="C26" s="62" t="s">
        <v>200</v>
      </c>
      <c r="D26" s="62"/>
      <c r="E26" s="62">
        <f t="shared" si="3"/>
        <v>9</v>
      </c>
      <c r="F26" s="128">
        <v>1158</v>
      </c>
      <c r="G26" s="129">
        <v>12.399614519755863</v>
      </c>
      <c r="H26" s="129">
        <v>11.746604583233776</v>
      </c>
      <c r="I26" s="129">
        <v>13.083544457029589</v>
      </c>
      <c r="J26" s="129"/>
      <c r="K26" s="129"/>
      <c r="L26" s="129"/>
      <c r="M26" s="60">
        <f t="shared" si="19"/>
        <v>5</v>
      </c>
      <c r="N26" s="61">
        <f t="shared" si="4"/>
        <v>1.2440291848196945</v>
      </c>
      <c r="O26" s="61">
        <f t="shared" si="17"/>
        <v>10.094212651413191</v>
      </c>
      <c r="P26" s="129">
        <f t="shared" si="5"/>
        <v>12.934784109581475</v>
      </c>
      <c r="Q26" s="129">
        <f t="shared" si="6"/>
        <v>12.813070780813593</v>
      </c>
      <c r="R26" s="129">
        <f t="shared" si="7"/>
        <v>13.057480458553494</v>
      </c>
      <c r="S26" s="61">
        <f t="shared" si="8"/>
        <v>17.506211881635419</v>
      </c>
      <c r="T26" s="61">
        <f t="shared" si="22"/>
        <v>20.986823122054439</v>
      </c>
      <c r="U26" s="61">
        <f t="shared" si="9"/>
        <v>15.042715308242899</v>
      </c>
      <c r="V26" s="61"/>
      <c r="Y26" s="163" t="s">
        <v>39</v>
      </c>
      <c r="Z26" s="163" t="s">
        <v>158</v>
      </c>
      <c r="AA26" s="163" t="s">
        <v>200</v>
      </c>
      <c r="AB26" s="163">
        <f t="shared" si="25"/>
        <v>5</v>
      </c>
      <c r="AC26" s="166">
        <f t="shared" si="26"/>
        <v>10.094212651413191</v>
      </c>
      <c r="AD26" s="166">
        <f t="shared" si="27"/>
        <v>19.68638284042899</v>
      </c>
      <c r="AE26" s="163"/>
      <c r="AF26" s="163">
        <f t="shared" si="11"/>
        <v>12</v>
      </c>
      <c r="AG26" s="168">
        <f t="shared" si="12"/>
        <v>2071</v>
      </c>
      <c r="AH26" s="166">
        <f t="shared" si="13"/>
        <v>14.221947534679302</v>
      </c>
      <c r="AI26" s="166">
        <f t="shared" si="14"/>
        <v>13.664089536756114</v>
      </c>
      <c r="AJ26" s="166">
        <f t="shared" si="15"/>
        <v>14.798677070593444</v>
      </c>
      <c r="AK26" s="168">
        <f t="shared" si="16"/>
        <v>4</v>
      </c>
    </row>
    <row r="27" spans="1:37" x14ac:dyDescent="0.2">
      <c r="A27" s="62" t="s">
        <v>50</v>
      </c>
      <c r="B27" s="62" t="s">
        <v>161</v>
      </c>
      <c r="C27" s="62" t="s">
        <v>163</v>
      </c>
      <c r="D27" s="62"/>
      <c r="E27" s="62">
        <f t="shared" si="3"/>
        <v>15</v>
      </c>
      <c r="F27" s="128">
        <v>880</v>
      </c>
      <c r="G27" s="129">
        <v>15.086576375792903</v>
      </c>
      <c r="H27" s="129">
        <v>14.191055464336074</v>
      </c>
      <c r="I27" s="129">
        <v>16.028053128294257</v>
      </c>
      <c r="J27" s="129"/>
      <c r="K27" s="129"/>
      <c r="L27" s="129"/>
      <c r="M27" s="60">
        <f t="shared" si="19"/>
        <v>4</v>
      </c>
      <c r="N27" s="61">
        <f t="shared" si="4"/>
        <v>1.2440291848196945</v>
      </c>
      <c r="O27" s="61">
        <f t="shared" si="17"/>
        <v>10.094212651413191</v>
      </c>
      <c r="P27" s="129">
        <f t="shared" si="5"/>
        <v>12.934784109581475</v>
      </c>
      <c r="Q27" s="129">
        <f t="shared" si="6"/>
        <v>12.813070780813593</v>
      </c>
      <c r="R27" s="129">
        <f t="shared" si="7"/>
        <v>13.057480458553494</v>
      </c>
      <c r="S27" s="61">
        <f t="shared" si="8"/>
        <v>17.506211881635419</v>
      </c>
      <c r="T27" s="61">
        <f t="shared" si="22"/>
        <v>20.986823122054439</v>
      </c>
      <c r="U27" s="61">
        <f t="shared" si="9"/>
        <v>16.400946149356432</v>
      </c>
      <c r="V27" s="61"/>
      <c r="Y27" s="163" t="s">
        <v>40</v>
      </c>
      <c r="Z27" s="163" t="s">
        <v>63</v>
      </c>
      <c r="AA27" s="163" t="s">
        <v>200</v>
      </c>
      <c r="AB27" s="163">
        <f t="shared" si="25"/>
        <v>6</v>
      </c>
      <c r="AC27" s="166">
        <f t="shared" si="26"/>
        <v>10.094212651413191</v>
      </c>
      <c r="AD27" s="166">
        <f t="shared" si="27"/>
        <v>19.68638284042899</v>
      </c>
      <c r="AE27" s="163"/>
      <c r="AF27" s="163">
        <f t="shared" si="11"/>
        <v>17</v>
      </c>
      <c r="AG27" s="168">
        <f t="shared" si="12"/>
        <v>1349</v>
      </c>
      <c r="AH27" s="166">
        <f t="shared" si="13"/>
        <v>16.493458858051106</v>
      </c>
      <c r="AI27" s="166">
        <f t="shared" si="14"/>
        <v>15.70493091586054</v>
      </c>
      <c r="AJ27" s="166">
        <f t="shared" si="15"/>
        <v>17.313446287430427</v>
      </c>
      <c r="AK27" s="168">
        <f t="shared" si="16"/>
        <v>4</v>
      </c>
    </row>
    <row r="28" spans="1:37" x14ac:dyDescent="0.2">
      <c r="A28" s="62" t="s">
        <v>51</v>
      </c>
      <c r="B28" s="62" t="s">
        <v>71</v>
      </c>
      <c r="C28" s="62" t="s">
        <v>200</v>
      </c>
      <c r="D28" s="62"/>
      <c r="E28" s="62">
        <f t="shared" si="3"/>
        <v>8</v>
      </c>
      <c r="F28" s="128">
        <v>631</v>
      </c>
      <c r="G28" s="129">
        <v>11.387836130662336</v>
      </c>
      <c r="H28" s="129">
        <v>10.578034564434905</v>
      </c>
      <c r="I28" s="129">
        <v>12.251138608893658</v>
      </c>
      <c r="J28" s="129"/>
      <c r="K28" s="129"/>
      <c r="L28" s="129"/>
      <c r="M28" s="60">
        <f t="shared" si="19"/>
        <v>3</v>
      </c>
      <c r="N28" s="61">
        <f t="shared" si="4"/>
        <v>1.2440291848196945</v>
      </c>
      <c r="O28" s="61">
        <f t="shared" si="17"/>
        <v>10.094212651413191</v>
      </c>
      <c r="P28" s="129">
        <f t="shared" si="5"/>
        <v>12.934784109581475</v>
      </c>
      <c r="Q28" s="129">
        <f t="shared" si="6"/>
        <v>12.813070780813593</v>
      </c>
      <c r="R28" s="129">
        <f t="shared" si="7"/>
        <v>13.057480458553494</v>
      </c>
      <c r="S28" s="61">
        <f t="shared" si="8"/>
        <v>17.506211881635419</v>
      </c>
      <c r="T28" s="61">
        <f t="shared" si="22"/>
        <v>20.986823122054439</v>
      </c>
      <c r="U28" s="61">
        <f t="shared" si="9"/>
        <v>15.042715308242899</v>
      </c>
      <c r="V28" s="61"/>
      <c r="Y28" s="163" t="s">
        <v>42</v>
      </c>
      <c r="Z28" s="163" t="s">
        <v>65</v>
      </c>
      <c r="AA28" s="163" t="s">
        <v>200</v>
      </c>
      <c r="AB28" s="163">
        <f t="shared" si="25"/>
        <v>1</v>
      </c>
      <c r="AC28" s="166">
        <f t="shared" si="26"/>
        <v>10.094212651413191</v>
      </c>
      <c r="AD28" s="166">
        <f t="shared" si="27"/>
        <v>19.68638284042899</v>
      </c>
      <c r="AE28" s="163"/>
      <c r="AF28" s="163">
        <f t="shared" si="11"/>
        <v>7</v>
      </c>
      <c r="AG28" s="168">
        <f t="shared" si="12"/>
        <v>525</v>
      </c>
      <c r="AH28" s="166">
        <f t="shared" si="13"/>
        <v>10.094212651413191</v>
      </c>
      <c r="AI28" s="166">
        <f t="shared" si="14"/>
        <v>9.3047190026562401</v>
      </c>
      <c r="AJ28" s="166">
        <f t="shared" si="15"/>
        <v>10.942611625152583</v>
      </c>
      <c r="AK28" s="168">
        <f t="shared" si="16"/>
        <v>3</v>
      </c>
    </row>
    <row r="29" spans="1:37" x14ac:dyDescent="0.2">
      <c r="A29" s="62" t="s">
        <v>52</v>
      </c>
      <c r="B29" s="62" t="s">
        <v>72</v>
      </c>
      <c r="C29" s="62" t="s">
        <v>201</v>
      </c>
      <c r="D29" s="62"/>
      <c r="E29" s="62">
        <f t="shared" si="3"/>
        <v>5</v>
      </c>
      <c r="F29" s="128">
        <v>365</v>
      </c>
      <c r="G29" s="129">
        <v>8.4043288049735203</v>
      </c>
      <c r="H29" s="129">
        <v>7.6154667371758213</v>
      </c>
      <c r="I29" s="129">
        <v>9.2667100289348667</v>
      </c>
      <c r="J29" s="129"/>
      <c r="K29" s="129"/>
      <c r="L29" s="129"/>
      <c r="M29" s="60">
        <f t="shared" si="19"/>
        <v>3</v>
      </c>
      <c r="N29" s="61">
        <f t="shared" si="4"/>
        <v>1.2440291848196945</v>
      </c>
      <c r="O29" s="61">
        <f t="shared" si="17"/>
        <v>10.094212651413191</v>
      </c>
      <c r="P29" s="129">
        <f t="shared" si="5"/>
        <v>12.934784109581475</v>
      </c>
      <c r="Q29" s="129">
        <f t="shared" si="6"/>
        <v>12.813070780813593</v>
      </c>
      <c r="R29" s="129">
        <f t="shared" si="7"/>
        <v>13.057480458553494</v>
      </c>
      <c r="S29" s="61">
        <f t="shared" si="8"/>
        <v>17.506211881635419</v>
      </c>
      <c r="T29" s="61">
        <f t="shared" si="22"/>
        <v>20.986823122054439</v>
      </c>
      <c r="U29" s="61">
        <f t="shared" si="9"/>
        <v>7.9910820169821166</v>
      </c>
      <c r="V29" s="61"/>
      <c r="Y29" s="163" t="s">
        <v>44</v>
      </c>
      <c r="Z29" s="163" t="s">
        <v>66</v>
      </c>
      <c r="AA29" s="163" t="s">
        <v>200</v>
      </c>
      <c r="AB29" s="163">
        <f t="shared" si="25"/>
        <v>7</v>
      </c>
      <c r="AC29" s="166">
        <f t="shared" si="26"/>
        <v>10.094212651413191</v>
      </c>
      <c r="AD29" s="166">
        <f t="shared" si="27"/>
        <v>19.68638284042899</v>
      </c>
      <c r="AE29" s="163"/>
      <c r="AF29" s="163">
        <f t="shared" si="11"/>
        <v>20</v>
      </c>
      <c r="AG29" s="168">
        <f t="shared" si="12"/>
        <v>775</v>
      </c>
      <c r="AH29" s="166">
        <f t="shared" si="13"/>
        <v>17.506211881635419</v>
      </c>
      <c r="AI29" s="166">
        <f t="shared" si="14"/>
        <v>16.415076202488244</v>
      </c>
      <c r="AJ29" s="166">
        <f t="shared" si="15"/>
        <v>18.653690605391677</v>
      </c>
      <c r="AK29" s="168">
        <f t="shared" si="16"/>
        <v>4</v>
      </c>
    </row>
    <row r="30" spans="1:37" x14ac:dyDescent="0.2">
      <c r="A30" s="62" t="s">
        <v>53</v>
      </c>
      <c r="B30" s="62" t="s">
        <v>162</v>
      </c>
      <c r="C30" s="62" t="s">
        <v>163</v>
      </c>
      <c r="D30" s="62"/>
      <c r="E30" s="62">
        <f t="shared" si="3"/>
        <v>14</v>
      </c>
      <c r="F30" s="128">
        <v>4171</v>
      </c>
      <c r="G30" s="129">
        <v>14.855575738148664</v>
      </c>
      <c r="H30" s="129">
        <v>14.444382003117671</v>
      </c>
      <c r="I30" s="129">
        <v>15.276384986929619</v>
      </c>
      <c r="J30" s="129"/>
      <c r="K30" s="129"/>
      <c r="L30" s="129"/>
      <c r="M30" s="60">
        <f t="shared" si="19"/>
        <v>4</v>
      </c>
      <c r="N30" s="61">
        <f t="shared" si="4"/>
        <v>1.2440291848196945</v>
      </c>
      <c r="O30" s="61">
        <f t="shared" si="17"/>
        <v>10.094212651413191</v>
      </c>
      <c r="P30" s="129">
        <f>$G$32</f>
        <v>12.934784109581475</v>
      </c>
      <c r="Q30" s="129">
        <f t="shared" si="6"/>
        <v>12.813070780813593</v>
      </c>
      <c r="R30" s="129">
        <f t="shared" si="7"/>
        <v>13.057480458553494</v>
      </c>
      <c r="S30" s="61">
        <f t="shared" si="8"/>
        <v>17.506211881635419</v>
      </c>
      <c r="T30" s="61">
        <f t="shared" si="22"/>
        <v>20.986823122054439</v>
      </c>
      <c r="U30" s="61">
        <f t="shared" si="9"/>
        <v>16.400946149356432</v>
      </c>
      <c r="V30" s="61"/>
      <c r="Y30" s="163" t="s">
        <v>49</v>
      </c>
      <c r="Z30" s="163" t="s">
        <v>70</v>
      </c>
      <c r="AA30" s="163" t="s">
        <v>200</v>
      </c>
      <c r="AB30" s="163">
        <f t="shared" si="25"/>
        <v>3</v>
      </c>
      <c r="AC30" s="166">
        <f t="shared" si="26"/>
        <v>10.094212651413191</v>
      </c>
      <c r="AD30" s="166">
        <f t="shared" si="27"/>
        <v>19.68638284042899</v>
      </c>
      <c r="AE30" s="163"/>
      <c r="AF30" s="163">
        <f t="shared" si="11"/>
        <v>9</v>
      </c>
      <c r="AG30" s="168">
        <f t="shared" si="12"/>
        <v>1158</v>
      </c>
      <c r="AH30" s="166">
        <f t="shared" si="13"/>
        <v>12.399614519755863</v>
      </c>
      <c r="AI30" s="166">
        <f t="shared" si="14"/>
        <v>11.746604583233776</v>
      </c>
      <c r="AJ30" s="166">
        <f t="shared" si="15"/>
        <v>13.083544457029589</v>
      </c>
      <c r="AK30" s="168">
        <f t="shared" si="16"/>
        <v>5</v>
      </c>
    </row>
    <row r="31" spans="1:37" x14ac:dyDescent="0.2">
      <c r="A31" s="62" t="s">
        <v>54</v>
      </c>
      <c r="B31" s="62" t="s">
        <v>73</v>
      </c>
      <c r="C31" s="62" t="s">
        <v>201</v>
      </c>
      <c r="D31" s="62"/>
      <c r="E31" s="62">
        <f t="shared" si="3"/>
        <v>2</v>
      </c>
      <c r="F31" s="128">
        <v>308</v>
      </c>
      <c r="G31" s="129">
        <v>4.6149235840575367</v>
      </c>
      <c r="H31" s="129">
        <v>4.137140974185785</v>
      </c>
      <c r="I31" s="129">
        <v>5.1449221392167015</v>
      </c>
      <c r="J31" s="129"/>
      <c r="K31" s="129"/>
      <c r="L31" s="129"/>
      <c r="M31" s="60">
        <f t="shared" si="19"/>
        <v>3</v>
      </c>
      <c r="N31" s="61">
        <f t="shared" si="4"/>
        <v>1.2440291848196945</v>
      </c>
      <c r="O31" s="61">
        <f t="shared" si="17"/>
        <v>10.094212651413191</v>
      </c>
      <c r="P31" s="129">
        <f t="shared" si="5"/>
        <v>12.934784109581475</v>
      </c>
      <c r="Q31" s="129">
        <f t="shared" si="6"/>
        <v>12.813070780813593</v>
      </c>
      <c r="R31" s="129">
        <f t="shared" si="7"/>
        <v>13.057480458553494</v>
      </c>
      <c r="S31" s="61">
        <f t="shared" si="8"/>
        <v>17.506211881635419</v>
      </c>
      <c r="T31" s="61">
        <f t="shared" si="22"/>
        <v>20.986823122054439</v>
      </c>
      <c r="U31" s="61">
        <f t="shared" si="9"/>
        <v>7.9910820169821166</v>
      </c>
      <c r="V31" s="61"/>
      <c r="Y31" s="163" t="s">
        <v>51</v>
      </c>
      <c r="Z31" s="163" t="s">
        <v>71</v>
      </c>
      <c r="AA31" s="163" t="s">
        <v>200</v>
      </c>
      <c r="AB31" s="163">
        <f t="shared" si="25"/>
        <v>2</v>
      </c>
      <c r="AC31" s="166">
        <f t="shared" si="26"/>
        <v>10.094212651413191</v>
      </c>
      <c r="AD31" s="166">
        <f t="shared" si="27"/>
        <v>19.68638284042899</v>
      </c>
      <c r="AE31" s="163"/>
      <c r="AF31" s="163">
        <f t="shared" si="11"/>
        <v>8</v>
      </c>
      <c r="AG31" s="168">
        <f t="shared" si="12"/>
        <v>631</v>
      </c>
      <c r="AH31" s="166">
        <f t="shared" si="13"/>
        <v>11.387836130662336</v>
      </c>
      <c r="AI31" s="166">
        <f t="shared" si="14"/>
        <v>10.578034564434905</v>
      </c>
      <c r="AJ31" s="166">
        <f t="shared" si="15"/>
        <v>12.251138608893658</v>
      </c>
      <c r="AK31" s="168">
        <f t="shared" si="16"/>
        <v>3</v>
      </c>
    </row>
    <row r="32" spans="1:37" x14ac:dyDescent="0.2">
      <c r="A32" s="62"/>
      <c r="B32" s="62" t="s">
        <v>171</v>
      </c>
      <c r="C32" s="62"/>
      <c r="D32" s="62"/>
      <c r="E32" s="62"/>
      <c r="F32" s="128">
        <v>37470</v>
      </c>
      <c r="G32" s="129">
        <v>12.934784109581475</v>
      </c>
      <c r="H32" s="129">
        <v>12.813070780813593</v>
      </c>
      <c r="I32" s="129">
        <v>13.057480458553494</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16017</v>
      </c>
      <c r="G44" s="129">
        <v>16.400946149356432</v>
      </c>
      <c r="H44" s="129">
        <v>16.170033850737571</v>
      </c>
      <c r="I44" s="129">
        <v>16.634501610509865</v>
      </c>
      <c r="J44" s="129">
        <f>VLOOKUP($C44,$AA$6:$AD$13,3,FALSE)</f>
        <v>14.287742210234937</v>
      </c>
      <c r="K44" s="129">
        <f>VLOOKUP($C44,$AA$6:$AD$13,4,FALSE)</f>
        <v>20.986823122054439</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4</v>
      </c>
      <c r="N44" s="61">
        <f>MIN($G$6:$G$31)</f>
        <v>1.2440291848196945</v>
      </c>
      <c r="O44" s="61">
        <f>VLOOKUP(7,$E$5:$G$39,3,FALSE)</f>
        <v>10.094212651413191</v>
      </c>
      <c r="P44" s="129">
        <f>$G$32</f>
        <v>12.934784109581475</v>
      </c>
      <c r="Q44" s="129">
        <f>$H$32</f>
        <v>12.813070780813593</v>
      </c>
      <c r="R44" s="129">
        <f>$I$32</f>
        <v>13.057480458553494</v>
      </c>
      <c r="S44" s="61">
        <f>VLOOKUP(20,$E$5:$G$39,3,FALSE)</f>
        <v>17.506211881635419</v>
      </c>
      <c r="T44" s="61">
        <f>MAX($G$6:$G$31)</f>
        <v>20.986823122054439</v>
      </c>
    </row>
    <row r="45" spans="1:22" x14ac:dyDescent="0.2">
      <c r="C45" s="62" t="s">
        <v>201</v>
      </c>
      <c r="D45" s="62"/>
      <c r="E45" s="62"/>
      <c r="F45" s="128">
        <v>8423</v>
      </c>
      <c r="G45" s="129">
        <v>7.9910820169821166</v>
      </c>
      <c r="H45" s="129">
        <v>7.8289138549650996</v>
      </c>
      <c r="I45" s="129">
        <v>8.156312076394082</v>
      </c>
      <c r="J45" s="129">
        <f>VLOOKUP($C45,$AA$14:$AD$22,3,FALSE)</f>
        <v>1.2440291848196945</v>
      </c>
      <c r="K45" s="129">
        <f>VLOOKUP($C45,$AA$14:$AD$22,4,FALSE)</f>
        <v>18.309463633810729</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3</v>
      </c>
      <c r="N45" s="61">
        <f t="shared" ref="N45:N46" si="28">MIN($G$6:$G$31)</f>
        <v>1.2440291848196945</v>
      </c>
      <c r="O45" s="61">
        <f t="shared" ref="O45:O46" si="29">VLOOKUP(7,$E$5:$G$39,3,FALSE)</f>
        <v>10.094212651413191</v>
      </c>
      <c r="P45" s="129">
        <f>$G$32</f>
        <v>12.934784109581475</v>
      </c>
      <c r="Q45" s="129">
        <f t="shared" ref="Q45:Q46" si="30">$H$32</f>
        <v>12.813070780813593</v>
      </c>
      <c r="R45" s="129">
        <f t="shared" ref="R45:R46" si="31">$I$32</f>
        <v>13.057480458553494</v>
      </c>
      <c r="S45" s="61">
        <f t="shared" ref="S45:S46" si="32">VLOOKUP(20,$E$5:$G$39,3,FALSE)</f>
        <v>17.506211881635419</v>
      </c>
      <c r="T45" s="61">
        <f t="shared" ref="T45:T46" si="33">MAX($G$6:$G$31)</f>
        <v>20.986823122054439</v>
      </c>
    </row>
    <row r="46" spans="1:22" x14ac:dyDescent="0.2">
      <c r="C46" s="62" t="s">
        <v>200</v>
      </c>
      <c r="D46" s="62"/>
      <c r="E46" s="62"/>
      <c r="F46" s="128">
        <v>13030</v>
      </c>
      <c r="G46" s="129">
        <v>15.042715308242899</v>
      </c>
      <c r="H46" s="129">
        <v>14.806196999034174</v>
      </c>
      <c r="I46" s="129">
        <v>15.282334079573026</v>
      </c>
      <c r="J46" s="129">
        <f>VLOOKUP($C46,$AA$23:$AD$31,3,FALSE)</f>
        <v>10.094212651413191</v>
      </c>
      <c r="K46" s="129">
        <f>VLOOKUP($C46,$AA$23:$AD$31,4,FALSE)</f>
        <v>19.68638284042899</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4</v>
      </c>
      <c r="N46" s="61">
        <f t="shared" si="28"/>
        <v>1.2440291848196945</v>
      </c>
      <c r="O46" s="61">
        <f t="shared" si="29"/>
        <v>10.094212651413191</v>
      </c>
      <c r="P46" s="129">
        <f t="shared" ref="P46" si="34">$G$32</f>
        <v>12.934784109581475</v>
      </c>
      <c r="Q46" s="129">
        <f t="shared" si="30"/>
        <v>12.813070780813593</v>
      </c>
      <c r="R46" s="129">
        <f t="shared" si="31"/>
        <v>13.057480458553494</v>
      </c>
      <c r="S46" s="61">
        <f t="shared" si="32"/>
        <v>17.506211881635419</v>
      </c>
      <c r="T46" s="61">
        <f t="shared" si="33"/>
        <v>20.986823122054439</v>
      </c>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C2:D2" xr:uid="{00000000-0002-0000-0900-000000000000}">
      <formula1>"Better / Worse,Higher / Lower,Significance not measured"</formula1>
    </dataValidation>
    <dataValidation type="list" allowBlank="1" showInputMessage="1" showErrorMessage="1" sqref="K2:N2" xr:uid="{00000000-0002-0000-0900-000001000000}">
      <formula1>"High = Worst,Low = Worst"</formula1>
    </dataValidation>
  </dataValidations>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theme="6" tint="0.39997558519241921"/>
  </sheetPr>
  <dimension ref="A1:AK55"/>
  <sheetViews>
    <sheetView workbookViewId="0">
      <selection activeCell="K2" sqref="K2:N2"/>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9" width="5.1093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5" style="21" customWidth="1"/>
    <col min="17" max="18" width="4.6640625" style="21" customWidth="1"/>
    <col min="19" max="19" width="7" style="21" bestFit="1" customWidth="1"/>
    <col min="20" max="20" width="4.88671875" style="21" bestFit="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64"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13</v>
      </c>
      <c r="F6" s="128">
        <v>2255</v>
      </c>
      <c r="G6" s="129">
        <v>23.746840775063188</v>
      </c>
      <c r="H6" s="129">
        <v>22.901690501379178</v>
      </c>
      <c r="I6" s="129">
        <v>24.613223072568406</v>
      </c>
      <c r="J6" s="129"/>
      <c r="K6" s="129"/>
      <c r="L6" s="129"/>
      <c r="M6" s="60">
        <f t="shared" ref="M6:M11" si="0">IF($C$2="Significance not measured",6,IF(AND($C$2="Better / Worse",$K$2="Low = Worst",I6&lt;Q6),1,IF(AND($C$2="Better / Worse",$K$2="Low = Worst",H6&gt;R6),2,IF(AND($C$2="Better / Worse",$K$2="High = Worst",I6&lt;Q6),2,IF(AND($C$2="Better / Worse",$K$2="High = Worst",H6&gt;R6),1,IF(AND($C$2="Higher / Lower",I6&lt;Q6),3,IF(AND($C$2="Higher / Lower",H6&gt;R6),4,5)))))))</f>
        <v>2</v>
      </c>
      <c r="N6" s="61">
        <f>MIN($G$6:$G$32)</f>
        <v>4.4858299595141702</v>
      </c>
      <c r="O6" s="61">
        <f>VLOOKUP(7,$E$5:$G$39,3,FALSE)</f>
        <v>12.113354324874976</v>
      </c>
      <c r="P6" s="129">
        <f>$G$32</f>
        <v>27.410865991628796</v>
      </c>
      <c r="Q6" s="129">
        <f>$H$32</f>
        <v>27.24869653448253</v>
      </c>
      <c r="R6" s="129">
        <f>$I$32</f>
        <v>27.573634791765983</v>
      </c>
      <c r="S6" s="61">
        <f>VLOOKUP(20,$E$5:$G$39,3,FALSE)</f>
        <v>29.471032745591941</v>
      </c>
      <c r="T6" s="61">
        <f t="shared" ref="T6:T14" si="1">MAX($G$6:$G$31)</f>
        <v>52.974739641037004</v>
      </c>
      <c r="U6" s="61">
        <f>VLOOKUP(C6,$C$43:$I$46,5,FALSE)</f>
        <v>28.8197543053525</v>
      </c>
      <c r="V6" s="61"/>
      <c r="Y6" s="159" t="s">
        <v>33</v>
      </c>
      <c r="Z6" s="159" t="s">
        <v>58</v>
      </c>
      <c r="AA6" s="159" t="s">
        <v>163</v>
      </c>
      <c r="AB6" s="159">
        <f t="shared" ref="AB6:AB11" si="2">RANK(AH6,$AH$6:$AH$13,1)</f>
        <v>8</v>
      </c>
      <c r="AC6" s="164">
        <f>MIN($AH$6:$AH$13)</f>
        <v>12.113354324874976</v>
      </c>
      <c r="AD6" s="164">
        <f>MAX($AH$6:$AH$13)</f>
        <v>39.838148647689358</v>
      </c>
      <c r="AE6" s="159"/>
      <c r="AF6" s="159">
        <f>VLOOKUP($Y6,$A$6:$I$31,5,FALSE)</f>
        <v>22</v>
      </c>
      <c r="AG6" s="160">
        <f>VLOOKUP($Y6,$A$6:$I$31,6,FALSE)</f>
        <v>5612</v>
      </c>
      <c r="AH6" s="161">
        <f>VLOOKUP($Y6,$A$6:$I$31,7,FALSE)</f>
        <v>39.838148647689358</v>
      </c>
      <c r="AI6" s="161">
        <f>VLOOKUP($Y6,$A$6:$I$31,8,FALSE)</f>
        <v>39.032582187794382</v>
      </c>
      <c r="AJ6" s="161">
        <f>VLOOKUP($Y6,$A$6:$I$31,9,FALSE)</f>
        <v>40.649255775063423</v>
      </c>
      <c r="AK6" s="160">
        <f>VLOOKUP($Y6,$A$6:$M$31,13,FALSE)</f>
        <v>1</v>
      </c>
    </row>
    <row r="7" spans="1:37" x14ac:dyDescent="0.2">
      <c r="A7" s="62" t="s">
        <v>30</v>
      </c>
      <c r="B7" s="62" t="s">
        <v>56</v>
      </c>
      <c r="C7" s="62" t="s">
        <v>200</v>
      </c>
      <c r="D7" s="62"/>
      <c r="E7" s="62">
        <f t="shared" ref="E7:E31" si="3">RANK(G7,$G$6:$G$31,1)</f>
        <v>21</v>
      </c>
      <c r="F7" s="128">
        <v>4062</v>
      </c>
      <c r="G7" s="129">
        <v>35.181015070154167</v>
      </c>
      <c r="H7" s="129">
        <v>34.315035739773201</v>
      </c>
      <c r="I7" s="129">
        <v>36.056851941969867</v>
      </c>
      <c r="J7" s="129"/>
      <c r="K7" s="129"/>
      <c r="L7" s="129"/>
      <c r="M7" s="60">
        <f t="shared" si="0"/>
        <v>1</v>
      </c>
      <c r="N7" s="61">
        <f t="shared" ref="N7:N31" si="4">MIN($G$6:$G$32)</f>
        <v>4.4858299595141702</v>
      </c>
      <c r="O7" s="61">
        <f>VLOOKUP(7,$E$5:$G$39,3,FALSE)</f>
        <v>12.113354324874976</v>
      </c>
      <c r="P7" s="129">
        <f t="shared" ref="P7:P31" si="5">$G$32</f>
        <v>27.410865991628796</v>
      </c>
      <c r="Q7" s="129">
        <f t="shared" ref="Q7:Q31" si="6">$H$32</f>
        <v>27.24869653448253</v>
      </c>
      <c r="R7" s="129">
        <f t="shared" ref="R7:R31" si="7">$I$32</f>
        <v>27.573634791765983</v>
      </c>
      <c r="S7" s="61">
        <f t="shared" ref="S7:S31" si="8">VLOOKUP(20,$E$5:$G$39,3,FALSE)</f>
        <v>29.471032745591941</v>
      </c>
      <c r="T7" s="61">
        <f t="shared" si="1"/>
        <v>52.974739641037004</v>
      </c>
      <c r="U7" s="61">
        <f t="shared" ref="U7:U31" si="9">VLOOKUP(C7,$C$43:$I$46,5,FALSE)</f>
        <v>27.095917306692844</v>
      </c>
      <c r="V7" s="61"/>
      <c r="Y7" s="159" t="s">
        <v>35</v>
      </c>
      <c r="Z7" s="159" t="s">
        <v>60</v>
      </c>
      <c r="AA7" s="159" t="s">
        <v>163</v>
      </c>
      <c r="AB7" s="159">
        <f t="shared" si="2"/>
        <v>4</v>
      </c>
      <c r="AC7" s="164">
        <f>MIN($AH$6:$AH$13)</f>
        <v>12.113354324874976</v>
      </c>
      <c r="AD7" s="164">
        <f t="shared" ref="AD7:AD13" si="10">MAX($AH$6:$AH$13)</f>
        <v>39.838148647689358</v>
      </c>
      <c r="AE7" s="159"/>
      <c r="AF7" s="159">
        <f t="shared" ref="AF7:AF31" si="11">VLOOKUP($Y7,$A$6:$I$31,5,FALSE)</f>
        <v>14</v>
      </c>
      <c r="AG7" s="160">
        <f t="shared" ref="AG7:AG31" si="12">VLOOKUP($Y7,$A$6:$I$31,6,FALSE)</f>
        <v>3693</v>
      </c>
      <c r="AH7" s="161">
        <f t="shared" ref="AH7:AH31" si="13">VLOOKUP($Y7,$A$6:$I$31,7,FALSE)</f>
        <v>25.369238167204781</v>
      </c>
      <c r="AI7" s="161">
        <f t="shared" ref="AI7:AI31" si="14">VLOOKUP($Y7,$A$6:$I$31,8,FALSE)</f>
        <v>24.668953666097494</v>
      </c>
      <c r="AJ7" s="161">
        <f t="shared" ref="AJ7:AJ31" si="15">VLOOKUP($Y7,$A$6:$I$31,9,FALSE)</f>
        <v>26.082518903120423</v>
      </c>
      <c r="AK7" s="160">
        <f t="shared" ref="AK7:AK31" si="16">VLOOKUP($Y7,$A$6:$M$31,13,FALSE)</f>
        <v>2</v>
      </c>
    </row>
    <row r="8" spans="1:37" x14ac:dyDescent="0.2">
      <c r="A8" s="62" t="s">
        <v>31</v>
      </c>
      <c r="B8" s="62" t="s">
        <v>57</v>
      </c>
      <c r="C8" s="62" t="s">
        <v>200</v>
      </c>
      <c r="D8" s="62"/>
      <c r="E8" s="62">
        <f t="shared" si="3"/>
        <v>20</v>
      </c>
      <c r="F8" s="128">
        <v>3627</v>
      </c>
      <c r="G8" s="129">
        <v>29.471032745591941</v>
      </c>
      <c r="H8" s="129">
        <v>28.672061250026687</v>
      </c>
      <c r="I8" s="129">
        <v>30.282815905185679</v>
      </c>
      <c r="J8" s="129"/>
      <c r="K8" s="129"/>
      <c r="L8" s="129"/>
      <c r="M8" s="60">
        <f t="shared" si="0"/>
        <v>1</v>
      </c>
      <c r="N8" s="61">
        <f t="shared" si="4"/>
        <v>4.4858299595141702</v>
      </c>
      <c r="O8" s="61">
        <f t="shared" ref="O8:O31" si="17">VLOOKUP(7,$E$5:$G$39,3,FALSE)</f>
        <v>12.113354324874976</v>
      </c>
      <c r="P8" s="129">
        <f t="shared" si="5"/>
        <v>27.410865991628796</v>
      </c>
      <c r="Q8" s="129">
        <f t="shared" si="6"/>
        <v>27.24869653448253</v>
      </c>
      <c r="R8" s="129">
        <f t="shared" si="7"/>
        <v>27.573634791765983</v>
      </c>
      <c r="S8" s="61">
        <f t="shared" si="8"/>
        <v>29.471032745591941</v>
      </c>
      <c r="T8" s="61">
        <f t="shared" si="1"/>
        <v>52.974739641037004</v>
      </c>
      <c r="U8" s="61">
        <f t="shared" si="9"/>
        <v>27.095917306692844</v>
      </c>
      <c r="V8" s="61"/>
      <c r="Y8" s="159" t="s">
        <v>41</v>
      </c>
      <c r="Z8" s="159" t="s">
        <v>64</v>
      </c>
      <c r="AA8" s="159" t="s">
        <v>163</v>
      </c>
      <c r="AB8" s="159">
        <f t="shared" si="2"/>
        <v>5</v>
      </c>
      <c r="AC8" s="164">
        <f t="shared" ref="AC8:AC13" si="18">MIN($AH$6:$AH$13)</f>
        <v>12.113354324874976</v>
      </c>
      <c r="AD8" s="164">
        <f t="shared" si="10"/>
        <v>39.838148647689358</v>
      </c>
      <c r="AE8" s="159"/>
      <c r="AF8" s="159">
        <f t="shared" si="11"/>
        <v>16</v>
      </c>
      <c r="AG8" s="160">
        <f t="shared" si="12"/>
        <v>2694</v>
      </c>
      <c r="AH8" s="161">
        <f t="shared" si="13"/>
        <v>25.550075872534144</v>
      </c>
      <c r="AI8" s="161">
        <f t="shared" si="14"/>
        <v>24.726604722566016</v>
      </c>
      <c r="AJ8" s="161">
        <f t="shared" si="15"/>
        <v>26.391356045717391</v>
      </c>
      <c r="AK8" s="160">
        <f t="shared" si="16"/>
        <v>2</v>
      </c>
    </row>
    <row r="9" spans="1:37" x14ac:dyDescent="0.2">
      <c r="A9" s="62" t="s">
        <v>32</v>
      </c>
      <c r="B9" s="62" t="s">
        <v>156</v>
      </c>
      <c r="C9" s="62" t="s">
        <v>201</v>
      </c>
      <c r="D9" s="62"/>
      <c r="E9" s="62">
        <f t="shared" si="3"/>
        <v>26</v>
      </c>
      <c r="F9" s="128">
        <v>9563</v>
      </c>
      <c r="G9" s="129">
        <v>52.974739641037004</v>
      </c>
      <c r="H9" s="129">
        <v>52.246093292763987</v>
      </c>
      <c r="I9" s="129">
        <v>53.702120211710081</v>
      </c>
      <c r="J9" s="129"/>
      <c r="K9" s="129"/>
      <c r="L9" s="129"/>
      <c r="M9" s="60">
        <f t="shared" si="0"/>
        <v>1</v>
      </c>
      <c r="N9" s="61">
        <f t="shared" si="4"/>
        <v>4.4858299595141702</v>
      </c>
      <c r="O9" s="61">
        <f t="shared" si="17"/>
        <v>12.113354324874976</v>
      </c>
      <c r="P9" s="129">
        <f t="shared" si="5"/>
        <v>27.410865991628796</v>
      </c>
      <c r="Q9" s="129">
        <f t="shared" si="6"/>
        <v>27.24869653448253</v>
      </c>
      <c r="R9" s="129">
        <f t="shared" si="7"/>
        <v>27.573634791765983</v>
      </c>
      <c r="S9" s="61">
        <f t="shared" si="8"/>
        <v>29.471032745591941</v>
      </c>
      <c r="T9" s="61">
        <f t="shared" si="1"/>
        <v>52.974739641037004</v>
      </c>
      <c r="U9" s="61">
        <f t="shared" si="9"/>
        <v>28.8197543053525</v>
      </c>
      <c r="V9" s="61"/>
      <c r="X9" s="63"/>
      <c r="Y9" s="159" t="s">
        <v>45</v>
      </c>
      <c r="Z9" s="159" t="s">
        <v>67</v>
      </c>
      <c r="AA9" s="159" t="s">
        <v>163</v>
      </c>
      <c r="AB9" s="159">
        <f t="shared" si="2"/>
        <v>3</v>
      </c>
      <c r="AC9" s="164">
        <f t="shared" si="18"/>
        <v>12.113354324874976</v>
      </c>
      <c r="AD9" s="164">
        <f t="shared" si="10"/>
        <v>39.838148647689358</v>
      </c>
      <c r="AE9" s="159"/>
      <c r="AF9" s="159">
        <f t="shared" si="11"/>
        <v>12</v>
      </c>
      <c r="AG9" s="160">
        <f t="shared" si="12"/>
        <v>1762</v>
      </c>
      <c r="AH9" s="161">
        <f t="shared" si="13"/>
        <v>20.111859376783471</v>
      </c>
      <c r="AI9" s="161">
        <f t="shared" si="14"/>
        <v>19.285699325822169</v>
      </c>
      <c r="AJ9" s="161">
        <f t="shared" si="15"/>
        <v>20.964218204293246</v>
      </c>
      <c r="AK9" s="160">
        <f t="shared" si="16"/>
        <v>2</v>
      </c>
    </row>
    <row r="10" spans="1:37" x14ac:dyDescent="0.2">
      <c r="A10" s="62" t="s">
        <v>33</v>
      </c>
      <c r="B10" s="62" t="s">
        <v>58</v>
      </c>
      <c r="C10" s="62" t="s">
        <v>163</v>
      </c>
      <c r="D10" s="62"/>
      <c r="E10" s="62">
        <f t="shared" si="3"/>
        <v>22</v>
      </c>
      <c r="F10" s="128">
        <v>5612</v>
      </c>
      <c r="G10" s="129">
        <v>39.838148647689358</v>
      </c>
      <c r="H10" s="129">
        <v>39.032582187794382</v>
      </c>
      <c r="I10" s="129">
        <v>40.649255775063423</v>
      </c>
      <c r="J10" s="129"/>
      <c r="K10" s="129"/>
      <c r="L10" s="129"/>
      <c r="M10" s="60">
        <f t="shared" si="0"/>
        <v>1</v>
      </c>
      <c r="N10" s="61">
        <f t="shared" si="4"/>
        <v>4.4858299595141702</v>
      </c>
      <c r="O10" s="61">
        <f t="shared" si="17"/>
        <v>12.113354324874976</v>
      </c>
      <c r="P10" s="129">
        <f t="shared" si="5"/>
        <v>27.410865991628796</v>
      </c>
      <c r="Q10" s="129">
        <f t="shared" si="6"/>
        <v>27.24869653448253</v>
      </c>
      <c r="R10" s="129">
        <f t="shared" si="7"/>
        <v>27.573634791765983</v>
      </c>
      <c r="S10" s="61">
        <f t="shared" si="8"/>
        <v>29.471032745591941</v>
      </c>
      <c r="T10" s="61">
        <f t="shared" si="1"/>
        <v>52.974739641037004</v>
      </c>
      <c r="U10" s="61">
        <f t="shared" si="9"/>
        <v>26.170310819806442</v>
      </c>
      <c r="V10" s="61"/>
      <c r="Y10" s="159" t="s">
        <v>46</v>
      </c>
      <c r="Z10" s="159" t="s">
        <v>68</v>
      </c>
      <c r="AA10" s="159" t="s">
        <v>163</v>
      </c>
      <c r="AB10" s="159">
        <f t="shared" si="2"/>
        <v>2</v>
      </c>
      <c r="AC10" s="164">
        <f t="shared" si="18"/>
        <v>12.113354324874976</v>
      </c>
      <c r="AD10" s="164">
        <f t="shared" si="10"/>
        <v>39.838148647689358</v>
      </c>
      <c r="AE10" s="159"/>
      <c r="AF10" s="159">
        <f t="shared" si="11"/>
        <v>10</v>
      </c>
      <c r="AG10" s="160">
        <f t="shared" si="12"/>
        <v>1946</v>
      </c>
      <c r="AH10" s="161">
        <f t="shared" si="13"/>
        <v>18.716937578147544</v>
      </c>
      <c r="AI10" s="161">
        <f t="shared" si="14"/>
        <v>17.978799726427695</v>
      </c>
      <c r="AJ10" s="161">
        <f t="shared" si="15"/>
        <v>19.478183674821327</v>
      </c>
      <c r="AK10" s="160">
        <f t="shared" si="16"/>
        <v>2</v>
      </c>
    </row>
    <row r="11" spans="1:37" x14ac:dyDescent="0.2">
      <c r="A11" s="62" t="s">
        <v>34</v>
      </c>
      <c r="B11" s="62" t="s">
        <v>59</v>
      </c>
      <c r="C11" s="62" t="s">
        <v>200</v>
      </c>
      <c r="D11" s="62"/>
      <c r="E11" s="62">
        <f t="shared" si="3"/>
        <v>25</v>
      </c>
      <c r="F11" s="128">
        <v>7421</v>
      </c>
      <c r="G11" s="129">
        <v>47.852721176167137</v>
      </c>
      <c r="H11" s="129">
        <v>47.067138714969595</v>
      </c>
      <c r="I11" s="129">
        <v>48.639367171078611</v>
      </c>
      <c r="J11" s="129"/>
      <c r="K11" s="129"/>
      <c r="L11" s="129"/>
      <c r="M11" s="60">
        <f t="shared" si="0"/>
        <v>1</v>
      </c>
      <c r="N11" s="61">
        <f t="shared" si="4"/>
        <v>4.4858299595141702</v>
      </c>
      <c r="O11" s="61">
        <f t="shared" si="17"/>
        <v>12.113354324874976</v>
      </c>
      <c r="P11" s="129">
        <f t="shared" si="5"/>
        <v>27.410865991628796</v>
      </c>
      <c r="Q11" s="129">
        <f t="shared" si="6"/>
        <v>27.24869653448253</v>
      </c>
      <c r="R11" s="129">
        <f t="shared" si="7"/>
        <v>27.573634791765983</v>
      </c>
      <c r="S11" s="61">
        <f t="shared" si="8"/>
        <v>29.471032745591941</v>
      </c>
      <c r="T11" s="61">
        <f t="shared" si="1"/>
        <v>52.974739641037004</v>
      </c>
      <c r="U11" s="61">
        <f t="shared" si="9"/>
        <v>27.095917306692844</v>
      </c>
      <c r="V11" s="61"/>
      <c r="Y11" s="159" t="s">
        <v>47</v>
      </c>
      <c r="Z11" s="159" t="s">
        <v>69</v>
      </c>
      <c r="AA11" s="159" t="s">
        <v>163</v>
      </c>
      <c r="AB11" s="159">
        <f t="shared" si="2"/>
        <v>1</v>
      </c>
      <c r="AC11" s="164">
        <f t="shared" si="18"/>
        <v>12.113354324874976</v>
      </c>
      <c r="AD11" s="164">
        <f t="shared" si="10"/>
        <v>39.838148647689358</v>
      </c>
      <c r="AE11" s="159"/>
      <c r="AF11" s="159">
        <f t="shared" si="11"/>
        <v>7</v>
      </c>
      <c r="AG11" s="160">
        <f t="shared" si="12"/>
        <v>654</v>
      </c>
      <c r="AH11" s="161">
        <f t="shared" si="13"/>
        <v>12.113354324874976</v>
      </c>
      <c r="AI11" s="161">
        <f t="shared" si="14"/>
        <v>11.269852277066459</v>
      </c>
      <c r="AJ11" s="161">
        <f t="shared" si="15"/>
        <v>13.010731723394592</v>
      </c>
      <c r="AK11" s="160">
        <f t="shared" si="16"/>
        <v>2</v>
      </c>
    </row>
    <row r="12" spans="1:37" x14ac:dyDescent="0.2">
      <c r="A12" s="62" t="s">
        <v>35</v>
      </c>
      <c r="B12" s="62" t="s">
        <v>60</v>
      </c>
      <c r="C12" s="62" t="s">
        <v>163</v>
      </c>
      <c r="D12" s="62"/>
      <c r="E12" s="62">
        <f t="shared" si="3"/>
        <v>14</v>
      </c>
      <c r="F12" s="128">
        <v>3693</v>
      </c>
      <c r="G12" s="129">
        <v>25.369238167204781</v>
      </c>
      <c r="H12" s="129">
        <v>24.668953666097494</v>
      </c>
      <c r="I12" s="129">
        <v>26.082518903120423</v>
      </c>
      <c r="J12" s="129"/>
      <c r="K12" s="129"/>
      <c r="L12" s="129"/>
      <c r="M12" s="60">
        <f t="shared" ref="M12:M31" si="19">IF($C$2="Significance not measured",6,IF(AND($C$2="Better / Worse",$K$2="Low = Worst",I12&lt;Q12),1,IF(AND($C$2="Better / Worse",$K$2="Low = Worst",H12&gt;R12),2,IF(AND($C$2="Better / Worse",$K$2="High = Worst",I12&lt;Q12),2,IF(AND($C$2="Better / Worse",$K$2="High = Worst",H12&gt;R12),1,IF(AND($C$2="Higher / Lower",I12&lt;Q12),3,IF(AND($C$2="Higher / Lower",H12&gt;R12),4,5)))))))</f>
        <v>2</v>
      </c>
      <c r="N12" s="61">
        <f t="shared" si="4"/>
        <v>4.4858299595141702</v>
      </c>
      <c r="O12" s="61">
        <f t="shared" si="17"/>
        <v>12.113354324874976</v>
      </c>
      <c r="P12" s="129">
        <f t="shared" si="5"/>
        <v>27.410865991628796</v>
      </c>
      <c r="Q12" s="129">
        <f t="shared" si="6"/>
        <v>27.24869653448253</v>
      </c>
      <c r="R12" s="129">
        <f t="shared" si="7"/>
        <v>27.573634791765983</v>
      </c>
      <c r="S12" s="61">
        <f t="shared" si="8"/>
        <v>29.471032745591941</v>
      </c>
      <c r="T12" s="61">
        <f t="shared" si="1"/>
        <v>52.974739641037004</v>
      </c>
      <c r="U12" s="61">
        <f t="shared" si="9"/>
        <v>26.170310819806442</v>
      </c>
      <c r="V12" s="61"/>
      <c r="Y12" s="159" t="s">
        <v>50</v>
      </c>
      <c r="Z12" s="159" t="s">
        <v>161</v>
      </c>
      <c r="AA12" s="159" t="s">
        <v>163</v>
      </c>
      <c r="AB12" s="159">
        <f t="shared" ref="AB12" si="20">RANK(AH12,$AH$6:$AH$13,1)</f>
        <v>6</v>
      </c>
      <c r="AC12" s="164">
        <f t="shared" si="18"/>
        <v>12.113354324874976</v>
      </c>
      <c r="AD12" s="164">
        <f t="shared" si="10"/>
        <v>39.838148647689358</v>
      </c>
      <c r="AE12" s="159"/>
      <c r="AF12" s="159">
        <f t="shared" si="11"/>
        <v>17</v>
      </c>
      <c r="AG12" s="160">
        <f t="shared" si="12"/>
        <v>1575</v>
      </c>
      <c r="AH12" s="161">
        <f t="shared" si="13"/>
        <v>27.006172839506174</v>
      </c>
      <c r="AI12" s="161">
        <f t="shared" si="14"/>
        <v>25.882084208257783</v>
      </c>
      <c r="AJ12" s="161">
        <f t="shared" si="15"/>
        <v>28.160532971716496</v>
      </c>
      <c r="AK12" s="160">
        <f t="shared" si="16"/>
        <v>5</v>
      </c>
    </row>
    <row r="13" spans="1:37" x14ac:dyDescent="0.2">
      <c r="A13" s="62" t="s">
        <v>36</v>
      </c>
      <c r="B13" s="62" t="s">
        <v>61</v>
      </c>
      <c r="C13" s="62" t="s">
        <v>201</v>
      </c>
      <c r="D13" s="62"/>
      <c r="E13" s="62">
        <f t="shared" si="3"/>
        <v>8</v>
      </c>
      <c r="F13" s="128">
        <v>2627</v>
      </c>
      <c r="G13" s="129">
        <v>13.803793810099311</v>
      </c>
      <c r="H13" s="129">
        <v>13.321020853423954</v>
      </c>
      <c r="I13" s="129">
        <v>14.301176422005543</v>
      </c>
      <c r="J13" s="129"/>
      <c r="K13" s="129"/>
      <c r="L13" s="129"/>
      <c r="M13" s="60">
        <f t="shared" si="19"/>
        <v>2</v>
      </c>
      <c r="N13" s="61">
        <f t="shared" si="4"/>
        <v>4.4858299595141702</v>
      </c>
      <c r="O13" s="61">
        <f t="shared" si="17"/>
        <v>12.113354324874976</v>
      </c>
      <c r="P13" s="129">
        <f t="shared" si="5"/>
        <v>27.410865991628796</v>
      </c>
      <c r="Q13" s="129">
        <f t="shared" si="6"/>
        <v>27.24869653448253</v>
      </c>
      <c r="R13" s="129">
        <f t="shared" si="7"/>
        <v>27.573634791765983</v>
      </c>
      <c r="S13" s="61">
        <f t="shared" si="8"/>
        <v>29.471032745591941</v>
      </c>
      <c r="T13" s="61">
        <f t="shared" si="1"/>
        <v>52.974739641037004</v>
      </c>
      <c r="U13" s="61">
        <f t="shared" si="9"/>
        <v>28.8197543053525</v>
      </c>
      <c r="V13" s="61"/>
      <c r="Y13" s="159" t="s">
        <v>53</v>
      </c>
      <c r="Z13" s="159" t="s">
        <v>162</v>
      </c>
      <c r="AA13" s="159" t="s">
        <v>163</v>
      </c>
      <c r="AB13" s="159">
        <f>RANK(AH13,$AH$6:$AH$13,1)</f>
        <v>7</v>
      </c>
      <c r="AC13" s="164">
        <f t="shared" si="18"/>
        <v>12.113354324874976</v>
      </c>
      <c r="AD13" s="164">
        <f t="shared" si="10"/>
        <v>39.838148647689358</v>
      </c>
      <c r="AE13" s="159"/>
      <c r="AF13" s="159">
        <f t="shared" si="11"/>
        <v>18</v>
      </c>
      <c r="AG13" s="160">
        <f t="shared" si="12"/>
        <v>7618</v>
      </c>
      <c r="AH13" s="161">
        <f t="shared" si="13"/>
        <v>27.141228445204504</v>
      </c>
      <c r="AI13" s="161">
        <f t="shared" si="14"/>
        <v>26.624149560810217</v>
      </c>
      <c r="AJ13" s="161">
        <f t="shared" si="15"/>
        <v>27.664563494143479</v>
      </c>
      <c r="AK13" s="160">
        <f t="shared" si="16"/>
        <v>5</v>
      </c>
    </row>
    <row r="14" spans="1:37" x14ac:dyDescent="0.2">
      <c r="A14" s="62" t="s">
        <v>37</v>
      </c>
      <c r="B14" s="62" t="s">
        <v>157</v>
      </c>
      <c r="C14" s="62" t="s">
        <v>201</v>
      </c>
      <c r="D14" s="62"/>
      <c r="E14" s="62">
        <f t="shared" si="3"/>
        <v>23</v>
      </c>
      <c r="F14" s="128">
        <v>9993</v>
      </c>
      <c r="G14" s="129">
        <v>41.230350290877581</v>
      </c>
      <c r="H14" s="129">
        <v>40.612070122083963</v>
      </c>
      <c r="I14" s="129">
        <v>41.851409921620721</v>
      </c>
      <c r="J14" s="129"/>
      <c r="K14" s="129"/>
      <c r="L14" s="129"/>
      <c r="M14" s="60">
        <f t="shared" si="19"/>
        <v>1</v>
      </c>
      <c r="N14" s="61">
        <f t="shared" si="4"/>
        <v>4.4858299595141702</v>
      </c>
      <c r="O14" s="61">
        <f t="shared" si="17"/>
        <v>12.113354324874976</v>
      </c>
      <c r="P14" s="129">
        <f t="shared" si="5"/>
        <v>27.410865991628796</v>
      </c>
      <c r="Q14" s="129">
        <f t="shared" si="6"/>
        <v>27.24869653448253</v>
      </c>
      <c r="R14" s="129">
        <f t="shared" si="7"/>
        <v>27.573634791765983</v>
      </c>
      <c r="S14" s="61">
        <f t="shared" si="8"/>
        <v>29.471032745591941</v>
      </c>
      <c r="T14" s="61">
        <f t="shared" si="1"/>
        <v>52.974739641037004</v>
      </c>
      <c r="U14" s="61">
        <f t="shared" si="9"/>
        <v>28.8197543053525</v>
      </c>
      <c r="V14" s="61"/>
      <c r="Y14" s="162" t="s">
        <v>29</v>
      </c>
      <c r="Z14" s="162" t="s">
        <v>55</v>
      </c>
      <c r="AA14" s="162" t="s">
        <v>201</v>
      </c>
      <c r="AB14" s="162">
        <f t="shared" ref="AB14:AB22" si="21">RANK(AH14,$AH$14:$AH$22,1)</f>
        <v>5</v>
      </c>
      <c r="AC14" s="165">
        <f>MIN($AH$14:$AH$22)</f>
        <v>4.4858299595141702</v>
      </c>
      <c r="AD14" s="165">
        <f>MAX($AH$14:$AH$22)</f>
        <v>52.974739641037004</v>
      </c>
      <c r="AE14" s="162"/>
      <c r="AF14" s="162">
        <f t="shared" si="11"/>
        <v>13</v>
      </c>
      <c r="AG14" s="167">
        <f t="shared" si="12"/>
        <v>2255</v>
      </c>
      <c r="AH14" s="165">
        <f t="shared" si="13"/>
        <v>23.746840775063188</v>
      </c>
      <c r="AI14" s="165">
        <f t="shared" si="14"/>
        <v>22.901690501379178</v>
      </c>
      <c r="AJ14" s="165">
        <f t="shared" si="15"/>
        <v>24.613223072568406</v>
      </c>
      <c r="AK14" s="167">
        <f t="shared" si="16"/>
        <v>2</v>
      </c>
    </row>
    <row r="15" spans="1:37" x14ac:dyDescent="0.2">
      <c r="A15" s="62" t="s">
        <v>38</v>
      </c>
      <c r="B15" s="62" t="s">
        <v>62</v>
      </c>
      <c r="C15" s="62" t="s">
        <v>201</v>
      </c>
      <c r="D15" s="62"/>
      <c r="E15" s="62">
        <f t="shared" si="3"/>
        <v>19</v>
      </c>
      <c r="F15" s="128">
        <v>2008</v>
      </c>
      <c r="G15" s="129">
        <v>28.194327436113451</v>
      </c>
      <c r="H15" s="129">
        <v>27.161319699021163</v>
      </c>
      <c r="I15" s="129">
        <v>29.250845545614606</v>
      </c>
      <c r="J15" s="129"/>
      <c r="K15" s="129"/>
      <c r="L15" s="129"/>
      <c r="M15" s="60">
        <f t="shared" si="19"/>
        <v>5</v>
      </c>
      <c r="N15" s="61">
        <f t="shared" si="4"/>
        <v>4.4858299595141702</v>
      </c>
      <c r="O15" s="61">
        <f t="shared" si="17"/>
        <v>12.113354324874976</v>
      </c>
      <c r="P15" s="129">
        <f t="shared" si="5"/>
        <v>27.410865991628796</v>
      </c>
      <c r="Q15" s="129">
        <f t="shared" si="6"/>
        <v>27.24869653448253</v>
      </c>
      <c r="R15" s="129">
        <f t="shared" si="7"/>
        <v>27.573634791765983</v>
      </c>
      <c r="S15" s="61">
        <f t="shared" si="8"/>
        <v>29.471032745591941</v>
      </c>
      <c r="T15" s="61">
        <f t="shared" ref="T15:T31" si="22">MAX($G$6:$G$31)</f>
        <v>52.974739641037004</v>
      </c>
      <c r="U15" s="61">
        <f t="shared" si="9"/>
        <v>28.8197543053525</v>
      </c>
      <c r="V15" s="61"/>
      <c r="Y15" s="162" t="s">
        <v>32</v>
      </c>
      <c r="Z15" s="162" t="s">
        <v>156</v>
      </c>
      <c r="AA15" s="162" t="s">
        <v>201</v>
      </c>
      <c r="AB15" s="162">
        <f t="shared" si="21"/>
        <v>9</v>
      </c>
      <c r="AC15" s="165">
        <f t="shared" ref="AC15:AC22" si="23">MIN($AH$14:$AH$22)</f>
        <v>4.4858299595141702</v>
      </c>
      <c r="AD15" s="165">
        <f t="shared" ref="AD15:AD22" si="24">MAX($AH$14:$AH$22)</f>
        <v>52.974739641037004</v>
      </c>
      <c r="AE15" s="162"/>
      <c r="AF15" s="162">
        <f t="shared" si="11"/>
        <v>26</v>
      </c>
      <c r="AG15" s="167">
        <f t="shared" si="12"/>
        <v>9563</v>
      </c>
      <c r="AH15" s="165">
        <f t="shared" si="13"/>
        <v>52.974739641037004</v>
      </c>
      <c r="AI15" s="165">
        <f t="shared" si="14"/>
        <v>52.246093292763987</v>
      </c>
      <c r="AJ15" s="165">
        <f t="shared" si="15"/>
        <v>53.702120211710081</v>
      </c>
      <c r="AK15" s="167">
        <f t="shared" si="16"/>
        <v>1</v>
      </c>
    </row>
    <row r="16" spans="1:37" x14ac:dyDescent="0.2">
      <c r="A16" s="62" t="s">
        <v>39</v>
      </c>
      <c r="B16" s="62" t="s">
        <v>158</v>
      </c>
      <c r="C16" s="62" t="s">
        <v>200</v>
      </c>
      <c r="D16" s="62"/>
      <c r="E16" s="62">
        <f t="shared" si="3"/>
        <v>11</v>
      </c>
      <c r="F16" s="128">
        <v>2919</v>
      </c>
      <c r="G16" s="129">
        <v>20.05358615004122</v>
      </c>
      <c r="H16" s="129">
        <v>19.41106203434714</v>
      </c>
      <c r="I16" s="129">
        <v>20.711912349289225</v>
      </c>
      <c r="J16" s="129"/>
      <c r="K16" s="129"/>
      <c r="L16" s="129"/>
      <c r="M16" s="60">
        <f t="shared" si="19"/>
        <v>2</v>
      </c>
      <c r="N16" s="61">
        <f t="shared" si="4"/>
        <v>4.4858299595141702</v>
      </c>
      <c r="O16" s="61">
        <f t="shared" si="17"/>
        <v>12.113354324874976</v>
      </c>
      <c r="P16" s="129">
        <f t="shared" si="5"/>
        <v>27.410865991628796</v>
      </c>
      <c r="Q16" s="129">
        <f t="shared" si="6"/>
        <v>27.24869653448253</v>
      </c>
      <c r="R16" s="129">
        <f t="shared" si="7"/>
        <v>27.573634791765983</v>
      </c>
      <c r="S16" s="61">
        <f t="shared" si="8"/>
        <v>29.471032745591941</v>
      </c>
      <c r="T16" s="61">
        <f t="shared" si="22"/>
        <v>52.974739641037004</v>
      </c>
      <c r="U16" s="61">
        <f t="shared" si="9"/>
        <v>27.095917306692844</v>
      </c>
      <c r="V16" s="61"/>
      <c r="Y16" s="162" t="s">
        <v>36</v>
      </c>
      <c r="Z16" s="162" t="s">
        <v>61</v>
      </c>
      <c r="AA16" s="162" t="s">
        <v>201</v>
      </c>
      <c r="AB16" s="162">
        <f t="shared" si="21"/>
        <v>4</v>
      </c>
      <c r="AC16" s="165">
        <f>MIN($AH$14:$AH$22)</f>
        <v>4.4858299595141702</v>
      </c>
      <c r="AD16" s="165">
        <f t="shared" si="24"/>
        <v>52.974739641037004</v>
      </c>
      <c r="AE16" s="162"/>
      <c r="AF16" s="162">
        <f t="shared" si="11"/>
        <v>8</v>
      </c>
      <c r="AG16" s="167">
        <f t="shared" si="12"/>
        <v>2627</v>
      </c>
      <c r="AH16" s="165">
        <f t="shared" si="13"/>
        <v>13.803793810099311</v>
      </c>
      <c r="AI16" s="165">
        <f t="shared" si="14"/>
        <v>13.321020853423954</v>
      </c>
      <c r="AJ16" s="165">
        <f t="shared" si="15"/>
        <v>14.301176422005543</v>
      </c>
      <c r="AK16" s="167">
        <f t="shared" si="16"/>
        <v>2</v>
      </c>
    </row>
    <row r="17" spans="1:37" x14ac:dyDescent="0.2">
      <c r="A17" s="62" t="s">
        <v>40</v>
      </c>
      <c r="B17" s="62" t="s">
        <v>63</v>
      </c>
      <c r="C17" s="62" t="s">
        <v>200</v>
      </c>
      <c r="D17" s="62"/>
      <c r="E17" s="62">
        <f t="shared" si="3"/>
        <v>9</v>
      </c>
      <c r="F17" s="128">
        <v>1487</v>
      </c>
      <c r="G17" s="129">
        <v>18.191827746513336</v>
      </c>
      <c r="H17" s="129">
        <v>17.370522274382324</v>
      </c>
      <c r="I17" s="129">
        <v>19.043016356997811</v>
      </c>
      <c r="J17" s="129"/>
      <c r="K17" s="129"/>
      <c r="L17" s="129"/>
      <c r="M17" s="60">
        <f t="shared" si="19"/>
        <v>2</v>
      </c>
      <c r="N17" s="61">
        <f t="shared" si="4"/>
        <v>4.4858299595141702</v>
      </c>
      <c r="O17" s="61">
        <f t="shared" si="17"/>
        <v>12.113354324874976</v>
      </c>
      <c r="P17" s="129">
        <f t="shared" si="5"/>
        <v>27.410865991628796</v>
      </c>
      <c r="Q17" s="129">
        <f t="shared" si="6"/>
        <v>27.24869653448253</v>
      </c>
      <c r="R17" s="129">
        <f t="shared" si="7"/>
        <v>27.573634791765983</v>
      </c>
      <c r="S17" s="61">
        <f t="shared" si="8"/>
        <v>29.471032745591941</v>
      </c>
      <c r="T17" s="61">
        <f t="shared" si="22"/>
        <v>52.974739641037004</v>
      </c>
      <c r="U17" s="61">
        <f t="shared" si="9"/>
        <v>27.095917306692844</v>
      </c>
      <c r="V17" s="61"/>
      <c r="Y17" s="162" t="s">
        <v>37</v>
      </c>
      <c r="Z17" s="162" t="s">
        <v>157</v>
      </c>
      <c r="AA17" s="162" t="s">
        <v>201</v>
      </c>
      <c r="AB17" s="162">
        <f t="shared" si="21"/>
        <v>8</v>
      </c>
      <c r="AC17" s="165">
        <f t="shared" si="23"/>
        <v>4.4858299595141702</v>
      </c>
      <c r="AD17" s="165">
        <f>MAX($AH$14:$AH$22)</f>
        <v>52.974739641037004</v>
      </c>
      <c r="AE17" s="162"/>
      <c r="AF17" s="162">
        <f t="shared" si="11"/>
        <v>23</v>
      </c>
      <c r="AG17" s="167">
        <f t="shared" si="12"/>
        <v>9993</v>
      </c>
      <c r="AH17" s="165">
        <f t="shared" si="13"/>
        <v>41.230350290877581</v>
      </c>
      <c r="AI17" s="165">
        <f t="shared" si="14"/>
        <v>40.612070122083963</v>
      </c>
      <c r="AJ17" s="165">
        <f t="shared" si="15"/>
        <v>41.851409921620721</v>
      </c>
      <c r="AK17" s="167">
        <f t="shared" si="16"/>
        <v>1</v>
      </c>
    </row>
    <row r="18" spans="1:37" x14ac:dyDescent="0.2">
      <c r="A18" s="62" t="s">
        <v>41</v>
      </c>
      <c r="B18" s="62" t="s">
        <v>64</v>
      </c>
      <c r="C18" s="62" t="s">
        <v>163</v>
      </c>
      <c r="D18" s="62"/>
      <c r="E18" s="62">
        <f t="shared" si="3"/>
        <v>16</v>
      </c>
      <c r="F18" s="128">
        <v>2694</v>
      </c>
      <c r="G18" s="129">
        <v>25.550075872534144</v>
      </c>
      <c r="H18" s="129">
        <v>24.726604722566016</v>
      </c>
      <c r="I18" s="129">
        <v>26.391356045717391</v>
      </c>
      <c r="J18" s="129"/>
      <c r="K18" s="129"/>
      <c r="L18" s="129"/>
      <c r="M18" s="60">
        <f t="shared" si="19"/>
        <v>2</v>
      </c>
      <c r="N18" s="61">
        <f t="shared" si="4"/>
        <v>4.4858299595141702</v>
      </c>
      <c r="O18" s="61">
        <f t="shared" si="17"/>
        <v>12.113354324874976</v>
      </c>
      <c r="P18" s="129">
        <f t="shared" si="5"/>
        <v>27.410865991628796</v>
      </c>
      <c r="Q18" s="129">
        <f t="shared" si="6"/>
        <v>27.24869653448253</v>
      </c>
      <c r="R18" s="129">
        <f t="shared" si="7"/>
        <v>27.573634791765983</v>
      </c>
      <c r="S18" s="61">
        <f t="shared" si="8"/>
        <v>29.471032745591941</v>
      </c>
      <c r="T18" s="61">
        <f t="shared" si="22"/>
        <v>52.974739641037004</v>
      </c>
      <c r="U18" s="61">
        <f t="shared" si="9"/>
        <v>26.170310819806442</v>
      </c>
      <c r="V18" s="61"/>
      <c r="Y18" s="162" t="s">
        <v>38</v>
      </c>
      <c r="Z18" s="162" t="s">
        <v>62</v>
      </c>
      <c r="AA18" s="162" t="s">
        <v>201</v>
      </c>
      <c r="AB18" s="162">
        <f t="shared" si="21"/>
        <v>7</v>
      </c>
      <c r="AC18" s="165">
        <f t="shared" si="23"/>
        <v>4.4858299595141702</v>
      </c>
      <c r="AD18" s="165">
        <f t="shared" si="24"/>
        <v>52.974739641037004</v>
      </c>
      <c r="AE18" s="162"/>
      <c r="AF18" s="162">
        <f t="shared" si="11"/>
        <v>19</v>
      </c>
      <c r="AG18" s="167">
        <f t="shared" si="12"/>
        <v>2008</v>
      </c>
      <c r="AH18" s="165">
        <f t="shared" si="13"/>
        <v>28.194327436113451</v>
      </c>
      <c r="AI18" s="165">
        <f t="shared" si="14"/>
        <v>27.161319699021163</v>
      </c>
      <c r="AJ18" s="165">
        <f t="shared" si="15"/>
        <v>29.250845545614606</v>
      </c>
      <c r="AK18" s="167">
        <f t="shared" si="16"/>
        <v>5</v>
      </c>
    </row>
    <row r="19" spans="1:37" x14ac:dyDescent="0.2">
      <c r="A19" s="62" t="s">
        <v>42</v>
      </c>
      <c r="B19" s="62" t="s">
        <v>65</v>
      </c>
      <c r="C19" s="62" t="s">
        <v>200</v>
      </c>
      <c r="D19" s="62"/>
      <c r="E19" s="62">
        <f t="shared" si="3"/>
        <v>5</v>
      </c>
      <c r="F19" s="128">
        <v>479</v>
      </c>
      <c r="G19" s="129">
        <v>9.2115384615384617</v>
      </c>
      <c r="H19" s="129">
        <v>8.4553522557047334</v>
      </c>
      <c r="I19" s="129">
        <v>10.027944486365282</v>
      </c>
      <c r="J19" s="129"/>
      <c r="K19" s="129"/>
      <c r="L19" s="129"/>
      <c r="M19" s="60">
        <f t="shared" si="19"/>
        <v>2</v>
      </c>
      <c r="N19" s="61">
        <f t="shared" si="4"/>
        <v>4.4858299595141702</v>
      </c>
      <c r="O19" s="61">
        <f t="shared" si="17"/>
        <v>12.113354324874976</v>
      </c>
      <c r="P19" s="129">
        <f t="shared" si="5"/>
        <v>27.410865991628796</v>
      </c>
      <c r="Q19" s="129">
        <f t="shared" si="6"/>
        <v>27.24869653448253</v>
      </c>
      <c r="R19" s="129">
        <f t="shared" si="7"/>
        <v>27.573634791765983</v>
      </c>
      <c r="S19" s="61">
        <f t="shared" si="8"/>
        <v>29.471032745591941</v>
      </c>
      <c r="T19" s="61">
        <f t="shared" si="22"/>
        <v>52.974739641037004</v>
      </c>
      <c r="U19" s="61">
        <f t="shared" si="9"/>
        <v>27.095917306692844</v>
      </c>
      <c r="V19" s="61"/>
      <c r="Y19" s="162" t="s">
        <v>43</v>
      </c>
      <c r="Z19" s="162" t="s">
        <v>159</v>
      </c>
      <c r="AA19" s="162" t="s">
        <v>201</v>
      </c>
      <c r="AB19" s="162">
        <f t="shared" si="21"/>
        <v>6</v>
      </c>
      <c r="AC19" s="165">
        <f t="shared" si="23"/>
        <v>4.4858299595141702</v>
      </c>
      <c r="AD19" s="165">
        <f t="shared" si="24"/>
        <v>52.974739641037004</v>
      </c>
      <c r="AE19" s="162"/>
      <c r="AF19" s="162">
        <f t="shared" si="11"/>
        <v>15</v>
      </c>
      <c r="AG19" s="167">
        <f t="shared" si="12"/>
        <v>2480</v>
      </c>
      <c r="AH19" s="165">
        <f t="shared" si="13"/>
        <v>25.443726274751207</v>
      </c>
      <c r="AI19" s="165">
        <f t="shared" si="14"/>
        <v>24.588857326604238</v>
      </c>
      <c r="AJ19" s="165">
        <f t="shared" si="15"/>
        <v>26.317943689326146</v>
      </c>
      <c r="AK19" s="167">
        <f t="shared" si="16"/>
        <v>2</v>
      </c>
    </row>
    <row r="20" spans="1:37" x14ac:dyDescent="0.2">
      <c r="A20" s="62" t="s">
        <v>43</v>
      </c>
      <c r="B20" s="62" t="s">
        <v>159</v>
      </c>
      <c r="C20" s="62" t="s">
        <v>201</v>
      </c>
      <c r="D20" s="62"/>
      <c r="E20" s="62">
        <f t="shared" si="3"/>
        <v>15</v>
      </c>
      <c r="F20" s="128">
        <v>2480</v>
      </c>
      <c r="G20" s="129">
        <v>25.443726274751207</v>
      </c>
      <c r="H20" s="129">
        <v>24.588857326604238</v>
      </c>
      <c r="I20" s="129">
        <v>26.317943689326146</v>
      </c>
      <c r="J20" s="129"/>
      <c r="K20" s="129"/>
      <c r="L20" s="129"/>
      <c r="M20" s="60">
        <f t="shared" si="19"/>
        <v>2</v>
      </c>
      <c r="N20" s="61">
        <f t="shared" si="4"/>
        <v>4.4858299595141702</v>
      </c>
      <c r="O20" s="61">
        <f t="shared" si="17"/>
        <v>12.113354324874976</v>
      </c>
      <c r="P20" s="129">
        <f t="shared" si="5"/>
        <v>27.410865991628796</v>
      </c>
      <c r="Q20" s="129">
        <f t="shared" si="6"/>
        <v>27.24869653448253</v>
      </c>
      <c r="R20" s="129">
        <f t="shared" si="7"/>
        <v>27.573634791765983</v>
      </c>
      <c r="S20" s="61">
        <f t="shared" si="8"/>
        <v>29.471032745591941</v>
      </c>
      <c r="T20" s="61">
        <f t="shared" si="22"/>
        <v>52.974739641037004</v>
      </c>
      <c r="U20" s="61">
        <f t="shared" si="9"/>
        <v>28.8197543053525</v>
      </c>
      <c r="V20" s="61"/>
      <c r="Y20" s="162" t="s">
        <v>48</v>
      </c>
      <c r="Z20" s="162" t="s">
        <v>160</v>
      </c>
      <c r="AA20" s="162" t="s">
        <v>201</v>
      </c>
      <c r="AB20" s="162">
        <f t="shared" si="21"/>
        <v>1</v>
      </c>
      <c r="AC20" s="165">
        <f t="shared" si="23"/>
        <v>4.4858299595141702</v>
      </c>
      <c r="AD20" s="165">
        <f t="shared" si="24"/>
        <v>52.974739641037004</v>
      </c>
      <c r="AE20" s="162"/>
      <c r="AF20" s="162">
        <f t="shared" si="11"/>
        <v>1</v>
      </c>
      <c r="AG20" s="167">
        <f t="shared" si="12"/>
        <v>277</v>
      </c>
      <c r="AH20" s="165">
        <f t="shared" si="13"/>
        <v>4.4858299595141702</v>
      </c>
      <c r="AI20" s="165">
        <f t="shared" si="14"/>
        <v>3.9972325139834055</v>
      </c>
      <c r="AJ20" s="165">
        <f t="shared" si="15"/>
        <v>5.0310208007919641</v>
      </c>
      <c r="AK20" s="167">
        <f t="shared" si="16"/>
        <v>2</v>
      </c>
    </row>
    <row r="21" spans="1:37" x14ac:dyDescent="0.2">
      <c r="A21" s="62" t="s">
        <v>44</v>
      </c>
      <c r="B21" s="62" t="s">
        <v>66</v>
      </c>
      <c r="C21" s="62" t="s">
        <v>200</v>
      </c>
      <c r="D21" s="62"/>
      <c r="E21" s="62">
        <f t="shared" si="3"/>
        <v>3</v>
      </c>
      <c r="F21" s="128">
        <v>273</v>
      </c>
      <c r="G21" s="129">
        <v>6.1680976050610035</v>
      </c>
      <c r="H21" s="129">
        <v>5.4966457587031083</v>
      </c>
      <c r="I21" s="129">
        <v>6.91556953008224</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2</v>
      </c>
      <c r="N21" s="61">
        <f t="shared" si="4"/>
        <v>4.4858299595141702</v>
      </c>
      <c r="O21" s="61">
        <f t="shared" si="17"/>
        <v>12.113354324874976</v>
      </c>
      <c r="P21" s="129">
        <f t="shared" si="5"/>
        <v>27.410865991628796</v>
      </c>
      <c r="Q21" s="129">
        <f t="shared" si="6"/>
        <v>27.24869653448253</v>
      </c>
      <c r="R21" s="129">
        <f t="shared" si="7"/>
        <v>27.573634791765983</v>
      </c>
      <c r="S21" s="61">
        <f t="shared" si="8"/>
        <v>29.471032745591941</v>
      </c>
      <c r="T21" s="61">
        <f t="shared" si="22"/>
        <v>52.974739641037004</v>
      </c>
      <c r="U21" s="61">
        <f t="shared" si="9"/>
        <v>27.095917306692844</v>
      </c>
      <c r="V21" s="61"/>
      <c r="Y21" s="162" t="s">
        <v>52</v>
      </c>
      <c r="Z21" s="162" t="s">
        <v>72</v>
      </c>
      <c r="AA21" s="162" t="s">
        <v>201</v>
      </c>
      <c r="AB21" s="162">
        <f t="shared" si="21"/>
        <v>2</v>
      </c>
      <c r="AC21" s="165">
        <f t="shared" si="23"/>
        <v>4.4858299595141702</v>
      </c>
      <c r="AD21" s="165">
        <f t="shared" si="24"/>
        <v>52.974739641037004</v>
      </c>
      <c r="AE21" s="162"/>
      <c r="AF21" s="162">
        <f t="shared" si="11"/>
        <v>2</v>
      </c>
      <c r="AG21" s="167">
        <f t="shared" si="12"/>
        <v>221</v>
      </c>
      <c r="AH21" s="165">
        <f t="shared" si="13"/>
        <v>5.0898203592814371</v>
      </c>
      <c r="AI21" s="165">
        <f t="shared" si="14"/>
        <v>4.4748538503648367</v>
      </c>
      <c r="AJ21" s="165">
        <f t="shared" si="15"/>
        <v>5.7841825881544722</v>
      </c>
      <c r="AK21" s="167">
        <f t="shared" si="16"/>
        <v>2</v>
      </c>
    </row>
    <row r="22" spans="1:37" x14ac:dyDescent="0.2">
      <c r="A22" s="62" t="s">
        <v>45</v>
      </c>
      <c r="B22" s="62" t="s">
        <v>67</v>
      </c>
      <c r="C22" s="62" t="s">
        <v>163</v>
      </c>
      <c r="D22" s="62"/>
      <c r="E22" s="62">
        <f t="shared" si="3"/>
        <v>12</v>
      </c>
      <c r="F22" s="128">
        <v>1762</v>
      </c>
      <c r="G22" s="129">
        <v>20.111859376783471</v>
      </c>
      <c r="H22" s="129">
        <v>19.285699325822169</v>
      </c>
      <c r="I22" s="129">
        <v>20.964218204293246</v>
      </c>
      <c r="J22" s="129"/>
      <c r="K22" s="129"/>
      <c r="L22" s="129"/>
      <c r="M22" s="60">
        <f t="shared" si="19"/>
        <v>2</v>
      </c>
      <c r="N22" s="61">
        <f t="shared" si="4"/>
        <v>4.4858299595141702</v>
      </c>
      <c r="O22" s="61">
        <f t="shared" si="17"/>
        <v>12.113354324874976</v>
      </c>
      <c r="P22" s="129">
        <f t="shared" si="5"/>
        <v>27.410865991628796</v>
      </c>
      <c r="Q22" s="129">
        <f t="shared" si="6"/>
        <v>27.24869653448253</v>
      </c>
      <c r="R22" s="129">
        <f t="shared" si="7"/>
        <v>27.573634791765983</v>
      </c>
      <c r="S22" s="61">
        <f t="shared" si="8"/>
        <v>29.471032745591941</v>
      </c>
      <c r="T22" s="61">
        <f t="shared" si="22"/>
        <v>52.974739641037004</v>
      </c>
      <c r="U22" s="61">
        <f>VLOOKUP(C22,$C$43:$I$46,5,FALSE)</f>
        <v>26.170310819806442</v>
      </c>
      <c r="V22" s="61"/>
      <c r="Y22" s="162" t="s">
        <v>54</v>
      </c>
      <c r="Z22" s="162" t="s">
        <v>73</v>
      </c>
      <c r="AA22" s="162" t="s">
        <v>201</v>
      </c>
      <c r="AB22" s="162">
        <f t="shared" si="21"/>
        <v>3</v>
      </c>
      <c r="AC22" s="165">
        <f t="shared" si="23"/>
        <v>4.4858299595141702</v>
      </c>
      <c r="AD22" s="165">
        <f t="shared" si="24"/>
        <v>52.974739641037004</v>
      </c>
      <c r="AE22" s="162"/>
      <c r="AF22" s="162">
        <f t="shared" si="11"/>
        <v>6</v>
      </c>
      <c r="AG22" s="167">
        <f t="shared" si="12"/>
        <v>666</v>
      </c>
      <c r="AH22" s="165">
        <f t="shared" si="13"/>
        <v>9.9895005249737512</v>
      </c>
      <c r="AI22" s="165">
        <f t="shared" si="14"/>
        <v>9.2925968131807082</v>
      </c>
      <c r="AJ22" s="165">
        <f t="shared" si="15"/>
        <v>10.732484985972873</v>
      </c>
      <c r="AK22" s="167">
        <f t="shared" si="16"/>
        <v>2</v>
      </c>
    </row>
    <row r="23" spans="1:37" x14ac:dyDescent="0.2">
      <c r="A23" s="62" t="s">
        <v>46</v>
      </c>
      <c r="B23" s="62" t="s">
        <v>68</v>
      </c>
      <c r="C23" s="62" t="s">
        <v>163</v>
      </c>
      <c r="D23" s="62"/>
      <c r="E23" s="62">
        <f t="shared" si="3"/>
        <v>10</v>
      </c>
      <c r="F23" s="128">
        <v>1946</v>
      </c>
      <c r="G23" s="129">
        <v>18.716937578147544</v>
      </c>
      <c r="H23" s="129">
        <v>17.978799726427695</v>
      </c>
      <c r="I23" s="129">
        <v>19.478183674821327</v>
      </c>
      <c r="J23" s="129"/>
      <c r="K23" s="129"/>
      <c r="L23" s="129"/>
      <c r="M23" s="60">
        <f t="shared" si="19"/>
        <v>2</v>
      </c>
      <c r="N23" s="61">
        <f t="shared" si="4"/>
        <v>4.4858299595141702</v>
      </c>
      <c r="O23" s="61">
        <f t="shared" si="17"/>
        <v>12.113354324874976</v>
      </c>
      <c r="P23" s="129">
        <f t="shared" si="5"/>
        <v>27.410865991628796</v>
      </c>
      <c r="Q23" s="129">
        <f t="shared" si="6"/>
        <v>27.24869653448253</v>
      </c>
      <c r="R23" s="129">
        <f t="shared" si="7"/>
        <v>27.573634791765983</v>
      </c>
      <c r="S23" s="61">
        <f t="shared" si="8"/>
        <v>29.471032745591941</v>
      </c>
      <c r="T23" s="61">
        <f t="shared" si="22"/>
        <v>52.974739641037004</v>
      </c>
      <c r="U23" s="61">
        <f t="shared" si="9"/>
        <v>26.170310819806442</v>
      </c>
      <c r="V23" s="61"/>
      <c r="Y23" s="163" t="s">
        <v>30</v>
      </c>
      <c r="Z23" s="163" t="s">
        <v>56</v>
      </c>
      <c r="AA23" s="163" t="s">
        <v>200</v>
      </c>
      <c r="AB23" s="163">
        <f>RANK(AH23,$AH$23:$AH$31,1)</f>
        <v>7</v>
      </c>
      <c r="AC23" s="166">
        <f>MIN($AH$23:$AH$31)</f>
        <v>6.1680976050610035</v>
      </c>
      <c r="AD23" s="166">
        <f>MAX($AH$23:$AH$31)</f>
        <v>47.852721176167137</v>
      </c>
      <c r="AE23" s="163"/>
      <c r="AF23" s="163">
        <f t="shared" si="11"/>
        <v>21</v>
      </c>
      <c r="AG23" s="168">
        <f t="shared" si="12"/>
        <v>4062</v>
      </c>
      <c r="AH23" s="166">
        <f t="shared" si="13"/>
        <v>35.181015070154167</v>
      </c>
      <c r="AI23" s="166">
        <f t="shared" si="14"/>
        <v>34.315035739773201</v>
      </c>
      <c r="AJ23" s="166">
        <f t="shared" si="15"/>
        <v>36.056851941969867</v>
      </c>
      <c r="AK23" s="168">
        <f t="shared" si="16"/>
        <v>1</v>
      </c>
    </row>
    <row r="24" spans="1:37" x14ac:dyDescent="0.2">
      <c r="A24" s="62" t="s">
        <v>47</v>
      </c>
      <c r="B24" s="62" t="s">
        <v>69</v>
      </c>
      <c r="C24" s="62" t="s">
        <v>163</v>
      </c>
      <c r="D24" s="62"/>
      <c r="E24" s="62">
        <f t="shared" si="3"/>
        <v>7</v>
      </c>
      <c r="F24" s="128">
        <v>654</v>
      </c>
      <c r="G24" s="129">
        <v>12.113354324874976</v>
      </c>
      <c r="H24" s="129">
        <v>11.269852277066459</v>
      </c>
      <c r="I24" s="129">
        <v>13.010731723394592</v>
      </c>
      <c r="J24" s="129"/>
      <c r="K24" s="129"/>
      <c r="L24" s="129"/>
      <c r="M24" s="60">
        <f t="shared" si="19"/>
        <v>2</v>
      </c>
      <c r="N24" s="61">
        <f t="shared" si="4"/>
        <v>4.4858299595141702</v>
      </c>
      <c r="O24" s="61">
        <f t="shared" si="17"/>
        <v>12.113354324874976</v>
      </c>
      <c r="P24" s="129">
        <f t="shared" si="5"/>
        <v>27.410865991628796</v>
      </c>
      <c r="Q24" s="129">
        <f t="shared" si="6"/>
        <v>27.24869653448253</v>
      </c>
      <c r="R24" s="129">
        <f t="shared" si="7"/>
        <v>27.573634791765983</v>
      </c>
      <c r="S24" s="61">
        <f t="shared" si="8"/>
        <v>29.471032745591941</v>
      </c>
      <c r="T24" s="61">
        <f t="shared" si="22"/>
        <v>52.974739641037004</v>
      </c>
      <c r="U24" s="61">
        <f t="shared" si="9"/>
        <v>26.170310819806442</v>
      </c>
      <c r="V24" s="61"/>
      <c r="Y24" s="163" t="s">
        <v>31</v>
      </c>
      <c r="Z24" s="163" t="s">
        <v>57</v>
      </c>
      <c r="AA24" s="163" t="s">
        <v>200</v>
      </c>
      <c r="AB24" s="163">
        <f t="shared" ref="AB24:AB31" si="25">RANK(AH24,$AH$23:$AH$31,1)</f>
        <v>6</v>
      </c>
      <c r="AC24" s="166">
        <f t="shared" ref="AC24:AC31" si="26">MIN($AH$23:$AH$31)</f>
        <v>6.1680976050610035</v>
      </c>
      <c r="AD24" s="166">
        <f t="shared" ref="AD24:AD31" si="27">MAX($AH$23:$AH$31)</f>
        <v>47.852721176167137</v>
      </c>
      <c r="AE24" s="163"/>
      <c r="AF24" s="163">
        <f t="shared" si="11"/>
        <v>20</v>
      </c>
      <c r="AG24" s="168">
        <f t="shared" si="12"/>
        <v>3627</v>
      </c>
      <c r="AH24" s="166">
        <f t="shared" si="13"/>
        <v>29.471032745591941</v>
      </c>
      <c r="AI24" s="166">
        <f t="shared" si="14"/>
        <v>28.672061250026687</v>
      </c>
      <c r="AJ24" s="166">
        <f t="shared" si="15"/>
        <v>30.282815905185679</v>
      </c>
      <c r="AK24" s="168">
        <f t="shared" si="16"/>
        <v>1</v>
      </c>
    </row>
    <row r="25" spans="1:37" x14ac:dyDescent="0.2">
      <c r="A25" s="62" t="s">
        <v>48</v>
      </c>
      <c r="B25" s="62" t="s">
        <v>160</v>
      </c>
      <c r="C25" s="62" t="s">
        <v>201</v>
      </c>
      <c r="D25" s="62"/>
      <c r="E25" s="62">
        <f t="shared" si="3"/>
        <v>1</v>
      </c>
      <c r="F25" s="128">
        <v>277</v>
      </c>
      <c r="G25" s="129">
        <v>4.4858299595141702</v>
      </c>
      <c r="H25" s="129">
        <v>3.9972325139834055</v>
      </c>
      <c r="I25" s="129">
        <v>5.0310208007919641</v>
      </c>
      <c r="J25" s="129"/>
      <c r="K25" s="129"/>
      <c r="L25" s="129"/>
      <c r="M25" s="60">
        <f t="shared" si="19"/>
        <v>2</v>
      </c>
      <c r="N25" s="61">
        <f t="shared" si="4"/>
        <v>4.4858299595141702</v>
      </c>
      <c r="O25" s="61">
        <f t="shared" si="17"/>
        <v>12.113354324874976</v>
      </c>
      <c r="P25" s="129">
        <f t="shared" si="5"/>
        <v>27.410865991628796</v>
      </c>
      <c r="Q25" s="129">
        <f t="shared" si="6"/>
        <v>27.24869653448253</v>
      </c>
      <c r="R25" s="129">
        <f t="shared" si="7"/>
        <v>27.573634791765983</v>
      </c>
      <c r="S25" s="61">
        <f t="shared" si="8"/>
        <v>29.471032745591941</v>
      </c>
      <c r="T25" s="61">
        <f t="shared" si="22"/>
        <v>52.974739641037004</v>
      </c>
      <c r="U25" s="61">
        <f t="shared" si="9"/>
        <v>28.8197543053525</v>
      </c>
      <c r="V25" s="61"/>
      <c r="Y25" s="163" t="s">
        <v>34</v>
      </c>
      <c r="Z25" s="163" t="s">
        <v>59</v>
      </c>
      <c r="AA25" s="163" t="s">
        <v>200</v>
      </c>
      <c r="AB25" s="163">
        <f t="shared" si="25"/>
        <v>9</v>
      </c>
      <c r="AC25" s="166">
        <f t="shared" si="26"/>
        <v>6.1680976050610035</v>
      </c>
      <c r="AD25" s="166">
        <f t="shared" si="27"/>
        <v>47.852721176167137</v>
      </c>
      <c r="AE25" s="163"/>
      <c r="AF25" s="163">
        <f t="shared" si="11"/>
        <v>25</v>
      </c>
      <c r="AG25" s="168">
        <f t="shared" si="12"/>
        <v>7421</v>
      </c>
      <c r="AH25" s="166">
        <f t="shared" si="13"/>
        <v>47.852721176167137</v>
      </c>
      <c r="AI25" s="166">
        <f t="shared" si="14"/>
        <v>47.067138714969595</v>
      </c>
      <c r="AJ25" s="166">
        <f t="shared" si="15"/>
        <v>48.639367171078611</v>
      </c>
      <c r="AK25" s="168">
        <f t="shared" si="16"/>
        <v>1</v>
      </c>
    </row>
    <row r="26" spans="1:37" x14ac:dyDescent="0.2">
      <c r="A26" s="62" t="s">
        <v>49</v>
      </c>
      <c r="B26" s="62" t="s">
        <v>70</v>
      </c>
      <c r="C26" s="62" t="s">
        <v>200</v>
      </c>
      <c r="D26" s="62"/>
      <c r="E26" s="62">
        <f t="shared" si="3"/>
        <v>4</v>
      </c>
      <c r="F26" s="128">
        <v>645</v>
      </c>
      <c r="G26" s="129">
        <v>6.9131832797427659</v>
      </c>
      <c r="H26" s="129">
        <v>6.4159737750323558</v>
      </c>
      <c r="I26" s="129">
        <v>7.4458586176529105</v>
      </c>
      <c r="J26" s="129"/>
      <c r="K26" s="129"/>
      <c r="L26" s="129"/>
      <c r="M26" s="60">
        <f t="shared" si="19"/>
        <v>2</v>
      </c>
      <c r="N26" s="61">
        <f t="shared" si="4"/>
        <v>4.4858299595141702</v>
      </c>
      <c r="O26" s="61">
        <f t="shared" si="17"/>
        <v>12.113354324874976</v>
      </c>
      <c r="P26" s="129">
        <f t="shared" si="5"/>
        <v>27.410865991628796</v>
      </c>
      <c r="Q26" s="129">
        <f t="shared" si="6"/>
        <v>27.24869653448253</v>
      </c>
      <c r="R26" s="129">
        <f t="shared" si="7"/>
        <v>27.573634791765983</v>
      </c>
      <c r="S26" s="61">
        <f t="shared" si="8"/>
        <v>29.471032745591941</v>
      </c>
      <c r="T26" s="61">
        <f t="shared" si="22"/>
        <v>52.974739641037004</v>
      </c>
      <c r="U26" s="61">
        <f t="shared" si="9"/>
        <v>27.095917306692844</v>
      </c>
      <c r="V26" s="61"/>
      <c r="Y26" s="163" t="s">
        <v>39</v>
      </c>
      <c r="Z26" s="163" t="s">
        <v>158</v>
      </c>
      <c r="AA26" s="163" t="s">
        <v>200</v>
      </c>
      <c r="AB26" s="163">
        <f t="shared" si="25"/>
        <v>5</v>
      </c>
      <c r="AC26" s="166">
        <f t="shared" si="26"/>
        <v>6.1680976050610035</v>
      </c>
      <c r="AD26" s="166">
        <f t="shared" si="27"/>
        <v>47.852721176167137</v>
      </c>
      <c r="AE26" s="163"/>
      <c r="AF26" s="163">
        <f t="shared" si="11"/>
        <v>11</v>
      </c>
      <c r="AG26" s="168">
        <f t="shared" si="12"/>
        <v>2919</v>
      </c>
      <c r="AH26" s="166">
        <f t="shared" si="13"/>
        <v>20.05358615004122</v>
      </c>
      <c r="AI26" s="166">
        <f t="shared" si="14"/>
        <v>19.41106203434714</v>
      </c>
      <c r="AJ26" s="166">
        <f t="shared" si="15"/>
        <v>20.711912349289225</v>
      </c>
      <c r="AK26" s="168">
        <f t="shared" si="16"/>
        <v>2</v>
      </c>
    </row>
    <row r="27" spans="1:37" x14ac:dyDescent="0.2">
      <c r="A27" s="62" t="s">
        <v>50</v>
      </c>
      <c r="B27" s="62" t="s">
        <v>161</v>
      </c>
      <c r="C27" s="62" t="s">
        <v>163</v>
      </c>
      <c r="D27" s="62"/>
      <c r="E27" s="62">
        <f t="shared" si="3"/>
        <v>17</v>
      </c>
      <c r="F27" s="128">
        <v>1575</v>
      </c>
      <c r="G27" s="129">
        <v>27.006172839506174</v>
      </c>
      <c r="H27" s="129">
        <v>25.882084208257783</v>
      </c>
      <c r="I27" s="129">
        <v>28.160532971716496</v>
      </c>
      <c r="J27" s="129"/>
      <c r="K27" s="129"/>
      <c r="L27" s="129"/>
      <c r="M27" s="60">
        <f t="shared" si="19"/>
        <v>5</v>
      </c>
      <c r="N27" s="61">
        <f t="shared" si="4"/>
        <v>4.4858299595141702</v>
      </c>
      <c r="O27" s="61">
        <f t="shared" si="17"/>
        <v>12.113354324874976</v>
      </c>
      <c r="P27" s="129">
        <f t="shared" si="5"/>
        <v>27.410865991628796</v>
      </c>
      <c r="Q27" s="129">
        <f t="shared" si="6"/>
        <v>27.24869653448253</v>
      </c>
      <c r="R27" s="129">
        <f t="shared" si="7"/>
        <v>27.573634791765983</v>
      </c>
      <c r="S27" s="61">
        <f t="shared" si="8"/>
        <v>29.471032745591941</v>
      </c>
      <c r="T27" s="61">
        <f t="shared" si="22"/>
        <v>52.974739641037004</v>
      </c>
      <c r="U27" s="61">
        <f t="shared" si="9"/>
        <v>26.170310819806442</v>
      </c>
      <c r="V27" s="61"/>
      <c r="Y27" s="163" t="s">
        <v>40</v>
      </c>
      <c r="Z27" s="163" t="s">
        <v>63</v>
      </c>
      <c r="AA27" s="163" t="s">
        <v>200</v>
      </c>
      <c r="AB27" s="163">
        <f t="shared" si="25"/>
        <v>4</v>
      </c>
      <c r="AC27" s="166">
        <f t="shared" si="26"/>
        <v>6.1680976050610035</v>
      </c>
      <c r="AD27" s="166">
        <f t="shared" si="27"/>
        <v>47.852721176167137</v>
      </c>
      <c r="AE27" s="163"/>
      <c r="AF27" s="163">
        <f t="shared" si="11"/>
        <v>9</v>
      </c>
      <c r="AG27" s="168">
        <f t="shared" si="12"/>
        <v>1487</v>
      </c>
      <c r="AH27" s="166">
        <f t="shared" si="13"/>
        <v>18.191827746513336</v>
      </c>
      <c r="AI27" s="166">
        <f t="shared" si="14"/>
        <v>17.370522274382324</v>
      </c>
      <c r="AJ27" s="166">
        <f t="shared" si="15"/>
        <v>19.043016356997811</v>
      </c>
      <c r="AK27" s="168">
        <f t="shared" si="16"/>
        <v>2</v>
      </c>
    </row>
    <row r="28" spans="1:37" x14ac:dyDescent="0.2">
      <c r="A28" s="62" t="s">
        <v>51</v>
      </c>
      <c r="B28" s="62" t="s">
        <v>71</v>
      </c>
      <c r="C28" s="62" t="s">
        <v>200</v>
      </c>
      <c r="D28" s="62"/>
      <c r="E28" s="62">
        <f t="shared" si="3"/>
        <v>24</v>
      </c>
      <c r="F28" s="128">
        <v>2548</v>
      </c>
      <c r="G28" s="129">
        <v>46.009389671361497</v>
      </c>
      <c r="H28" s="129">
        <v>44.699942779159606</v>
      </c>
      <c r="I28" s="129">
        <v>47.324368935920425</v>
      </c>
      <c r="J28" s="129"/>
      <c r="K28" s="129"/>
      <c r="L28" s="129"/>
      <c r="M28" s="60">
        <f t="shared" si="19"/>
        <v>1</v>
      </c>
      <c r="N28" s="61">
        <f t="shared" si="4"/>
        <v>4.4858299595141702</v>
      </c>
      <c r="O28" s="61">
        <f t="shared" si="17"/>
        <v>12.113354324874976</v>
      </c>
      <c r="P28" s="129">
        <f t="shared" si="5"/>
        <v>27.410865991628796</v>
      </c>
      <c r="Q28" s="129">
        <f t="shared" si="6"/>
        <v>27.24869653448253</v>
      </c>
      <c r="R28" s="129">
        <f t="shared" si="7"/>
        <v>27.573634791765983</v>
      </c>
      <c r="S28" s="61">
        <f t="shared" si="8"/>
        <v>29.471032745591941</v>
      </c>
      <c r="T28" s="61">
        <f t="shared" si="22"/>
        <v>52.974739641037004</v>
      </c>
      <c r="U28" s="61">
        <f t="shared" si="9"/>
        <v>27.095917306692844</v>
      </c>
      <c r="V28" s="61"/>
      <c r="Y28" s="163" t="s">
        <v>42</v>
      </c>
      <c r="Z28" s="163" t="s">
        <v>65</v>
      </c>
      <c r="AA28" s="163" t="s">
        <v>200</v>
      </c>
      <c r="AB28" s="163">
        <f t="shared" si="25"/>
        <v>3</v>
      </c>
      <c r="AC28" s="166">
        <f t="shared" si="26"/>
        <v>6.1680976050610035</v>
      </c>
      <c r="AD28" s="166">
        <f t="shared" si="27"/>
        <v>47.852721176167137</v>
      </c>
      <c r="AE28" s="163"/>
      <c r="AF28" s="163">
        <f t="shared" si="11"/>
        <v>5</v>
      </c>
      <c r="AG28" s="168">
        <f t="shared" si="12"/>
        <v>479</v>
      </c>
      <c r="AH28" s="166">
        <f t="shared" si="13"/>
        <v>9.2115384615384617</v>
      </c>
      <c r="AI28" s="166">
        <f t="shared" si="14"/>
        <v>8.4553522557047334</v>
      </c>
      <c r="AJ28" s="166">
        <f t="shared" si="15"/>
        <v>10.027944486365282</v>
      </c>
      <c r="AK28" s="168">
        <f t="shared" si="16"/>
        <v>2</v>
      </c>
    </row>
    <row r="29" spans="1:37" x14ac:dyDescent="0.2">
      <c r="A29" s="62" t="s">
        <v>52</v>
      </c>
      <c r="B29" s="62" t="s">
        <v>72</v>
      </c>
      <c r="C29" s="62" t="s">
        <v>201</v>
      </c>
      <c r="D29" s="62"/>
      <c r="E29" s="62">
        <f t="shared" si="3"/>
        <v>2</v>
      </c>
      <c r="F29" s="128">
        <v>221</v>
      </c>
      <c r="G29" s="129">
        <v>5.0898203592814371</v>
      </c>
      <c r="H29" s="129">
        <v>4.4748538503648367</v>
      </c>
      <c r="I29" s="129">
        <v>5.7841825881544722</v>
      </c>
      <c r="J29" s="129"/>
      <c r="K29" s="129"/>
      <c r="L29" s="129"/>
      <c r="M29" s="60">
        <f t="shared" si="19"/>
        <v>2</v>
      </c>
      <c r="N29" s="61">
        <f t="shared" si="4"/>
        <v>4.4858299595141702</v>
      </c>
      <c r="O29" s="61">
        <f t="shared" si="17"/>
        <v>12.113354324874976</v>
      </c>
      <c r="P29" s="129">
        <f t="shared" si="5"/>
        <v>27.410865991628796</v>
      </c>
      <c r="Q29" s="129">
        <f t="shared" si="6"/>
        <v>27.24869653448253</v>
      </c>
      <c r="R29" s="129">
        <f t="shared" si="7"/>
        <v>27.573634791765983</v>
      </c>
      <c r="S29" s="61">
        <f t="shared" si="8"/>
        <v>29.471032745591941</v>
      </c>
      <c r="T29" s="61">
        <f t="shared" si="22"/>
        <v>52.974739641037004</v>
      </c>
      <c r="U29" s="61">
        <f t="shared" si="9"/>
        <v>28.8197543053525</v>
      </c>
      <c r="V29" s="61"/>
      <c r="Y29" s="163" t="s">
        <v>44</v>
      </c>
      <c r="Z29" s="163" t="s">
        <v>66</v>
      </c>
      <c r="AA29" s="163" t="s">
        <v>200</v>
      </c>
      <c r="AB29" s="163">
        <f t="shared" si="25"/>
        <v>1</v>
      </c>
      <c r="AC29" s="166">
        <f t="shared" si="26"/>
        <v>6.1680976050610035</v>
      </c>
      <c r="AD29" s="166">
        <f t="shared" si="27"/>
        <v>47.852721176167137</v>
      </c>
      <c r="AE29" s="163"/>
      <c r="AF29" s="163">
        <f t="shared" si="11"/>
        <v>3</v>
      </c>
      <c r="AG29" s="168">
        <f t="shared" si="12"/>
        <v>273</v>
      </c>
      <c r="AH29" s="166">
        <f t="shared" si="13"/>
        <v>6.1680976050610035</v>
      </c>
      <c r="AI29" s="166">
        <f t="shared" si="14"/>
        <v>5.4966457587031083</v>
      </c>
      <c r="AJ29" s="166">
        <f t="shared" si="15"/>
        <v>6.91556953008224</v>
      </c>
      <c r="AK29" s="168">
        <f t="shared" si="16"/>
        <v>2</v>
      </c>
    </row>
    <row r="30" spans="1:37" x14ac:dyDescent="0.2">
      <c r="A30" s="62" t="s">
        <v>53</v>
      </c>
      <c r="B30" s="62" t="s">
        <v>162</v>
      </c>
      <c r="C30" s="62" t="s">
        <v>163</v>
      </c>
      <c r="D30" s="62"/>
      <c r="E30" s="62">
        <f t="shared" si="3"/>
        <v>18</v>
      </c>
      <c r="F30" s="128">
        <v>7618</v>
      </c>
      <c r="G30" s="129">
        <v>27.141228445204504</v>
      </c>
      <c r="H30" s="129">
        <v>26.624149560810217</v>
      </c>
      <c r="I30" s="129">
        <v>27.664563494143479</v>
      </c>
      <c r="J30" s="129"/>
      <c r="K30" s="129"/>
      <c r="L30" s="129"/>
      <c r="M30" s="60">
        <f t="shared" si="19"/>
        <v>5</v>
      </c>
      <c r="N30" s="61">
        <f t="shared" si="4"/>
        <v>4.4858299595141702</v>
      </c>
      <c r="O30" s="61">
        <f t="shared" si="17"/>
        <v>12.113354324874976</v>
      </c>
      <c r="P30" s="129">
        <f>$G$32</f>
        <v>27.410865991628796</v>
      </c>
      <c r="Q30" s="129">
        <f t="shared" si="6"/>
        <v>27.24869653448253</v>
      </c>
      <c r="R30" s="129">
        <f t="shared" si="7"/>
        <v>27.573634791765983</v>
      </c>
      <c r="S30" s="61">
        <f t="shared" si="8"/>
        <v>29.471032745591941</v>
      </c>
      <c r="T30" s="61">
        <f t="shared" si="22"/>
        <v>52.974739641037004</v>
      </c>
      <c r="U30" s="61">
        <f t="shared" si="9"/>
        <v>26.170310819806442</v>
      </c>
      <c r="V30" s="61"/>
      <c r="Y30" s="163" t="s">
        <v>49</v>
      </c>
      <c r="Z30" s="163" t="s">
        <v>70</v>
      </c>
      <c r="AA30" s="163" t="s">
        <v>200</v>
      </c>
      <c r="AB30" s="163">
        <f t="shared" si="25"/>
        <v>2</v>
      </c>
      <c r="AC30" s="166">
        <f t="shared" si="26"/>
        <v>6.1680976050610035</v>
      </c>
      <c r="AD30" s="166">
        <f t="shared" si="27"/>
        <v>47.852721176167137</v>
      </c>
      <c r="AE30" s="163"/>
      <c r="AF30" s="163">
        <f t="shared" si="11"/>
        <v>4</v>
      </c>
      <c r="AG30" s="168">
        <f t="shared" si="12"/>
        <v>645</v>
      </c>
      <c r="AH30" s="166">
        <f t="shared" si="13"/>
        <v>6.9131832797427659</v>
      </c>
      <c r="AI30" s="166">
        <f t="shared" si="14"/>
        <v>6.4159737750323558</v>
      </c>
      <c r="AJ30" s="166">
        <f t="shared" si="15"/>
        <v>7.4458586176529105</v>
      </c>
      <c r="AK30" s="168">
        <f t="shared" si="16"/>
        <v>2</v>
      </c>
    </row>
    <row r="31" spans="1:37" x14ac:dyDescent="0.2">
      <c r="A31" s="62" t="s">
        <v>54</v>
      </c>
      <c r="B31" s="62" t="s">
        <v>73</v>
      </c>
      <c r="C31" s="62" t="s">
        <v>201</v>
      </c>
      <c r="D31" s="62"/>
      <c r="E31" s="62">
        <f t="shared" si="3"/>
        <v>6</v>
      </c>
      <c r="F31" s="128">
        <v>666</v>
      </c>
      <c r="G31" s="129">
        <v>9.9895005249737512</v>
      </c>
      <c r="H31" s="129">
        <v>9.2925968131807082</v>
      </c>
      <c r="I31" s="129">
        <v>10.732484985972873</v>
      </c>
      <c r="J31" s="129"/>
      <c r="K31" s="129"/>
      <c r="L31" s="129"/>
      <c r="M31" s="60">
        <f t="shared" si="19"/>
        <v>2</v>
      </c>
      <c r="N31" s="61">
        <f t="shared" si="4"/>
        <v>4.4858299595141702</v>
      </c>
      <c r="O31" s="61">
        <f t="shared" si="17"/>
        <v>12.113354324874976</v>
      </c>
      <c r="P31" s="129">
        <f t="shared" si="5"/>
        <v>27.410865991628796</v>
      </c>
      <c r="Q31" s="129">
        <f t="shared" si="6"/>
        <v>27.24869653448253</v>
      </c>
      <c r="R31" s="129">
        <f t="shared" si="7"/>
        <v>27.573634791765983</v>
      </c>
      <c r="S31" s="61">
        <f t="shared" si="8"/>
        <v>29.471032745591941</v>
      </c>
      <c r="T31" s="61">
        <f t="shared" si="22"/>
        <v>52.974739641037004</v>
      </c>
      <c r="U31" s="61">
        <f t="shared" si="9"/>
        <v>28.8197543053525</v>
      </c>
      <c r="V31" s="61"/>
      <c r="Y31" s="163" t="s">
        <v>51</v>
      </c>
      <c r="Z31" s="163" t="s">
        <v>71</v>
      </c>
      <c r="AA31" s="163" t="s">
        <v>200</v>
      </c>
      <c r="AB31" s="163">
        <f t="shared" si="25"/>
        <v>8</v>
      </c>
      <c r="AC31" s="166">
        <f t="shared" si="26"/>
        <v>6.1680976050610035</v>
      </c>
      <c r="AD31" s="166">
        <f t="shared" si="27"/>
        <v>47.852721176167137</v>
      </c>
      <c r="AE31" s="163"/>
      <c r="AF31" s="163">
        <f t="shared" si="11"/>
        <v>24</v>
      </c>
      <c r="AG31" s="168">
        <f t="shared" si="12"/>
        <v>2548</v>
      </c>
      <c r="AH31" s="166">
        <f t="shared" si="13"/>
        <v>46.009389671361497</v>
      </c>
      <c r="AI31" s="166">
        <f t="shared" si="14"/>
        <v>44.699942779159606</v>
      </c>
      <c r="AJ31" s="166">
        <f t="shared" si="15"/>
        <v>47.324368935920425</v>
      </c>
      <c r="AK31" s="168">
        <f t="shared" si="16"/>
        <v>1</v>
      </c>
    </row>
    <row r="32" spans="1:37" x14ac:dyDescent="0.2">
      <c r="A32" s="62"/>
      <c r="B32" s="62" t="s">
        <v>171</v>
      </c>
      <c r="C32" s="62"/>
      <c r="D32" s="62"/>
      <c r="E32" s="62"/>
      <c r="F32" s="128">
        <v>79372</v>
      </c>
      <c r="G32" s="129">
        <v>27.410865991628796</v>
      </c>
      <c r="H32" s="129">
        <v>27.24869653448253</v>
      </c>
      <c r="I32" s="129">
        <v>27.573634791765983</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25554</v>
      </c>
      <c r="G44" s="129">
        <v>26.170310819806442</v>
      </c>
      <c r="H44" s="129">
        <v>25.89554811072502</v>
      </c>
      <c r="I44" s="129">
        <v>26.44694842608742</v>
      </c>
      <c r="J44" s="129">
        <f>VLOOKUP($C44,$AA$6:$AD$13,3,FALSE)</f>
        <v>12.113354324874976</v>
      </c>
      <c r="K44" s="129">
        <f>VLOOKUP($C44,$AA$6:$AD$13,4,FALSE)</f>
        <v>39.838148647689358</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2</v>
      </c>
      <c r="N44" s="61">
        <f>MIN($G$6:$G$31)</f>
        <v>4.4858299595141702</v>
      </c>
      <c r="O44" s="61">
        <f>VLOOKUP(7,$E$5:$G$39,3,FALSE)</f>
        <v>12.113354324874976</v>
      </c>
      <c r="P44" s="129">
        <f>$G$32</f>
        <v>27.410865991628796</v>
      </c>
      <c r="Q44" s="129">
        <f>$H$32</f>
        <v>27.24869653448253</v>
      </c>
      <c r="R44" s="129">
        <f>$I$32</f>
        <v>27.573634791765983</v>
      </c>
      <c r="S44" s="61">
        <f>VLOOKUP(20,$E$5:$G$39,3,FALSE)</f>
        <v>29.471032745591941</v>
      </c>
      <c r="T44" s="61">
        <f>MAX($G$6:$G$31)</f>
        <v>52.974739641037004</v>
      </c>
    </row>
    <row r="45" spans="1:22" x14ac:dyDescent="0.2">
      <c r="C45" s="62" t="s">
        <v>201</v>
      </c>
      <c r="D45" s="62"/>
      <c r="E45" s="62"/>
      <c r="F45" s="128">
        <v>30357</v>
      </c>
      <c r="G45" s="129">
        <v>28.8197543053525</v>
      </c>
      <c r="H45" s="129">
        <v>28.547010859141231</v>
      </c>
      <c r="I45" s="129">
        <v>29.094042553327714</v>
      </c>
      <c r="J45" s="129">
        <f>VLOOKUP($C45,$AA$14:$AD$22,3,FALSE)</f>
        <v>4.4858299595141702</v>
      </c>
      <c r="K45" s="129">
        <f>VLOOKUP($C45,$AA$14:$AD$22,4,FALSE)</f>
        <v>52.974739641037004</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1</v>
      </c>
      <c r="N45" s="61">
        <f t="shared" ref="N45:N46" si="28">MIN($G$6:$G$31)</f>
        <v>4.4858299595141702</v>
      </c>
      <c r="O45" s="61">
        <f t="shared" ref="O45:O46" si="29">VLOOKUP(7,$E$5:$G$39,3,FALSE)</f>
        <v>12.113354324874976</v>
      </c>
      <c r="P45" s="129">
        <f>$G$32</f>
        <v>27.410865991628796</v>
      </c>
      <c r="Q45" s="129">
        <f t="shared" ref="Q45:Q46" si="30">$H$32</f>
        <v>27.24869653448253</v>
      </c>
      <c r="R45" s="129">
        <f t="shared" ref="R45:R46" si="31">$I$32</f>
        <v>27.573634791765983</v>
      </c>
      <c r="S45" s="61">
        <f t="shared" ref="S45:S46" si="32">VLOOKUP(20,$E$5:$G$39,3,FALSE)</f>
        <v>29.471032745591941</v>
      </c>
      <c r="T45" s="61">
        <f t="shared" ref="T45:T46" si="33">MAX($G$6:$G$31)</f>
        <v>52.974739641037004</v>
      </c>
    </row>
    <row r="46" spans="1:22" x14ac:dyDescent="0.2">
      <c r="C46" s="62" t="s">
        <v>200</v>
      </c>
      <c r="D46" s="62"/>
      <c r="E46" s="62"/>
      <c r="F46" s="128">
        <v>23461</v>
      </c>
      <c r="G46" s="129">
        <v>27.095917306692844</v>
      </c>
      <c r="H46" s="129">
        <v>26.800895378950241</v>
      </c>
      <c r="I46" s="129">
        <v>27.392971484527028</v>
      </c>
      <c r="J46" s="129">
        <f>VLOOKUP($C46,$AA$23:$AD$31,3,FALSE)</f>
        <v>6.1680976050610035</v>
      </c>
      <c r="K46" s="129">
        <f>VLOOKUP($C46,$AA$23:$AD$31,4,FALSE)</f>
        <v>47.852721176167137</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5</v>
      </c>
      <c r="N46" s="61">
        <f t="shared" si="28"/>
        <v>4.4858299595141702</v>
      </c>
      <c r="O46" s="61">
        <f t="shared" si="29"/>
        <v>12.113354324874976</v>
      </c>
      <c r="P46" s="129">
        <f t="shared" ref="P46" si="34">$G$32</f>
        <v>27.410865991628796</v>
      </c>
      <c r="Q46" s="129">
        <f t="shared" si="30"/>
        <v>27.24869653448253</v>
      </c>
      <c r="R46" s="129">
        <f t="shared" si="31"/>
        <v>27.573634791765983</v>
      </c>
      <c r="S46" s="61">
        <f t="shared" si="32"/>
        <v>29.471032745591941</v>
      </c>
      <c r="T46" s="61">
        <f t="shared" si="33"/>
        <v>52.974739641037004</v>
      </c>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K2:N2" xr:uid="{00000000-0002-0000-0A00-000000000000}">
      <formula1>"High = Worst,Low = Worst"</formula1>
    </dataValidation>
    <dataValidation type="list" allowBlank="1" showInputMessage="1" showErrorMessage="1" sqref="C2:D2" xr:uid="{00000000-0002-0000-0A00-000001000000}">
      <formula1>"Better / Worse,Higher / Lower,Significance not measured"</formula1>
    </dataValidation>
  </dataValidations>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6" tint="0.39997558519241921"/>
  </sheetPr>
  <dimension ref="A1:AK55"/>
  <sheetViews>
    <sheetView workbookViewId="0">
      <selection activeCell="A45" sqref="A45:XFD45"/>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9" width="5.1093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5" style="21" customWidth="1"/>
    <col min="17" max="18" width="4.6640625" style="21" customWidth="1"/>
    <col min="19" max="19" width="7" style="21" bestFit="1" customWidth="1"/>
    <col min="20" max="20" width="4.88671875" style="21" bestFit="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133</v>
      </c>
      <c r="D2" s="444"/>
      <c r="F2" s="137" t="s">
        <v>135</v>
      </c>
      <c r="G2" s="138"/>
      <c r="H2" s="138"/>
      <c r="I2" s="139"/>
      <c r="J2" s="140"/>
      <c r="K2" s="445" t="s">
        <v>137</v>
      </c>
      <c r="L2" s="443"/>
      <c r="M2" s="443"/>
      <c r="N2" s="446"/>
      <c r="P2" s="141" t="s">
        <v>136</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7</v>
      </c>
      <c r="F6" s="128" t="s">
        <v>79</v>
      </c>
      <c r="G6" s="129">
        <v>82.313302973083054</v>
      </c>
      <c r="H6" s="129">
        <v>81.853674123221808</v>
      </c>
      <c r="I6" s="129">
        <v>82.763741362701808</v>
      </c>
      <c r="J6" s="129"/>
      <c r="K6" s="129"/>
      <c r="L6" s="129"/>
      <c r="M6" s="60">
        <f>IF($C$2="Significance not measured",6,IF(AND($C$2="Better / Worse",$K$2="Low = Worst",I6&lt;Q6),1,IF(AND($C$2="Better / Worse",$K$2="Low = Worst",H6&gt;R6),2,IF(AND($C$2="Better / Worse",$K$2="High = Worst",I6&lt;Q6),2,IF(AND($C$2="Better / Worse",$K$2="High = Worst",H6&gt;R6),1,IF(AND($C$2="Higher / Lower",I6&lt;Q6),3,IF(AND($C$2="Higher / Lower",H6&gt;R6),4,5)))))))</f>
        <v>3</v>
      </c>
      <c r="N6" s="61">
        <f>MIN($G$6:$G$32)</f>
        <v>74.0476335135792</v>
      </c>
      <c r="O6" s="61">
        <f>VLOOKUP(7,$E$5:$G$39,3,FALSE)</f>
        <v>82.313302973083054</v>
      </c>
      <c r="P6" s="129">
        <f>$G$32</f>
        <v>88.151671279165441</v>
      </c>
      <c r="Q6" s="129">
        <f>$H$32</f>
        <v>88.018161090725641</v>
      </c>
      <c r="R6" s="129">
        <f>$I$32</f>
        <v>88.283891825293694</v>
      </c>
      <c r="S6" s="61">
        <f>VLOOKUP(20,$E$5:$G$39,3,FALSE)</f>
        <v>95.607169448126839</v>
      </c>
      <c r="T6" s="61">
        <f t="shared" ref="T6:T31" si="0">MAX($G$6:$G$31)</f>
        <v>96.096831575962256</v>
      </c>
      <c r="U6" s="61">
        <f>VLOOKUP(C6,$C$43:$I$46,5,FALSE)</f>
        <v>79.399897485772868</v>
      </c>
      <c r="V6" s="61"/>
      <c r="Y6" s="159" t="s">
        <v>33</v>
      </c>
      <c r="Z6" s="159" t="s">
        <v>58</v>
      </c>
      <c r="AA6" s="159" t="s">
        <v>163</v>
      </c>
      <c r="AB6" s="159">
        <f>RANK(AH6,$AH$6:$AH$13,1)</f>
        <v>2</v>
      </c>
      <c r="AC6" s="164">
        <f>MIN($AH$6:$AH$13)</f>
        <v>95.07560684440908</v>
      </c>
      <c r="AD6" s="164">
        <f>MAX($AH$6:$AH$13)</f>
        <v>96.096831575962256</v>
      </c>
      <c r="AE6" s="159"/>
      <c r="AF6" s="159">
        <f>VLOOKUP($Y6,$A$6:$I$31,5,FALSE)</f>
        <v>20</v>
      </c>
      <c r="AG6" s="160" t="str">
        <f>VLOOKUP($Y6,$A$6:$I$31,6,FALSE)</f>
        <v>N/A</v>
      </c>
      <c r="AH6" s="161">
        <f>VLOOKUP($Y6,$A$6:$I$31,7,FALSE)</f>
        <v>95.607169448126839</v>
      </c>
      <c r="AI6" s="161">
        <f>VLOOKUP($Y6,$A$6:$I$31,8,FALSE)</f>
        <v>95.432797612825809</v>
      </c>
      <c r="AJ6" s="161">
        <f>VLOOKUP($Y6,$A$6:$I$31,9,FALSE)</f>
        <v>95.775178640013564</v>
      </c>
      <c r="AK6" s="160">
        <f>VLOOKUP($Y6,$A$6:$M$31,13,FALSE)</f>
        <v>4</v>
      </c>
    </row>
    <row r="7" spans="1:37" x14ac:dyDescent="0.2">
      <c r="A7" s="62" t="s">
        <v>30</v>
      </c>
      <c r="B7" s="62" t="s">
        <v>56</v>
      </c>
      <c r="C7" s="62" t="s">
        <v>200</v>
      </c>
      <c r="D7" s="62"/>
      <c r="E7" s="62">
        <f t="shared" ref="E7:E31" si="1">RANK(G7,$G$6:$G$31,1)</f>
        <v>18</v>
      </c>
      <c r="F7" s="128" t="s">
        <v>79</v>
      </c>
      <c r="G7" s="129">
        <v>92.392133593286431</v>
      </c>
      <c r="H7" s="129">
        <v>92.04689427430695</v>
      </c>
      <c r="I7" s="129">
        <v>92.72357100281549</v>
      </c>
      <c r="J7" s="129"/>
      <c r="K7" s="129"/>
      <c r="L7" s="129"/>
      <c r="M7" s="60">
        <f t="shared" ref="M7:M31" si="2">IF($C$2="Significance not measured",6,IF(AND($C$2="Better / Worse",$K$2="Low = Worst",I7&lt;Q7),1,IF(AND($C$2="Better / Worse",$K$2="Low = Worst",H7&gt;R7),2,IF(AND($C$2="Better / Worse",$K$2="High = Worst",I7&lt;Q7),2,IF(AND($C$2="Better / Worse",$K$2="High = Worst",H7&gt;R7),1,IF(AND($C$2="Higher / Lower",I7&lt;Q7),3,IF(AND($C$2="Higher / Lower",H7&gt;R7),4,5)))))))</f>
        <v>4</v>
      </c>
      <c r="N7" s="61">
        <f t="shared" ref="N7:N31" si="3">MIN($G$6:$G$32)</f>
        <v>74.0476335135792</v>
      </c>
      <c r="O7" s="61">
        <f>VLOOKUP(7,$E$5:$G$39,3,FALSE)</f>
        <v>82.313302973083054</v>
      </c>
      <c r="P7" s="129">
        <f t="shared" ref="P7:P31" si="4">$G$32</f>
        <v>88.151671279165441</v>
      </c>
      <c r="Q7" s="129">
        <f t="shared" ref="Q7:Q31" si="5">$H$32</f>
        <v>88.018161090725641</v>
      </c>
      <c r="R7" s="129">
        <f t="shared" ref="R7:R31" si="6">$I$32</f>
        <v>88.283891825293694</v>
      </c>
      <c r="S7" s="61">
        <f t="shared" ref="S7:S31" si="7">VLOOKUP(20,$E$5:$G$39,3,FALSE)</f>
        <v>95.607169448126839</v>
      </c>
      <c r="T7" s="61">
        <f t="shared" si="0"/>
        <v>96.096831575962256</v>
      </c>
      <c r="U7" s="61">
        <f t="shared" ref="U7:U31" si="8">VLOOKUP(C7,$C$43:$I$46,5,FALSE)</f>
        <v>89.304330675382488</v>
      </c>
      <c r="V7" s="61"/>
      <c r="Y7" s="159" t="s">
        <v>35</v>
      </c>
      <c r="Z7" s="159" t="s">
        <v>60</v>
      </c>
      <c r="AA7" s="159" t="s">
        <v>163</v>
      </c>
      <c r="AB7" s="159">
        <f t="shared" ref="AB7:AB12" si="9">RANK(AH7,$AH$6:$AH$13,1)</f>
        <v>7</v>
      </c>
      <c r="AC7" s="164">
        <f>MIN($AH$6:$AH$13)</f>
        <v>95.07560684440908</v>
      </c>
      <c r="AD7" s="164">
        <f t="shared" ref="AD7:AD13" si="10">MAX($AH$6:$AH$13)</f>
        <v>96.096831575962256</v>
      </c>
      <c r="AE7" s="159"/>
      <c r="AF7" s="159">
        <f t="shared" ref="AF7:AF31" si="11">VLOOKUP($Y7,$A$6:$I$31,5,FALSE)</f>
        <v>25</v>
      </c>
      <c r="AG7" s="160" t="str">
        <f t="shared" ref="AG7:AG31" si="12">VLOOKUP($Y7,$A$6:$I$31,6,FALSE)</f>
        <v>N/A</v>
      </c>
      <c r="AH7" s="161">
        <f t="shared" ref="AH7:AH31" si="13">VLOOKUP($Y7,$A$6:$I$31,7,FALSE)</f>
        <v>95.95</v>
      </c>
      <c r="AI7" s="161">
        <f t="shared" ref="AI7:AI31" si="14">VLOOKUP($Y7,$A$6:$I$31,8,FALSE)</f>
        <v>95.765985958297392</v>
      </c>
      <c r="AJ7" s="161">
        <f t="shared" ref="AJ7:AJ31" si="15">VLOOKUP($Y7,$A$6:$I$31,9,FALSE)</f>
        <v>96.126340115908008</v>
      </c>
      <c r="AK7" s="160">
        <f t="shared" ref="AK7:AK31" si="16">VLOOKUP($Y7,$A$6:$M$31,13,FALSE)</f>
        <v>4</v>
      </c>
    </row>
    <row r="8" spans="1:37" x14ac:dyDescent="0.2">
      <c r="A8" s="62" t="s">
        <v>31</v>
      </c>
      <c r="B8" s="62" t="s">
        <v>57</v>
      </c>
      <c r="C8" s="62" t="s">
        <v>200</v>
      </c>
      <c r="D8" s="62"/>
      <c r="E8" s="62">
        <f t="shared" si="1"/>
        <v>16</v>
      </c>
      <c r="F8" s="128" t="s">
        <v>79</v>
      </c>
      <c r="G8" s="129">
        <v>90.705671754286783</v>
      </c>
      <c r="H8" s="129">
        <v>90.477703401769119</v>
      </c>
      <c r="I8" s="129">
        <v>90.928729619708932</v>
      </c>
      <c r="J8" s="129"/>
      <c r="K8" s="129"/>
      <c r="L8" s="129"/>
      <c r="M8" s="60">
        <f t="shared" si="2"/>
        <v>4</v>
      </c>
      <c r="N8" s="61">
        <f t="shared" si="3"/>
        <v>74.0476335135792</v>
      </c>
      <c r="O8" s="61">
        <f t="shared" ref="O8:O31" si="17">VLOOKUP(7,$E$5:$G$39,3,FALSE)</f>
        <v>82.313302973083054</v>
      </c>
      <c r="P8" s="129">
        <f t="shared" si="4"/>
        <v>88.151671279165441</v>
      </c>
      <c r="Q8" s="129">
        <f t="shared" si="5"/>
        <v>88.018161090725641</v>
      </c>
      <c r="R8" s="129">
        <f t="shared" si="6"/>
        <v>88.283891825293694</v>
      </c>
      <c r="S8" s="61">
        <f t="shared" si="7"/>
        <v>95.607169448126839</v>
      </c>
      <c r="T8" s="61">
        <f t="shared" si="0"/>
        <v>96.096831575962256</v>
      </c>
      <c r="U8" s="61">
        <f t="shared" si="8"/>
        <v>89.304330675382488</v>
      </c>
      <c r="V8" s="61"/>
      <c r="Y8" s="159" t="s">
        <v>41</v>
      </c>
      <c r="Z8" s="159" t="s">
        <v>64</v>
      </c>
      <c r="AA8" s="159" t="s">
        <v>163</v>
      </c>
      <c r="AB8" s="159">
        <f t="shared" si="9"/>
        <v>5</v>
      </c>
      <c r="AC8" s="164">
        <f t="shared" ref="AC8:AC13" si="18">MIN($AH$6:$AH$13)</f>
        <v>95.07560684440908</v>
      </c>
      <c r="AD8" s="164">
        <f>MAX($AH$6:$AH$13)</f>
        <v>96.096831575962256</v>
      </c>
      <c r="AE8" s="159"/>
      <c r="AF8" s="159">
        <f t="shared" si="11"/>
        <v>23</v>
      </c>
      <c r="AG8" s="160" t="str">
        <f t="shared" si="12"/>
        <v>N/A</v>
      </c>
      <c r="AH8" s="161">
        <f t="shared" si="13"/>
        <v>95.776324817370948</v>
      </c>
      <c r="AI8" s="161">
        <f t="shared" si="14"/>
        <v>95.595662268622988</v>
      </c>
      <c r="AJ8" s="161">
        <f t="shared" si="15"/>
        <v>95.949890694368392</v>
      </c>
      <c r="AK8" s="160">
        <f t="shared" si="16"/>
        <v>4</v>
      </c>
    </row>
    <row r="9" spans="1:37" x14ac:dyDescent="0.2">
      <c r="A9" s="62" t="s">
        <v>32</v>
      </c>
      <c r="B9" s="62" t="s">
        <v>156</v>
      </c>
      <c r="C9" s="62" t="s">
        <v>201</v>
      </c>
      <c r="D9" s="62"/>
      <c r="E9" s="62">
        <f t="shared" si="1"/>
        <v>6</v>
      </c>
      <c r="F9" s="128" t="s">
        <v>79</v>
      </c>
      <c r="G9" s="129">
        <v>81.971723928245666</v>
      </c>
      <c r="H9" s="129">
        <v>81.676087652572463</v>
      </c>
      <c r="I9" s="129">
        <v>82.263626215201484</v>
      </c>
      <c r="J9" s="129"/>
      <c r="K9" s="129"/>
      <c r="L9" s="129"/>
      <c r="M9" s="60">
        <f t="shared" si="2"/>
        <v>3</v>
      </c>
      <c r="N9" s="61">
        <f t="shared" si="3"/>
        <v>74.0476335135792</v>
      </c>
      <c r="O9" s="61">
        <f t="shared" si="17"/>
        <v>82.313302973083054</v>
      </c>
      <c r="P9" s="129">
        <f t="shared" si="4"/>
        <v>88.151671279165441</v>
      </c>
      <c r="Q9" s="129">
        <f t="shared" si="5"/>
        <v>88.018161090725641</v>
      </c>
      <c r="R9" s="129">
        <f t="shared" si="6"/>
        <v>88.283891825293694</v>
      </c>
      <c r="S9" s="61">
        <f t="shared" si="7"/>
        <v>95.607169448126839</v>
      </c>
      <c r="T9" s="61">
        <f t="shared" si="0"/>
        <v>96.096831575962256</v>
      </c>
      <c r="U9" s="61">
        <f t="shared" si="8"/>
        <v>79.399897485772868</v>
      </c>
      <c r="V9" s="61"/>
      <c r="X9" s="63"/>
      <c r="Y9" s="159" t="s">
        <v>45</v>
      </c>
      <c r="Z9" s="159" t="s">
        <v>67</v>
      </c>
      <c r="AA9" s="159" t="s">
        <v>163</v>
      </c>
      <c r="AB9" s="159">
        <f t="shared" si="9"/>
        <v>8</v>
      </c>
      <c r="AC9" s="164">
        <f t="shared" si="18"/>
        <v>95.07560684440908</v>
      </c>
      <c r="AD9" s="164">
        <f t="shared" si="10"/>
        <v>96.096831575962256</v>
      </c>
      <c r="AE9" s="159"/>
      <c r="AF9" s="159">
        <f t="shared" si="11"/>
        <v>26</v>
      </c>
      <c r="AG9" s="160" t="str">
        <f t="shared" si="12"/>
        <v>N/A</v>
      </c>
      <c r="AH9" s="161">
        <f t="shared" si="13"/>
        <v>96.096831575962256</v>
      </c>
      <c r="AI9" s="161">
        <f t="shared" si="14"/>
        <v>95.899488933205376</v>
      </c>
      <c r="AJ9" s="161">
        <f t="shared" si="15"/>
        <v>96.285044746702937</v>
      </c>
      <c r="AK9" s="160">
        <f t="shared" si="16"/>
        <v>4</v>
      </c>
    </row>
    <row r="10" spans="1:37" x14ac:dyDescent="0.2">
      <c r="A10" s="62" t="s">
        <v>33</v>
      </c>
      <c r="B10" s="62" t="s">
        <v>58</v>
      </c>
      <c r="C10" s="62" t="s">
        <v>163</v>
      </c>
      <c r="D10" s="62"/>
      <c r="E10" s="62">
        <f t="shared" si="1"/>
        <v>20</v>
      </c>
      <c r="F10" s="128" t="s">
        <v>79</v>
      </c>
      <c r="G10" s="129">
        <v>95.607169448126839</v>
      </c>
      <c r="H10" s="129">
        <v>95.432797612825809</v>
      </c>
      <c r="I10" s="129">
        <v>95.775178640013564</v>
      </c>
      <c r="J10" s="129"/>
      <c r="K10" s="129"/>
      <c r="L10" s="129"/>
      <c r="M10" s="60">
        <f t="shared" si="2"/>
        <v>4</v>
      </c>
      <c r="N10" s="61">
        <f t="shared" si="3"/>
        <v>74.0476335135792</v>
      </c>
      <c r="O10" s="61">
        <f t="shared" si="17"/>
        <v>82.313302973083054</v>
      </c>
      <c r="P10" s="129">
        <f t="shared" si="4"/>
        <v>88.151671279165441</v>
      </c>
      <c r="Q10" s="129">
        <f t="shared" si="5"/>
        <v>88.018161090725641</v>
      </c>
      <c r="R10" s="129">
        <f t="shared" si="6"/>
        <v>88.283891825293694</v>
      </c>
      <c r="S10" s="61">
        <f t="shared" si="7"/>
        <v>95.607169448126839</v>
      </c>
      <c r="T10" s="61">
        <f t="shared" si="0"/>
        <v>96.096831575962256</v>
      </c>
      <c r="U10" s="61">
        <f t="shared" si="8"/>
        <v>95.433351618211745</v>
      </c>
      <c r="V10" s="61"/>
      <c r="Y10" s="159" t="s">
        <v>46</v>
      </c>
      <c r="Z10" s="159" t="s">
        <v>68</v>
      </c>
      <c r="AA10" s="159" t="s">
        <v>163</v>
      </c>
      <c r="AB10" s="159">
        <f t="shared" si="9"/>
        <v>6</v>
      </c>
      <c r="AC10" s="164">
        <f t="shared" si="18"/>
        <v>95.07560684440908</v>
      </c>
      <c r="AD10" s="164">
        <f t="shared" si="10"/>
        <v>96.096831575962256</v>
      </c>
      <c r="AE10" s="159"/>
      <c r="AF10" s="159">
        <f t="shared" si="11"/>
        <v>24</v>
      </c>
      <c r="AG10" s="160" t="str">
        <f t="shared" si="12"/>
        <v>N/A</v>
      </c>
      <c r="AH10" s="161">
        <f t="shared" si="13"/>
        <v>95.832841691248774</v>
      </c>
      <c r="AI10" s="161">
        <f t="shared" si="14"/>
        <v>95.655659580036428</v>
      </c>
      <c r="AJ10" s="161">
        <f t="shared" si="15"/>
        <v>96.003099449494187</v>
      </c>
      <c r="AK10" s="160">
        <f t="shared" si="16"/>
        <v>4</v>
      </c>
    </row>
    <row r="11" spans="1:37" x14ac:dyDescent="0.2">
      <c r="A11" s="62" t="s">
        <v>34</v>
      </c>
      <c r="B11" s="62" t="s">
        <v>59</v>
      </c>
      <c r="C11" s="62" t="s">
        <v>200</v>
      </c>
      <c r="D11" s="62"/>
      <c r="E11" s="62">
        <f t="shared" si="1"/>
        <v>14</v>
      </c>
      <c r="F11" s="128" t="s">
        <v>79</v>
      </c>
      <c r="G11" s="129">
        <v>89.034220279545934</v>
      </c>
      <c r="H11" s="129">
        <v>88.782057547645039</v>
      </c>
      <c r="I11" s="129">
        <v>89.281399090256926</v>
      </c>
      <c r="J11" s="129"/>
      <c r="K11" s="129"/>
      <c r="L11" s="129"/>
      <c r="M11" s="60">
        <f t="shared" si="2"/>
        <v>4</v>
      </c>
      <c r="N11" s="61">
        <f t="shared" si="3"/>
        <v>74.0476335135792</v>
      </c>
      <c r="O11" s="61">
        <f t="shared" si="17"/>
        <v>82.313302973083054</v>
      </c>
      <c r="P11" s="129">
        <f t="shared" si="4"/>
        <v>88.151671279165441</v>
      </c>
      <c r="Q11" s="129">
        <f t="shared" si="5"/>
        <v>88.018161090725641</v>
      </c>
      <c r="R11" s="129">
        <f t="shared" si="6"/>
        <v>88.283891825293694</v>
      </c>
      <c r="S11" s="61">
        <f t="shared" si="7"/>
        <v>95.607169448126839</v>
      </c>
      <c r="T11" s="61">
        <f t="shared" si="0"/>
        <v>96.096831575962256</v>
      </c>
      <c r="U11" s="61">
        <f t="shared" si="8"/>
        <v>89.304330675382488</v>
      </c>
      <c r="V11" s="61"/>
      <c r="Y11" s="159" t="s">
        <v>47</v>
      </c>
      <c r="Z11" s="159" t="s">
        <v>69</v>
      </c>
      <c r="AA11" s="159" t="s">
        <v>163</v>
      </c>
      <c r="AB11" s="159">
        <f t="shared" si="9"/>
        <v>3</v>
      </c>
      <c r="AC11" s="164">
        <f t="shared" si="18"/>
        <v>95.07560684440908</v>
      </c>
      <c r="AD11" s="164">
        <f t="shared" si="10"/>
        <v>96.096831575962256</v>
      </c>
      <c r="AE11" s="159"/>
      <c r="AF11" s="159">
        <f t="shared" si="11"/>
        <v>21</v>
      </c>
      <c r="AG11" s="160" t="str">
        <f t="shared" si="12"/>
        <v>N/A</v>
      </c>
      <c r="AH11" s="161">
        <f t="shared" si="13"/>
        <v>95.752850826157783</v>
      </c>
      <c r="AI11" s="161">
        <f t="shared" si="14"/>
        <v>95.305655526276922</v>
      </c>
      <c r="AJ11" s="161">
        <f t="shared" si="15"/>
        <v>96.159161982449845</v>
      </c>
      <c r="AK11" s="160">
        <f t="shared" si="16"/>
        <v>4</v>
      </c>
    </row>
    <row r="12" spans="1:37" x14ac:dyDescent="0.2">
      <c r="A12" s="62" t="s">
        <v>35</v>
      </c>
      <c r="B12" s="62" t="s">
        <v>60</v>
      </c>
      <c r="C12" s="62" t="s">
        <v>163</v>
      </c>
      <c r="D12" s="62"/>
      <c r="E12" s="62">
        <f t="shared" si="1"/>
        <v>25</v>
      </c>
      <c r="F12" s="128" t="s">
        <v>79</v>
      </c>
      <c r="G12" s="129">
        <v>95.95</v>
      </c>
      <c r="H12" s="129">
        <v>95.765985958297392</v>
      </c>
      <c r="I12" s="129">
        <v>96.126340115908008</v>
      </c>
      <c r="J12" s="129"/>
      <c r="K12" s="129"/>
      <c r="L12" s="129"/>
      <c r="M12" s="60">
        <f t="shared" si="2"/>
        <v>4</v>
      </c>
      <c r="N12" s="61">
        <f t="shared" si="3"/>
        <v>74.0476335135792</v>
      </c>
      <c r="O12" s="61">
        <f t="shared" si="17"/>
        <v>82.313302973083054</v>
      </c>
      <c r="P12" s="129">
        <f t="shared" si="4"/>
        <v>88.151671279165441</v>
      </c>
      <c r="Q12" s="129">
        <f t="shared" si="5"/>
        <v>88.018161090725641</v>
      </c>
      <c r="R12" s="129">
        <f t="shared" si="6"/>
        <v>88.283891825293694</v>
      </c>
      <c r="S12" s="61">
        <f t="shared" si="7"/>
        <v>95.607169448126839</v>
      </c>
      <c r="T12" s="61">
        <f t="shared" si="0"/>
        <v>96.096831575962256</v>
      </c>
      <c r="U12" s="61">
        <f t="shared" si="8"/>
        <v>95.433351618211745</v>
      </c>
      <c r="V12" s="61"/>
      <c r="Y12" s="159" t="s">
        <v>50</v>
      </c>
      <c r="Z12" s="159" t="s">
        <v>161</v>
      </c>
      <c r="AA12" s="159" t="s">
        <v>163</v>
      </c>
      <c r="AB12" s="159">
        <f t="shared" si="9"/>
        <v>4</v>
      </c>
      <c r="AC12" s="164">
        <f t="shared" si="18"/>
        <v>95.07560684440908</v>
      </c>
      <c r="AD12" s="164">
        <f t="shared" si="10"/>
        <v>96.096831575962256</v>
      </c>
      <c r="AE12" s="159"/>
      <c r="AF12" s="159">
        <f t="shared" si="11"/>
        <v>22</v>
      </c>
      <c r="AG12" s="160" t="str">
        <f t="shared" si="12"/>
        <v>N/A</v>
      </c>
      <c r="AH12" s="161">
        <f t="shared" si="13"/>
        <v>95.774288732650902</v>
      </c>
      <c r="AI12" s="161">
        <f t="shared" si="14"/>
        <v>95.529832905649997</v>
      </c>
      <c r="AJ12" s="161">
        <f t="shared" si="15"/>
        <v>96.005935158040302</v>
      </c>
      <c r="AK12" s="160">
        <f t="shared" si="16"/>
        <v>4</v>
      </c>
    </row>
    <row r="13" spans="1:37" x14ac:dyDescent="0.2">
      <c r="A13" s="62" t="s">
        <v>36</v>
      </c>
      <c r="B13" s="62" t="s">
        <v>61</v>
      </c>
      <c r="C13" s="62" t="s">
        <v>201</v>
      </c>
      <c r="D13" s="62"/>
      <c r="E13" s="62">
        <f t="shared" si="1"/>
        <v>4</v>
      </c>
      <c r="F13" s="128" t="s">
        <v>79</v>
      </c>
      <c r="G13" s="129">
        <v>81.110964108185755</v>
      </c>
      <c r="H13" s="129">
        <v>80.775185226967935</v>
      </c>
      <c r="I13" s="129">
        <v>81.442225693253945</v>
      </c>
      <c r="J13" s="129"/>
      <c r="K13" s="129"/>
      <c r="L13" s="129"/>
      <c r="M13" s="60">
        <f t="shared" si="2"/>
        <v>3</v>
      </c>
      <c r="N13" s="61">
        <f t="shared" si="3"/>
        <v>74.0476335135792</v>
      </c>
      <c r="O13" s="61">
        <f t="shared" si="17"/>
        <v>82.313302973083054</v>
      </c>
      <c r="P13" s="129">
        <f t="shared" si="4"/>
        <v>88.151671279165441</v>
      </c>
      <c r="Q13" s="129">
        <f t="shared" si="5"/>
        <v>88.018161090725641</v>
      </c>
      <c r="R13" s="129">
        <f t="shared" si="6"/>
        <v>88.283891825293694</v>
      </c>
      <c r="S13" s="61">
        <f t="shared" si="7"/>
        <v>95.607169448126839</v>
      </c>
      <c r="T13" s="61">
        <f t="shared" si="0"/>
        <v>96.096831575962256</v>
      </c>
      <c r="U13" s="61">
        <f t="shared" si="8"/>
        <v>79.399897485772868</v>
      </c>
      <c r="V13" s="61"/>
      <c r="Y13" s="159" t="s">
        <v>53</v>
      </c>
      <c r="Z13" s="159" t="s">
        <v>162</v>
      </c>
      <c r="AA13" s="159" t="s">
        <v>163</v>
      </c>
      <c r="AB13" s="159">
        <f>RANK(AH13,$AH$6:$AH$13,1)</f>
        <v>1</v>
      </c>
      <c r="AC13" s="164">
        <f t="shared" si="18"/>
        <v>95.07560684440908</v>
      </c>
      <c r="AD13" s="164">
        <f t="shared" si="10"/>
        <v>96.096831575962256</v>
      </c>
      <c r="AE13" s="159"/>
      <c r="AF13" s="159">
        <f t="shared" si="11"/>
        <v>19</v>
      </c>
      <c r="AG13" s="160" t="str">
        <f t="shared" si="12"/>
        <v>N/A</v>
      </c>
      <c r="AH13" s="161">
        <f t="shared" si="13"/>
        <v>95.07560684440908</v>
      </c>
      <c r="AI13" s="161">
        <f t="shared" si="14"/>
        <v>94.923891299589386</v>
      </c>
      <c r="AJ13" s="161">
        <f t="shared" si="15"/>
        <v>95.22301608659572</v>
      </c>
      <c r="AK13" s="160">
        <f t="shared" si="16"/>
        <v>4</v>
      </c>
    </row>
    <row r="14" spans="1:37" x14ac:dyDescent="0.2">
      <c r="A14" s="62" t="s">
        <v>37</v>
      </c>
      <c r="B14" s="62" t="s">
        <v>157</v>
      </c>
      <c r="C14" s="62" t="s">
        <v>201</v>
      </c>
      <c r="D14" s="62"/>
      <c r="E14" s="62">
        <f t="shared" si="1"/>
        <v>1</v>
      </c>
      <c r="F14" s="128" t="s">
        <v>79</v>
      </c>
      <c r="G14" s="129">
        <v>74.0476335135792</v>
      </c>
      <c r="H14" s="129">
        <v>73.571286378122664</v>
      </c>
      <c r="I14" s="129">
        <v>74.518368691150982</v>
      </c>
      <c r="J14" s="129"/>
      <c r="K14" s="129"/>
      <c r="L14" s="129"/>
      <c r="M14" s="60">
        <f t="shared" si="2"/>
        <v>3</v>
      </c>
      <c r="N14" s="61">
        <f t="shared" si="3"/>
        <v>74.0476335135792</v>
      </c>
      <c r="O14" s="61">
        <f t="shared" si="17"/>
        <v>82.313302973083054</v>
      </c>
      <c r="P14" s="129">
        <f t="shared" si="4"/>
        <v>88.151671279165441</v>
      </c>
      <c r="Q14" s="129">
        <f t="shared" si="5"/>
        <v>88.018161090725641</v>
      </c>
      <c r="R14" s="129">
        <f t="shared" si="6"/>
        <v>88.283891825293694</v>
      </c>
      <c r="S14" s="61">
        <f t="shared" si="7"/>
        <v>95.607169448126839</v>
      </c>
      <c r="T14" s="61">
        <f t="shared" si="0"/>
        <v>96.096831575962256</v>
      </c>
      <c r="U14" s="61">
        <f t="shared" si="8"/>
        <v>79.399897485772868</v>
      </c>
      <c r="V14" s="61"/>
      <c r="Y14" s="162" t="s">
        <v>29</v>
      </c>
      <c r="Z14" s="162" t="s">
        <v>55</v>
      </c>
      <c r="AA14" s="162" t="s">
        <v>201</v>
      </c>
      <c r="AB14" s="162">
        <f>RANK(AH14,$AH$14:$AH$22,1)</f>
        <v>6</v>
      </c>
      <c r="AC14" s="165">
        <f t="shared" ref="AC14:AC22" si="19">MIN($AH$14:$AH$22)</f>
        <v>74.0476335135792</v>
      </c>
      <c r="AD14" s="165">
        <f>MAX($AH$14:$AH$22)</f>
        <v>84.885174705533984</v>
      </c>
      <c r="AE14" s="162"/>
      <c r="AF14" s="162">
        <f t="shared" si="11"/>
        <v>7</v>
      </c>
      <c r="AG14" s="167" t="str">
        <f t="shared" si="12"/>
        <v>N/A</v>
      </c>
      <c r="AH14" s="165">
        <f t="shared" si="13"/>
        <v>82.313302973083054</v>
      </c>
      <c r="AI14" s="165">
        <f t="shared" si="14"/>
        <v>81.853674123221808</v>
      </c>
      <c r="AJ14" s="165">
        <f t="shared" si="15"/>
        <v>82.763741362701808</v>
      </c>
      <c r="AK14" s="167">
        <f t="shared" si="16"/>
        <v>3</v>
      </c>
    </row>
    <row r="15" spans="1:37" x14ac:dyDescent="0.2">
      <c r="A15" s="62" t="s">
        <v>38</v>
      </c>
      <c r="B15" s="62" t="s">
        <v>62</v>
      </c>
      <c r="C15" s="62" t="s">
        <v>201</v>
      </c>
      <c r="D15" s="62"/>
      <c r="E15" s="62">
        <f t="shared" si="1"/>
        <v>8</v>
      </c>
      <c r="F15" s="128" t="s">
        <v>79</v>
      </c>
      <c r="G15" s="129">
        <v>82.47264097042148</v>
      </c>
      <c r="H15" s="129">
        <v>81.973153661820859</v>
      </c>
      <c r="I15" s="129">
        <v>82.961165218677124</v>
      </c>
      <c r="J15" s="129"/>
      <c r="K15" s="129"/>
      <c r="L15" s="129"/>
      <c r="M15" s="60">
        <f t="shared" si="2"/>
        <v>3</v>
      </c>
      <c r="N15" s="61">
        <f t="shared" si="3"/>
        <v>74.0476335135792</v>
      </c>
      <c r="O15" s="61">
        <f t="shared" si="17"/>
        <v>82.313302973083054</v>
      </c>
      <c r="P15" s="129">
        <f t="shared" si="4"/>
        <v>88.151671279165441</v>
      </c>
      <c r="Q15" s="129">
        <f t="shared" si="5"/>
        <v>88.018161090725641</v>
      </c>
      <c r="R15" s="129">
        <f t="shared" si="6"/>
        <v>88.283891825293694</v>
      </c>
      <c r="S15" s="61">
        <f t="shared" si="7"/>
        <v>95.607169448126839</v>
      </c>
      <c r="T15" s="61">
        <f t="shared" si="0"/>
        <v>96.096831575962256</v>
      </c>
      <c r="U15" s="61">
        <f t="shared" si="8"/>
        <v>79.399897485772868</v>
      </c>
      <c r="V15" s="61"/>
      <c r="Y15" s="162" t="s">
        <v>32</v>
      </c>
      <c r="Z15" s="162" t="s">
        <v>156</v>
      </c>
      <c r="AA15" s="162" t="s">
        <v>201</v>
      </c>
      <c r="AB15" s="162">
        <f>RANK(AH15,$AH$14:$AH$22,1)</f>
        <v>5</v>
      </c>
      <c r="AC15" s="165">
        <f t="shared" si="19"/>
        <v>74.0476335135792</v>
      </c>
      <c r="AD15" s="165">
        <f t="shared" ref="AD15:AD22" si="20">MAX($AH$14:$AH$22)</f>
        <v>84.885174705533984</v>
      </c>
      <c r="AE15" s="162"/>
      <c r="AF15" s="162">
        <f t="shared" si="11"/>
        <v>6</v>
      </c>
      <c r="AG15" s="167" t="str">
        <f t="shared" si="12"/>
        <v>N/A</v>
      </c>
      <c r="AH15" s="165">
        <f t="shared" si="13"/>
        <v>81.971723928245666</v>
      </c>
      <c r="AI15" s="165">
        <f t="shared" si="14"/>
        <v>81.676087652572463</v>
      </c>
      <c r="AJ15" s="165">
        <f t="shared" si="15"/>
        <v>82.263626215201484</v>
      </c>
      <c r="AK15" s="167">
        <f t="shared" si="16"/>
        <v>3</v>
      </c>
    </row>
    <row r="16" spans="1:37" x14ac:dyDescent="0.2">
      <c r="A16" s="62" t="s">
        <v>39</v>
      </c>
      <c r="B16" s="62" t="s">
        <v>158</v>
      </c>
      <c r="C16" s="62" t="s">
        <v>200</v>
      </c>
      <c r="D16" s="62"/>
      <c r="E16" s="62">
        <f t="shared" si="1"/>
        <v>13</v>
      </c>
      <c r="F16" s="128" t="s">
        <v>79</v>
      </c>
      <c r="G16" s="129">
        <v>88.253566098636028</v>
      </c>
      <c r="H16" s="129">
        <v>87.988132330286604</v>
      </c>
      <c r="I16" s="129">
        <v>88.513900095922665</v>
      </c>
      <c r="J16" s="129"/>
      <c r="K16" s="129"/>
      <c r="L16" s="129"/>
      <c r="M16" s="60">
        <f t="shared" si="2"/>
        <v>5</v>
      </c>
      <c r="N16" s="61">
        <f t="shared" si="3"/>
        <v>74.0476335135792</v>
      </c>
      <c r="O16" s="61">
        <f t="shared" si="17"/>
        <v>82.313302973083054</v>
      </c>
      <c r="P16" s="129">
        <f t="shared" si="4"/>
        <v>88.151671279165441</v>
      </c>
      <c r="Q16" s="129">
        <f t="shared" si="5"/>
        <v>88.018161090725641</v>
      </c>
      <c r="R16" s="129">
        <f t="shared" si="6"/>
        <v>88.283891825293694</v>
      </c>
      <c r="S16" s="61">
        <f t="shared" si="7"/>
        <v>95.607169448126839</v>
      </c>
      <c r="T16" s="61">
        <f t="shared" si="0"/>
        <v>96.096831575962256</v>
      </c>
      <c r="U16" s="61">
        <f t="shared" si="8"/>
        <v>89.304330675382488</v>
      </c>
      <c r="V16" s="61"/>
      <c r="Y16" s="162" t="s">
        <v>36</v>
      </c>
      <c r="Z16" s="162" t="s">
        <v>61</v>
      </c>
      <c r="AA16" s="162" t="s">
        <v>201</v>
      </c>
      <c r="AB16" s="162">
        <f>RANK(AH16,$AH$14:$AH$22,1)</f>
        <v>3</v>
      </c>
      <c r="AC16" s="165">
        <f t="shared" si="19"/>
        <v>74.0476335135792</v>
      </c>
      <c r="AD16" s="165">
        <f t="shared" si="20"/>
        <v>84.885174705533984</v>
      </c>
      <c r="AE16" s="162"/>
      <c r="AF16" s="162">
        <f t="shared" si="11"/>
        <v>4</v>
      </c>
      <c r="AG16" s="167" t="str">
        <f t="shared" si="12"/>
        <v>N/A</v>
      </c>
      <c r="AH16" s="165">
        <f t="shared" si="13"/>
        <v>81.110964108185755</v>
      </c>
      <c r="AI16" s="165">
        <f t="shared" si="14"/>
        <v>80.775185226967935</v>
      </c>
      <c r="AJ16" s="165">
        <f t="shared" si="15"/>
        <v>81.442225693253945</v>
      </c>
      <c r="AK16" s="167">
        <f t="shared" si="16"/>
        <v>3</v>
      </c>
    </row>
    <row r="17" spans="1:37" x14ac:dyDescent="0.2">
      <c r="A17" s="62" t="s">
        <v>40</v>
      </c>
      <c r="B17" s="62" t="s">
        <v>63</v>
      </c>
      <c r="C17" s="62" t="s">
        <v>200</v>
      </c>
      <c r="D17" s="62"/>
      <c r="E17" s="62">
        <f t="shared" si="1"/>
        <v>15</v>
      </c>
      <c r="F17" s="128" t="s">
        <v>79</v>
      </c>
      <c r="G17" s="129">
        <v>90.284683416200991</v>
      </c>
      <c r="H17" s="129">
        <v>89.892801805450489</v>
      </c>
      <c r="I17" s="129">
        <v>90.66294899318271</v>
      </c>
      <c r="J17" s="129"/>
      <c r="K17" s="129"/>
      <c r="L17" s="129"/>
      <c r="M17" s="60">
        <f t="shared" si="2"/>
        <v>4</v>
      </c>
      <c r="N17" s="61">
        <f t="shared" si="3"/>
        <v>74.0476335135792</v>
      </c>
      <c r="O17" s="61">
        <f t="shared" si="17"/>
        <v>82.313302973083054</v>
      </c>
      <c r="P17" s="129">
        <f t="shared" si="4"/>
        <v>88.151671279165441</v>
      </c>
      <c r="Q17" s="129">
        <f t="shared" si="5"/>
        <v>88.018161090725641</v>
      </c>
      <c r="R17" s="129">
        <f t="shared" si="6"/>
        <v>88.283891825293694</v>
      </c>
      <c r="S17" s="61">
        <f t="shared" si="7"/>
        <v>95.607169448126839</v>
      </c>
      <c r="T17" s="61">
        <f t="shared" si="0"/>
        <v>96.096831575962256</v>
      </c>
      <c r="U17" s="61">
        <f t="shared" si="8"/>
        <v>89.304330675382488</v>
      </c>
      <c r="V17" s="61"/>
      <c r="Y17" s="162" t="s">
        <v>37</v>
      </c>
      <c r="Z17" s="162" t="s">
        <v>157</v>
      </c>
      <c r="AA17" s="162" t="s">
        <v>201</v>
      </c>
      <c r="AB17" s="162">
        <f t="shared" ref="AB17:AB22" si="21">RANK(AH17,$AH$14:$AH$22,1)</f>
        <v>1</v>
      </c>
      <c r="AC17" s="165">
        <f t="shared" si="19"/>
        <v>74.0476335135792</v>
      </c>
      <c r="AD17" s="165">
        <f>MAX($AH$14:$AH$22)</f>
        <v>84.885174705533984</v>
      </c>
      <c r="AE17" s="162"/>
      <c r="AF17" s="162">
        <f t="shared" si="11"/>
        <v>1</v>
      </c>
      <c r="AG17" s="167" t="str">
        <f t="shared" si="12"/>
        <v>N/A</v>
      </c>
      <c r="AH17" s="165">
        <f t="shared" si="13"/>
        <v>74.0476335135792</v>
      </c>
      <c r="AI17" s="165">
        <f t="shared" si="14"/>
        <v>73.571286378122664</v>
      </c>
      <c r="AJ17" s="165">
        <f t="shared" si="15"/>
        <v>74.518368691150982</v>
      </c>
      <c r="AK17" s="167">
        <f t="shared" si="16"/>
        <v>3</v>
      </c>
    </row>
    <row r="18" spans="1:37" x14ac:dyDescent="0.2">
      <c r="A18" s="62" t="s">
        <v>41</v>
      </c>
      <c r="B18" s="62" t="s">
        <v>64</v>
      </c>
      <c r="C18" s="62" t="s">
        <v>163</v>
      </c>
      <c r="D18" s="62"/>
      <c r="E18" s="62">
        <f t="shared" si="1"/>
        <v>23</v>
      </c>
      <c r="F18" s="128" t="s">
        <v>79</v>
      </c>
      <c r="G18" s="129">
        <v>95.776324817370948</v>
      </c>
      <c r="H18" s="129">
        <v>95.595662268622988</v>
      </c>
      <c r="I18" s="129">
        <v>95.949890694368392</v>
      </c>
      <c r="J18" s="129"/>
      <c r="K18" s="129"/>
      <c r="L18" s="129"/>
      <c r="M18" s="60">
        <f t="shared" si="2"/>
        <v>4</v>
      </c>
      <c r="N18" s="61">
        <f t="shared" si="3"/>
        <v>74.0476335135792</v>
      </c>
      <c r="O18" s="61">
        <f t="shared" si="17"/>
        <v>82.313302973083054</v>
      </c>
      <c r="P18" s="129">
        <f t="shared" si="4"/>
        <v>88.151671279165441</v>
      </c>
      <c r="Q18" s="129">
        <f t="shared" si="5"/>
        <v>88.018161090725641</v>
      </c>
      <c r="R18" s="129">
        <f t="shared" si="6"/>
        <v>88.283891825293694</v>
      </c>
      <c r="S18" s="61">
        <f t="shared" si="7"/>
        <v>95.607169448126839</v>
      </c>
      <c r="T18" s="61">
        <f t="shared" si="0"/>
        <v>96.096831575962256</v>
      </c>
      <c r="U18" s="61">
        <f t="shared" si="8"/>
        <v>95.433351618211745</v>
      </c>
      <c r="V18" s="61"/>
      <c r="Y18" s="162" t="s">
        <v>38</v>
      </c>
      <c r="Z18" s="162" t="s">
        <v>62</v>
      </c>
      <c r="AA18" s="162" t="s">
        <v>201</v>
      </c>
      <c r="AB18" s="162">
        <f t="shared" si="21"/>
        <v>7</v>
      </c>
      <c r="AC18" s="165">
        <f t="shared" si="19"/>
        <v>74.0476335135792</v>
      </c>
      <c r="AD18" s="165">
        <f t="shared" si="20"/>
        <v>84.885174705533984</v>
      </c>
      <c r="AE18" s="162"/>
      <c r="AF18" s="162">
        <f t="shared" si="11"/>
        <v>8</v>
      </c>
      <c r="AG18" s="167" t="str">
        <f t="shared" si="12"/>
        <v>N/A</v>
      </c>
      <c r="AH18" s="165">
        <f t="shared" si="13"/>
        <v>82.47264097042148</v>
      </c>
      <c r="AI18" s="165">
        <f t="shared" si="14"/>
        <v>81.973153661820859</v>
      </c>
      <c r="AJ18" s="165">
        <f t="shared" si="15"/>
        <v>82.961165218677124</v>
      </c>
      <c r="AK18" s="167">
        <f t="shared" si="16"/>
        <v>3</v>
      </c>
    </row>
    <row r="19" spans="1:37" x14ac:dyDescent="0.2">
      <c r="A19" s="62" t="s">
        <v>42</v>
      </c>
      <c r="B19" s="62" t="s">
        <v>65</v>
      </c>
      <c r="C19" s="62" t="s">
        <v>200</v>
      </c>
      <c r="D19" s="62"/>
      <c r="E19" s="62">
        <f t="shared" si="1"/>
        <v>3</v>
      </c>
      <c r="F19" s="128" t="s">
        <v>79</v>
      </c>
      <c r="G19" s="129">
        <v>81.058640373637786</v>
      </c>
      <c r="H19" s="129">
        <v>80.432392012873152</v>
      </c>
      <c r="I19" s="129">
        <v>81.669413803827965</v>
      </c>
      <c r="J19" s="129"/>
      <c r="K19" s="129"/>
      <c r="L19" s="129"/>
      <c r="M19" s="60">
        <f t="shared" si="2"/>
        <v>3</v>
      </c>
      <c r="N19" s="61">
        <f t="shared" si="3"/>
        <v>74.0476335135792</v>
      </c>
      <c r="O19" s="61">
        <f t="shared" si="17"/>
        <v>82.313302973083054</v>
      </c>
      <c r="P19" s="129">
        <f t="shared" si="4"/>
        <v>88.151671279165441</v>
      </c>
      <c r="Q19" s="129">
        <f t="shared" si="5"/>
        <v>88.018161090725641</v>
      </c>
      <c r="R19" s="129">
        <f t="shared" si="6"/>
        <v>88.283891825293694</v>
      </c>
      <c r="S19" s="61">
        <f t="shared" si="7"/>
        <v>95.607169448126839</v>
      </c>
      <c r="T19" s="61">
        <f t="shared" si="0"/>
        <v>96.096831575962256</v>
      </c>
      <c r="U19" s="61">
        <f t="shared" si="8"/>
        <v>89.304330675382488</v>
      </c>
      <c r="V19" s="61"/>
      <c r="Y19" s="162" t="s">
        <v>43</v>
      </c>
      <c r="Z19" s="162" t="s">
        <v>159</v>
      </c>
      <c r="AA19" s="162" t="s">
        <v>201</v>
      </c>
      <c r="AB19" s="162">
        <f t="shared" si="21"/>
        <v>2</v>
      </c>
      <c r="AC19" s="165">
        <f t="shared" si="19"/>
        <v>74.0476335135792</v>
      </c>
      <c r="AD19" s="165">
        <f t="shared" si="20"/>
        <v>84.885174705533984</v>
      </c>
      <c r="AE19" s="162"/>
      <c r="AF19" s="162">
        <f t="shared" si="11"/>
        <v>2</v>
      </c>
      <c r="AG19" s="167" t="str">
        <f t="shared" si="12"/>
        <v>N/A</v>
      </c>
      <c r="AH19" s="165">
        <f t="shared" si="13"/>
        <v>76.221277977753118</v>
      </c>
      <c r="AI19" s="165">
        <f t="shared" si="14"/>
        <v>75.784476797381046</v>
      </c>
      <c r="AJ19" s="165">
        <f t="shared" si="15"/>
        <v>76.652627455057115</v>
      </c>
      <c r="AK19" s="167">
        <f t="shared" si="16"/>
        <v>3</v>
      </c>
    </row>
    <row r="20" spans="1:37" x14ac:dyDescent="0.2">
      <c r="A20" s="62" t="s">
        <v>43</v>
      </c>
      <c r="B20" s="62" t="s">
        <v>159</v>
      </c>
      <c r="C20" s="62" t="s">
        <v>201</v>
      </c>
      <c r="D20" s="62"/>
      <c r="E20" s="62">
        <f t="shared" si="1"/>
        <v>2</v>
      </c>
      <c r="F20" s="128" t="s">
        <v>79</v>
      </c>
      <c r="G20" s="129">
        <v>76.221277977753118</v>
      </c>
      <c r="H20" s="129">
        <v>75.784476797381046</v>
      </c>
      <c r="I20" s="129">
        <v>76.652627455057115</v>
      </c>
      <c r="J20" s="129"/>
      <c r="K20" s="129"/>
      <c r="L20" s="129"/>
      <c r="M20" s="60">
        <f t="shared" si="2"/>
        <v>3</v>
      </c>
      <c r="N20" s="61">
        <f t="shared" si="3"/>
        <v>74.0476335135792</v>
      </c>
      <c r="O20" s="61">
        <f t="shared" si="17"/>
        <v>82.313302973083054</v>
      </c>
      <c r="P20" s="129">
        <f t="shared" si="4"/>
        <v>88.151671279165441</v>
      </c>
      <c r="Q20" s="129">
        <f t="shared" si="5"/>
        <v>88.018161090725641</v>
      </c>
      <c r="R20" s="129">
        <f t="shared" si="6"/>
        <v>88.283891825293694</v>
      </c>
      <c r="S20" s="61">
        <f t="shared" si="7"/>
        <v>95.607169448126839</v>
      </c>
      <c r="T20" s="61">
        <f t="shared" si="0"/>
        <v>96.096831575962256</v>
      </c>
      <c r="U20" s="61">
        <f t="shared" si="8"/>
        <v>79.399897485772868</v>
      </c>
      <c r="V20" s="61"/>
      <c r="Y20" s="162" t="s">
        <v>48</v>
      </c>
      <c r="Z20" s="162" t="s">
        <v>160</v>
      </c>
      <c r="AA20" s="162" t="s">
        <v>201</v>
      </c>
      <c r="AB20" s="162">
        <f t="shared" si="21"/>
        <v>8</v>
      </c>
      <c r="AC20" s="165">
        <f t="shared" si="19"/>
        <v>74.0476335135792</v>
      </c>
      <c r="AD20" s="165">
        <f t="shared" si="20"/>
        <v>84.885174705533984</v>
      </c>
      <c r="AE20" s="162"/>
      <c r="AF20" s="162">
        <f t="shared" si="11"/>
        <v>9</v>
      </c>
      <c r="AG20" s="167" t="str">
        <f t="shared" si="12"/>
        <v>N/A</v>
      </c>
      <c r="AH20" s="165">
        <f t="shared" si="13"/>
        <v>84.623730578942798</v>
      </c>
      <c r="AI20" s="165">
        <f t="shared" si="14"/>
        <v>84.152205087587035</v>
      </c>
      <c r="AJ20" s="165">
        <f t="shared" si="15"/>
        <v>85.083713368724787</v>
      </c>
      <c r="AK20" s="167">
        <f t="shared" si="16"/>
        <v>3</v>
      </c>
    </row>
    <row r="21" spans="1:37" x14ac:dyDescent="0.2">
      <c r="A21" s="62" t="s">
        <v>44</v>
      </c>
      <c r="B21" s="62" t="s">
        <v>66</v>
      </c>
      <c r="C21" s="62" t="s">
        <v>200</v>
      </c>
      <c r="D21" s="62"/>
      <c r="E21" s="62">
        <f t="shared" si="1"/>
        <v>12</v>
      </c>
      <c r="F21" s="128" t="s">
        <v>79</v>
      </c>
      <c r="G21" s="129">
        <v>85.631696191789544</v>
      </c>
      <c r="H21" s="129">
        <v>85.123749123459106</v>
      </c>
      <c r="I21" s="129">
        <v>86.125126466781666</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3</v>
      </c>
      <c r="N21" s="61">
        <f t="shared" si="3"/>
        <v>74.0476335135792</v>
      </c>
      <c r="O21" s="61">
        <f t="shared" si="17"/>
        <v>82.313302973083054</v>
      </c>
      <c r="P21" s="129">
        <f t="shared" si="4"/>
        <v>88.151671279165441</v>
      </c>
      <c r="Q21" s="129">
        <f t="shared" si="5"/>
        <v>88.018161090725641</v>
      </c>
      <c r="R21" s="129">
        <f t="shared" si="6"/>
        <v>88.283891825293694</v>
      </c>
      <c r="S21" s="61">
        <f t="shared" si="7"/>
        <v>95.607169448126839</v>
      </c>
      <c r="T21" s="61">
        <f t="shared" si="0"/>
        <v>96.096831575962256</v>
      </c>
      <c r="U21" s="61">
        <f t="shared" si="8"/>
        <v>89.304330675382488</v>
      </c>
      <c r="V21" s="61"/>
      <c r="Y21" s="162" t="s">
        <v>52</v>
      </c>
      <c r="Z21" s="162" t="s">
        <v>72</v>
      </c>
      <c r="AA21" s="162" t="s">
        <v>201</v>
      </c>
      <c r="AB21" s="162">
        <f t="shared" si="21"/>
        <v>9</v>
      </c>
      <c r="AC21" s="165">
        <f t="shared" si="19"/>
        <v>74.0476335135792</v>
      </c>
      <c r="AD21" s="165">
        <f t="shared" si="20"/>
        <v>84.885174705533984</v>
      </c>
      <c r="AE21" s="162"/>
      <c r="AF21" s="162">
        <f t="shared" si="11"/>
        <v>10</v>
      </c>
      <c r="AG21" s="167" t="str">
        <f t="shared" si="12"/>
        <v>N/A</v>
      </c>
      <c r="AH21" s="165">
        <f t="shared" si="13"/>
        <v>84.885174705533984</v>
      </c>
      <c r="AI21" s="165">
        <f t="shared" si="14"/>
        <v>84.306871754252469</v>
      </c>
      <c r="AJ21" s="165">
        <f t="shared" si="15"/>
        <v>85.445845743155076</v>
      </c>
      <c r="AK21" s="167">
        <f t="shared" si="16"/>
        <v>3</v>
      </c>
    </row>
    <row r="22" spans="1:37" x14ac:dyDescent="0.2">
      <c r="A22" s="62" t="s">
        <v>45</v>
      </c>
      <c r="B22" s="62" t="s">
        <v>67</v>
      </c>
      <c r="C22" s="62" t="s">
        <v>163</v>
      </c>
      <c r="D22" s="62"/>
      <c r="E22" s="62">
        <f t="shared" si="1"/>
        <v>26</v>
      </c>
      <c r="F22" s="128" t="s">
        <v>79</v>
      </c>
      <c r="G22" s="129">
        <v>96.096831575962256</v>
      </c>
      <c r="H22" s="129">
        <v>95.899488933205376</v>
      </c>
      <c r="I22" s="129">
        <v>96.285044746702937</v>
      </c>
      <c r="J22" s="129"/>
      <c r="K22" s="129"/>
      <c r="L22" s="129"/>
      <c r="M22" s="60">
        <f t="shared" si="2"/>
        <v>4</v>
      </c>
      <c r="N22" s="61">
        <f t="shared" si="3"/>
        <v>74.0476335135792</v>
      </c>
      <c r="O22" s="61">
        <f t="shared" si="17"/>
        <v>82.313302973083054</v>
      </c>
      <c r="P22" s="129">
        <f t="shared" si="4"/>
        <v>88.151671279165441</v>
      </c>
      <c r="Q22" s="129">
        <f t="shared" si="5"/>
        <v>88.018161090725641</v>
      </c>
      <c r="R22" s="129">
        <f t="shared" si="6"/>
        <v>88.283891825293694</v>
      </c>
      <c r="S22" s="61">
        <f t="shared" si="7"/>
        <v>95.607169448126839</v>
      </c>
      <c r="T22" s="61">
        <f t="shared" si="0"/>
        <v>96.096831575962256</v>
      </c>
      <c r="U22" s="61">
        <f>VLOOKUP(C22,$C$43:$I$46,5,FALSE)</f>
        <v>95.433351618211745</v>
      </c>
      <c r="V22" s="61"/>
      <c r="Y22" s="162" t="s">
        <v>54</v>
      </c>
      <c r="Z22" s="162" t="s">
        <v>73</v>
      </c>
      <c r="AA22" s="162" t="s">
        <v>201</v>
      </c>
      <c r="AB22" s="162">
        <f t="shared" si="21"/>
        <v>4</v>
      </c>
      <c r="AC22" s="165">
        <f t="shared" si="19"/>
        <v>74.0476335135792</v>
      </c>
      <c r="AD22" s="165">
        <f t="shared" si="20"/>
        <v>84.885174705533984</v>
      </c>
      <c r="AE22" s="162"/>
      <c r="AF22" s="162">
        <f t="shared" si="11"/>
        <v>5</v>
      </c>
      <c r="AG22" s="167" t="str">
        <f t="shared" si="12"/>
        <v>N/A</v>
      </c>
      <c r="AH22" s="165">
        <f t="shared" si="13"/>
        <v>81.525955504848824</v>
      </c>
      <c r="AI22" s="165">
        <f t="shared" si="14"/>
        <v>81.116280069881611</v>
      </c>
      <c r="AJ22" s="165">
        <f t="shared" si="15"/>
        <v>81.928723216371253</v>
      </c>
      <c r="AK22" s="167">
        <f t="shared" si="16"/>
        <v>3</v>
      </c>
    </row>
    <row r="23" spans="1:37" x14ac:dyDescent="0.2">
      <c r="A23" s="62" t="s">
        <v>46</v>
      </c>
      <c r="B23" s="62" t="s">
        <v>68</v>
      </c>
      <c r="C23" s="62" t="s">
        <v>163</v>
      </c>
      <c r="D23" s="62"/>
      <c r="E23" s="62">
        <f t="shared" si="1"/>
        <v>24</v>
      </c>
      <c r="F23" s="128" t="s">
        <v>79</v>
      </c>
      <c r="G23" s="129">
        <v>95.832841691248774</v>
      </c>
      <c r="H23" s="129">
        <v>95.655659580036428</v>
      </c>
      <c r="I23" s="129">
        <v>96.003099449494187</v>
      </c>
      <c r="J23" s="129"/>
      <c r="K23" s="129"/>
      <c r="L23" s="129"/>
      <c r="M23" s="60">
        <f t="shared" si="2"/>
        <v>4</v>
      </c>
      <c r="N23" s="61">
        <f t="shared" si="3"/>
        <v>74.0476335135792</v>
      </c>
      <c r="O23" s="61">
        <f t="shared" si="17"/>
        <v>82.313302973083054</v>
      </c>
      <c r="P23" s="129">
        <f t="shared" si="4"/>
        <v>88.151671279165441</v>
      </c>
      <c r="Q23" s="129">
        <f t="shared" si="5"/>
        <v>88.018161090725641</v>
      </c>
      <c r="R23" s="129">
        <f t="shared" si="6"/>
        <v>88.283891825293694</v>
      </c>
      <c r="S23" s="61">
        <f t="shared" si="7"/>
        <v>95.607169448126839</v>
      </c>
      <c r="T23" s="61">
        <f t="shared" si="0"/>
        <v>96.096831575962256</v>
      </c>
      <c r="U23" s="61">
        <f t="shared" si="8"/>
        <v>95.433351618211745</v>
      </c>
      <c r="V23" s="61"/>
      <c r="Y23" s="163" t="s">
        <v>30</v>
      </c>
      <c r="Z23" s="163" t="s">
        <v>56</v>
      </c>
      <c r="AA23" s="163" t="s">
        <v>200</v>
      </c>
      <c r="AB23" s="163">
        <f>RANK(AH23,$AH$23:$AH$31,1)</f>
        <v>9</v>
      </c>
      <c r="AC23" s="166">
        <f>MIN($AH$23:$AH$31)</f>
        <v>81.058640373637786</v>
      </c>
      <c r="AD23" s="166">
        <f>MAX($AH$23:$AH$31)</f>
        <v>92.392133593286431</v>
      </c>
      <c r="AE23" s="163"/>
      <c r="AF23" s="163">
        <f t="shared" si="11"/>
        <v>18</v>
      </c>
      <c r="AG23" s="168" t="str">
        <f t="shared" si="12"/>
        <v>N/A</v>
      </c>
      <c r="AH23" s="166">
        <f t="shared" si="13"/>
        <v>92.392133593286431</v>
      </c>
      <c r="AI23" s="166">
        <f t="shared" si="14"/>
        <v>92.04689427430695</v>
      </c>
      <c r="AJ23" s="166">
        <f t="shared" si="15"/>
        <v>92.72357100281549</v>
      </c>
      <c r="AK23" s="168">
        <f t="shared" si="16"/>
        <v>4</v>
      </c>
    </row>
    <row r="24" spans="1:37" x14ac:dyDescent="0.2">
      <c r="A24" s="62" t="s">
        <v>47</v>
      </c>
      <c r="B24" s="62" t="s">
        <v>69</v>
      </c>
      <c r="C24" s="62" t="s">
        <v>163</v>
      </c>
      <c r="D24" s="62"/>
      <c r="E24" s="62">
        <f t="shared" si="1"/>
        <v>21</v>
      </c>
      <c r="F24" s="128" t="s">
        <v>79</v>
      </c>
      <c r="G24" s="129">
        <v>95.752850826157783</v>
      </c>
      <c r="H24" s="129">
        <v>95.305655526276922</v>
      </c>
      <c r="I24" s="129">
        <v>96.159161982449845</v>
      </c>
      <c r="J24" s="129"/>
      <c r="K24" s="129"/>
      <c r="L24" s="129"/>
      <c r="M24" s="60">
        <f t="shared" si="2"/>
        <v>4</v>
      </c>
      <c r="N24" s="61">
        <f t="shared" si="3"/>
        <v>74.0476335135792</v>
      </c>
      <c r="O24" s="61">
        <f t="shared" si="17"/>
        <v>82.313302973083054</v>
      </c>
      <c r="P24" s="129">
        <f t="shared" si="4"/>
        <v>88.151671279165441</v>
      </c>
      <c r="Q24" s="129">
        <f t="shared" si="5"/>
        <v>88.018161090725641</v>
      </c>
      <c r="R24" s="129">
        <f t="shared" si="6"/>
        <v>88.283891825293694</v>
      </c>
      <c r="S24" s="61">
        <f t="shared" si="7"/>
        <v>95.607169448126839</v>
      </c>
      <c r="T24" s="61">
        <f t="shared" si="0"/>
        <v>96.096831575962256</v>
      </c>
      <c r="U24" s="61">
        <f t="shared" si="8"/>
        <v>95.433351618211745</v>
      </c>
      <c r="V24" s="61"/>
      <c r="Y24" s="163" t="s">
        <v>31</v>
      </c>
      <c r="Z24" s="163" t="s">
        <v>57</v>
      </c>
      <c r="AA24" s="163" t="s">
        <v>200</v>
      </c>
      <c r="AB24" s="163">
        <f t="shared" ref="AB24:AB31" si="22">RANK(AH24,$AH$23:$AH$31,1)</f>
        <v>7</v>
      </c>
      <c r="AC24" s="166">
        <f t="shared" ref="AC24:AC31" si="23">MIN($AH$23:$AH$31)</f>
        <v>81.058640373637786</v>
      </c>
      <c r="AD24" s="166">
        <f t="shared" ref="AD24:AD31" si="24">MAX($AH$23:$AH$31)</f>
        <v>92.392133593286431</v>
      </c>
      <c r="AE24" s="163"/>
      <c r="AF24" s="163">
        <f t="shared" si="11"/>
        <v>16</v>
      </c>
      <c r="AG24" s="168" t="str">
        <f t="shared" si="12"/>
        <v>N/A</v>
      </c>
      <c r="AH24" s="166">
        <f t="shared" si="13"/>
        <v>90.705671754286783</v>
      </c>
      <c r="AI24" s="166">
        <f t="shared" si="14"/>
        <v>90.477703401769119</v>
      </c>
      <c r="AJ24" s="166">
        <f t="shared" si="15"/>
        <v>90.928729619708932</v>
      </c>
      <c r="AK24" s="168">
        <f t="shared" si="16"/>
        <v>4</v>
      </c>
    </row>
    <row r="25" spans="1:37" x14ac:dyDescent="0.2">
      <c r="A25" s="62" t="s">
        <v>48</v>
      </c>
      <c r="B25" s="62" t="s">
        <v>160</v>
      </c>
      <c r="C25" s="62" t="s">
        <v>201</v>
      </c>
      <c r="D25" s="62"/>
      <c r="E25" s="62">
        <f t="shared" si="1"/>
        <v>9</v>
      </c>
      <c r="F25" s="128" t="s">
        <v>79</v>
      </c>
      <c r="G25" s="129">
        <v>84.623730578942798</v>
      </c>
      <c r="H25" s="129">
        <v>84.152205087587035</v>
      </c>
      <c r="I25" s="129">
        <v>85.083713368724787</v>
      </c>
      <c r="J25" s="129"/>
      <c r="K25" s="129"/>
      <c r="L25" s="129"/>
      <c r="M25" s="60">
        <f t="shared" si="2"/>
        <v>3</v>
      </c>
      <c r="N25" s="61">
        <f t="shared" si="3"/>
        <v>74.0476335135792</v>
      </c>
      <c r="O25" s="61">
        <f t="shared" si="17"/>
        <v>82.313302973083054</v>
      </c>
      <c r="P25" s="129">
        <f t="shared" si="4"/>
        <v>88.151671279165441</v>
      </c>
      <c r="Q25" s="129">
        <f t="shared" si="5"/>
        <v>88.018161090725641</v>
      </c>
      <c r="R25" s="129">
        <f t="shared" si="6"/>
        <v>88.283891825293694</v>
      </c>
      <c r="S25" s="61">
        <f t="shared" si="7"/>
        <v>95.607169448126839</v>
      </c>
      <c r="T25" s="61">
        <f t="shared" si="0"/>
        <v>96.096831575962256</v>
      </c>
      <c r="U25" s="61">
        <f t="shared" si="8"/>
        <v>79.399897485772868</v>
      </c>
      <c r="V25" s="61"/>
      <c r="Y25" s="163" t="s">
        <v>34</v>
      </c>
      <c r="Z25" s="163" t="s">
        <v>59</v>
      </c>
      <c r="AA25" s="163" t="s">
        <v>200</v>
      </c>
      <c r="AB25" s="163">
        <f t="shared" si="22"/>
        <v>5</v>
      </c>
      <c r="AC25" s="166">
        <f t="shared" si="23"/>
        <v>81.058640373637786</v>
      </c>
      <c r="AD25" s="166">
        <f t="shared" si="24"/>
        <v>92.392133593286431</v>
      </c>
      <c r="AE25" s="163"/>
      <c r="AF25" s="163">
        <f t="shared" si="11"/>
        <v>14</v>
      </c>
      <c r="AG25" s="168" t="str">
        <f t="shared" si="12"/>
        <v>N/A</v>
      </c>
      <c r="AH25" s="166">
        <f t="shared" si="13"/>
        <v>89.034220279545934</v>
      </c>
      <c r="AI25" s="166">
        <f t="shared" si="14"/>
        <v>88.782057547645039</v>
      </c>
      <c r="AJ25" s="166">
        <f t="shared" si="15"/>
        <v>89.281399090256926</v>
      </c>
      <c r="AK25" s="168">
        <f t="shared" si="16"/>
        <v>4</v>
      </c>
    </row>
    <row r="26" spans="1:37" x14ac:dyDescent="0.2">
      <c r="A26" s="62" t="s">
        <v>49</v>
      </c>
      <c r="B26" s="62" t="s">
        <v>70</v>
      </c>
      <c r="C26" s="62" t="s">
        <v>200</v>
      </c>
      <c r="D26" s="62"/>
      <c r="E26" s="62">
        <f t="shared" si="1"/>
        <v>11</v>
      </c>
      <c r="F26" s="128" t="s">
        <v>79</v>
      </c>
      <c r="G26" s="129">
        <v>85.028364082383604</v>
      </c>
      <c r="H26" s="129">
        <v>84.671428158286531</v>
      </c>
      <c r="I26" s="129">
        <v>85.378423795981419</v>
      </c>
      <c r="J26" s="129"/>
      <c r="K26" s="129"/>
      <c r="L26" s="129"/>
      <c r="M26" s="60">
        <f t="shared" si="2"/>
        <v>3</v>
      </c>
      <c r="N26" s="61">
        <f t="shared" si="3"/>
        <v>74.0476335135792</v>
      </c>
      <c r="O26" s="61">
        <f t="shared" si="17"/>
        <v>82.313302973083054</v>
      </c>
      <c r="P26" s="129">
        <f t="shared" si="4"/>
        <v>88.151671279165441</v>
      </c>
      <c r="Q26" s="129">
        <f t="shared" si="5"/>
        <v>88.018161090725641</v>
      </c>
      <c r="R26" s="129">
        <f t="shared" si="6"/>
        <v>88.283891825293694</v>
      </c>
      <c r="S26" s="61">
        <f t="shared" si="7"/>
        <v>95.607169448126839</v>
      </c>
      <c r="T26" s="61">
        <f t="shared" si="0"/>
        <v>96.096831575962256</v>
      </c>
      <c r="U26" s="61">
        <f t="shared" si="8"/>
        <v>89.304330675382488</v>
      </c>
      <c r="V26" s="61"/>
      <c r="Y26" s="163" t="s">
        <v>39</v>
      </c>
      <c r="Z26" s="163" t="s">
        <v>158</v>
      </c>
      <c r="AA26" s="163" t="s">
        <v>200</v>
      </c>
      <c r="AB26" s="163">
        <f t="shared" si="22"/>
        <v>4</v>
      </c>
      <c r="AC26" s="166">
        <f t="shared" si="23"/>
        <v>81.058640373637786</v>
      </c>
      <c r="AD26" s="166">
        <f t="shared" si="24"/>
        <v>92.392133593286431</v>
      </c>
      <c r="AE26" s="163"/>
      <c r="AF26" s="163">
        <f t="shared" si="11"/>
        <v>13</v>
      </c>
      <c r="AG26" s="168" t="str">
        <f t="shared" si="12"/>
        <v>N/A</v>
      </c>
      <c r="AH26" s="166">
        <f t="shared" si="13"/>
        <v>88.253566098636028</v>
      </c>
      <c r="AI26" s="166">
        <f t="shared" si="14"/>
        <v>87.988132330286604</v>
      </c>
      <c r="AJ26" s="166">
        <f t="shared" si="15"/>
        <v>88.513900095922665</v>
      </c>
      <c r="AK26" s="168">
        <f t="shared" si="16"/>
        <v>5</v>
      </c>
    </row>
    <row r="27" spans="1:37" x14ac:dyDescent="0.2">
      <c r="A27" s="62" t="s">
        <v>50</v>
      </c>
      <c r="B27" s="62" t="s">
        <v>161</v>
      </c>
      <c r="C27" s="62" t="s">
        <v>163</v>
      </c>
      <c r="D27" s="62"/>
      <c r="E27" s="62">
        <f t="shared" si="1"/>
        <v>22</v>
      </c>
      <c r="F27" s="128" t="s">
        <v>79</v>
      </c>
      <c r="G27" s="129">
        <v>95.774288732650902</v>
      </c>
      <c r="H27" s="129">
        <v>95.529832905649997</v>
      </c>
      <c r="I27" s="129">
        <v>96.005935158040302</v>
      </c>
      <c r="J27" s="129"/>
      <c r="K27" s="129"/>
      <c r="L27" s="129"/>
      <c r="M27" s="60">
        <f t="shared" si="2"/>
        <v>4</v>
      </c>
      <c r="N27" s="61">
        <f t="shared" si="3"/>
        <v>74.0476335135792</v>
      </c>
      <c r="O27" s="61">
        <f t="shared" si="17"/>
        <v>82.313302973083054</v>
      </c>
      <c r="P27" s="129">
        <f t="shared" si="4"/>
        <v>88.151671279165441</v>
      </c>
      <c r="Q27" s="129">
        <f t="shared" si="5"/>
        <v>88.018161090725641</v>
      </c>
      <c r="R27" s="129">
        <f t="shared" si="6"/>
        <v>88.283891825293694</v>
      </c>
      <c r="S27" s="61">
        <f t="shared" si="7"/>
        <v>95.607169448126839</v>
      </c>
      <c r="T27" s="61">
        <f t="shared" si="0"/>
        <v>96.096831575962256</v>
      </c>
      <c r="U27" s="61">
        <f t="shared" si="8"/>
        <v>95.433351618211745</v>
      </c>
      <c r="V27" s="61"/>
      <c r="Y27" s="163" t="s">
        <v>40</v>
      </c>
      <c r="Z27" s="163" t="s">
        <v>63</v>
      </c>
      <c r="AA27" s="163" t="s">
        <v>200</v>
      </c>
      <c r="AB27" s="163">
        <f t="shared" si="22"/>
        <v>6</v>
      </c>
      <c r="AC27" s="166">
        <f t="shared" si="23"/>
        <v>81.058640373637786</v>
      </c>
      <c r="AD27" s="166">
        <f t="shared" si="24"/>
        <v>92.392133593286431</v>
      </c>
      <c r="AE27" s="163"/>
      <c r="AF27" s="163">
        <f t="shared" si="11"/>
        <v>15</v>
      </c>
      <c r="AG27" s="168" t="str">
        <f t="shared" si="12"/>
        <v>N/A</v>
      </c>
      <c r="AH27" s="166">
        <f t="shared" si="13"/>
        <v>90.284683416200991</v>
      </c>
      <c r="AI27" s="166">
        <f t="shared" si="14"/>
        <v>89.892801805450489</v>
      </c>
      <c r="AJ27" s="166">
        <f t="shared" si="15"/>
        <v>90.66294899318271</v>
      </c>
      <c r="AK27" s="168">
        <f t="shared" si="16"/>
        <v>4</v>
      </c>
    </row>
    <row r="28" spans="1:37" x14ac:dyDescent="0.2">
      <c r="A28" s="62" t="s">
        <v>51</v>
      </c>
      <c r="B28" s="62" t="s">
        <v>71</v>
      </c>
      <c r="C28" s="62" t="s">
        <v>200</v>
      </c>
      <c r="D28" s="62"/>
      <c r="E28" s="62">
        <f t="shared" si="1"/>
        <v>17</v>
      </c>
      <c r="F28" s="128" t="s">
        <v>79</v>
      </c>
      <c r="G28" s="129">
        <v>92.298495155638008</v>
      </c>
      <c r="H28" s="129">
        <v>91.956225849243381</v>
      </c>
      <c r="I28" s="129">
        <v>92.627368280059684</v>
      </c>
      <c r="J28" s="129"/>
      <c r="K28" s="129"/>
      <c r="L28" s="129"/>
      <c r="M28" s="60">
        <f t="shared" si="2"/>
        <v>4</v>
      </c>
      <c r="N28" s="61">
        <f t="shared" si="3"/>
        <v>74.0476335135792</v>
      </c>
      <c r="O28" s="61">
        <f t="shared" si="17"/>
        <v>82.313302973083054</v>
      </c>
      <c r="P28" s="129">
        <f t="shared" si="4"/>
        <v>88.151671279165441</v>
      </c>
      <c r="Q28" s="129">
        <f t="shared" si="5"/>
        <v>88.018161090725641</v>
      </c>
      <c r="R28" s="129">
        <f t="shared" si="6"/>
        <v>88.283891825293694</v>
      </c>
      <c r="S28" s="61">
        <f t="shared" si="7"/>
        <v>95.607169448126839</v>
      </c>
      <c r="T28" s="61">
        <f t="shared" si="0"/>
        <v>96.096831575962256</v>
      </c>
      <c r="U28" s="61">
        <f t="shared" si="8"/>
        <v>89.304330675382488</v>
      </c>
      <c r="V28" s="61"/>
      <c r="Y28" s="163" t="s">
        <v>42</v>
      </c>
      <c r="Z28" s="163" t="s">
        <v>65</v>
      </c>
      <c r="AA28" s="163" t="s">
        <v>200</v>
      </c>
      <c r="AB28" s="163">
        <f t="shared" si="22"/>
        <v>1</v>
      </c>
      <c r="AC28" s="166">
        <f t="shared" si="23"/>
        <v>81.058640373637786</v>
      </c>
      <c r="AD28" s="166">
        <f t="shared" si="24"/>
        <v>92.392133593286431</v>
      </c>
      <c r="AE28" s="163"/>
      <c r="AF28" s="163">
        <f t="shared" si="11"/>
        <v>3</v>
      </c>
      <c r="AG28" s="168" t="str">
        <f t="shared" si="12"/>
        <v>N/A</v>
      </c>
      <c r="AH28" s="166">
        <f t="shared" si="13"/>
        <v>81.058640373637786</v>
      </c>
      <c r="AI28" s="166">
        <f t="shared" si="14"/>
        <v>80.432392012873152</v>
      </c>
      <c r="AJ28" s="166">
        <f t="shared" si="15"/>
        <v>81.669413803827965</v>
      </c>
      <c r="AK28" s="168">
        <f t="shared" si="16"/>
        <v>3</v>
      </c>
    </row>
    <row r="29" spans="1:37" x14ac:dyDescent="0.2">
      <c r="A29" s="62" t="s">
        <v>52</v>
      </c>
      <c r="B29" s="62" t="s">
        <v>72</v>
      </c>
      <c r="C29" s="62" t="s">
        <v>201</v>
      </c>
      <c r="D29" s="62"/>
      <c r="E29" s="62">
        <f t="shared" si="1"/>
        <v>10</v>
      </c>
      <c r="F29" s="128" t="s">
        <v>79</v>
      </c>
      <c r="G29" s="129">
        <v>84.885174705533984</v>
      </c>
      <c r="H29" s="129">
        <v>84.306871754252469</v>
      </c>
      <c r="I29" s="129">
        <v>85.445845743155076</v>
      </c>
      <c r="J29" s="129"/>
      <c r="K29" s="129"/>
      <c r="L29" s="129"/>
      <c r="M29" s="60">
        <f t="shared" si="2"/>
        <v>3</v>
      </c>
      <c r="N29" s="61">
        <f t="shared" si="3"/>
        <v>74.0476335135792</v>
      </c>
      <c r="O29" s="61">
        <f t="shared" si="17"/>
        <v>82.313302973083054</v>
      </c>
      <c r="P29" s="129">
        <f t="shared" si="4"/>
        <v>88.151671279165441</v>
      </c>
      <c r="Q29" s="129">
        <f t="shared" si="5"/>
        <v>88.018161090725641</v>
      </c>
      <c r="R29" s="129">
        <f t="shared" si="6"/>
        <v>88.283891825293694</v>
      </c>
      <c r="S29" s="61">
        <f t="shared" si="7"/>
        <v>95.607169448126839</v>
      </c>
      <c r="T29" s="61">
        <f t="shared" si="0"/>
        <v>96.096831575962256</v>
      </c>
      <c r="U29" s="61">
        <f t="shared" si="8"/>
        <v>79.399897485772868</v>
      </c>
      <c r="V29" s="61"/>
      <c r="Y29" s="163" t="s">
        <v>44</v>
      </c>
      <c r="Z29" s="163" t="s">
        <v>66</v>
      </c>
      <c r="AA29" s="163" t="s">
        <v>200</v>
      </c>
      <c r="AB29" s="163">
        <f t="shared" si="22"/>
        <v>3</v>
      </c>
      <c r="AC29" s="166">
        <f t="shared" si="23"/>
        <v>81.058640373637786</v>
      </c>
      <c r="AD29" s="166">
        <f t="shared" si="24"/>
        <v>92.392133593286431</v>
      </c>
      <c r="AE29" s="163"/>
      <c r="AF29" s="163">
        <f t="shared" si="11"/>
        <v>12</v>
      </c>
      <c r="AG29" s="168" t="str">
        <f t="shared" si="12"/>
        <v>N/A</v>
      </c>
      <c r="AH29" s="166">
        <f t="shared" si="13"/>
        <v>85.631696191789544</v>
      </c>
      <c r="AI29" s="166">
        <f t="shared" si="14"/>
        <v>85.123749123459106</v>
      </c>
      <c r="AJ29" s="166">
        <f t="shared" si="15"/>
        <v>86.125126466781666</v>
      </c>
      <c r="AK29" s="168">
        <f t="shared" si="16"/>
        <v>3</v>
      </c>
    </row>
    <row r="30" spans="1:37" x14ac:dyDescent="0.2">
      <c r="A30" s="62" t="s">
        <v>53</v>
      </c>
      <c r="B30" s="62" t="s">
        <v>162</v>
      </c>
      <c r="C30" s="62" t="s">
        <v>163</v>
      </c>
      <c r="D30" s="62"/>
      <c r="E30" s="62">
        <f t="shared" si="1"/>
        <v>19</v>
      </c>
      <c r="F30" s="128" t="s">
        <v>79</v>
      </c>
      <c r="G30" s="129">
        <v>95.07560684440908</v>
      </c>
      <c r="H30" s="129">
        <v>94.923891299589386</v>
      </c>
      <c r="I30" s="129">
        <v>95.22301608659572</v>
      </c>
      <c r="J30" s="129"/>
      <c r="K30" s="129"/>
      <c r="L30" s="129"/>
      <c r="M30" s="60">
        <f t="shared" si="2"/>
        <v>4</v>
      </c>
      <c r="N30" s="61">
        <f t="shared" si="3"/>
        <v>74.0476335135792</v>
      </c>
      <c r="O30" s="61">
        <f t="shared" si="17"/>
        <v>82.313302973083054</v>
      </c>
      <c r="P30" s="129">
        <f>$G$32</f>
        <v>88.151671279165441</v>
      </c>
      <c r="Q30" s="129">
        <f t="shared" si="5"/>
        <v>88.018161090725641</v>
      </c>
      <c r="R30" s="129">
        <f t="shared" si="6"/>
        <v>88.283891825293694</v>
      </c>
      <c r="S30" s="61">
        <f t="shared" si="7"/>
        <v>95.607169448126839</v>
      </c>
      <c r="T30" s="61">
        <f t="shared" si="0"/>
        <v>96.096831575962256</v>
      </c>
      <c r="U30" s="61">
        <f t="shared" si="8"/>
        <v>95.433351618211745</v>
      </c>
      <c r="V30" s="61"/>
      <c r="Y30" s="163" t="s">
        <v>49</v>
      </c>
      <c r="Z30" s="163" t="s">
        <v>70</v>
      </c>
      <c r="AA30" s="163" t="s">
        <v>200</v>
      </c>
      <c r="AB30" s="163">
        <f t="shared" si="22"/>
        <v>2</v>
      </c>
      <c r="AC30" s="166">
        <f t="shared" si="23"/>
        <v>81.058640373637786</v>
      </c>
      <c r="AD30" s="166">
        <f t="shared" si="24"/>
        <v>92.392133593286431</v>
      </c>
      <c r="AE30" s="163"/>
      <c r="AF30" s="163">
        <f t="shared" si="11"/>
        <v>11</v>
      </c>
      <c r="AG30" s="168" t="str">
        <f t="shared" si="12"/>
        <v>N/A</v>
      </c>
      <c r="AH30" s="166">
        <f t="shared" si="13"/>
        <v>85.028364082383604</v>
      </c>
      <c r="AI30" s="166">
        <f t="shared" si="14"/>
        <v>84.671428158286531</v>
      </c>
      <c r="AJ30" s="166">
        <f t="shared" si="15"/>
        <v>85.378423795981419</v>
      </c>
      <c r="AK30" s="168">
        <f t="shared" si="16"/>
        <v>3</v>
      </c>
    </row>
    <row r="31" spans="1:37" x14ac:dyDescent="0.2">
      <c r="A31" s="62" t="s">
        <v>54</v>
      </c>
      <c r="B31" s="62" t="s">
        <v>73</v>
      </c>
      <c r="C31" s="62" t="s">
        <v>201</v>
      </c>
      <c r="D31" s="62"/>
      <c r="E31" s="62">
        <f t="shared" si="1"/>
        <v>5</v>
      </c>
      <c r="F31" s="128" t="s">
        <v>79</v>
      </c>
      <c r="G31" s="129">
        <v>81.525955504848824</v>
      </c>
      <c r="H31" s="129">
        <v>81.116280069881611</v>
      </c>
      <c r="I31" s="129">
        <v>81.928723216371253</v>
      </c>
      <c r="J31" s="129"/>
      <c r="K31" s="129"/>
      <c r="L31" s="129"/>
      <c r="M31" s="60">
        <f t="shared" si="2"/>
        <v>3</v>
      </c>
      <c r="N31" s="61">
        <f t="shared" si="3"/>
        <v>74.0476335135792</v>
      </c>
      <c r="O31" s="61">
        <f t="shared" si="17"/>
        <v>82.313302973083054</v>
      </c>
      <c r="P31" s="129">
        <f t="shared" si="4"/>
        <v>88.151671279165441</v>
      </c>
      <c r="Q31" s="129">
        <f t="shared" si="5"/>
        <v>88.018161090725641</v>
      </c>
      <c r="R31" s="129">
        <f t="shared" si="6"/>
        <v>88.283891825293694</v>
      </c>
      <c r="S31" s="61">
        <f t="shared" si="7"/>
        <v>95.607169448126839</v>
      </c>
      <c r="T31" s="61">
        <f t="shared" si="0"/>
        <v>96.096831575962256</v>
      </c>
      <c r="U31" s="61">
        <f t="shared" si="8"/>
        <v>79.399897485772868</v>
      </c>
      <c r="V31" s="61"/>
      <c r="Y31" s="163" t="s">
        <v>51</v>
      </c>
      <c r="Z31" s="163" t="s">
        <v>71</v>
      </c>
      <c r="AA31" s="163" t="s">
        <v>200</v>
      </c>
      <c r="AB31" s="163">
        <f t="shared" si="22"/>
        <v>8</v>
      </c>
      <c r="AC31" s="166">
        <f t="shared" si="23"/>
        <v>81.058640373637786</v>
      </c>
      <c r="AD31" s="166">
        <f t="shared" si="24"/>
        <v>92.392133593286431</v>
      </c>
      <c r="AE31" s="163"/>
      <c r="AF31" s="163">
        <f t="shared" si="11"/>
        <v>17</v>
      </c>
      <c r="AG31" s="168" t="str">
        <f t="shared" si="12"/>
        <v>N/A</v>
      </c>
      <c r="AH31" s="166">
        <f t="shared" si="13"/>
        <v>92.298495155638008</v>
      </c>
      <c r="AI31" s="166">
        <f t="shared" si="14"/>
        <v>91.956225849243381</v>
      </c>
      <c r="AJ31" s="166">
        <f t="shared" si="15"/>
        <v>92.627368280059684</v>
      </c>
      <c r="AK31" s="168">
        <f t="shared" si="16"/>
        <v>4</v>
      </c>
    </row>
    <row r="32" spans="1:37" x14ac:dyDescent="0.2">
      <c r="A32" s="62"/>
      <c r="B32" s="62" t="s">
        <v>171</v>
      </c>
      <c r="C32" s="62"/>
      <c r="D32" s="62"/>
      <c r="E32" s="62"/>
      <c r="F32" s="128">
        <v>200352</v>
      </c>
      <c r="G32" s="129">
        <v>88.151671279165441</v>
      </c>
      <c r="H32" s="129">
        <v>88.018161090725641</v>
      </c>
      <c r="I32" s="129">
        <v>88.283891825293694</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76549</v>
      </c>
      <c r="G44" s="129">
        <v>95.433351618211745</v>
      </c>
      <c r="H44" s="129">
        <v>95.286693061315745</v>
      </c>
      <c r="I44" s="129">
        <v>95.575658656850152</v>
      </c>
      <c r="J44" s="129">
        <f>VLOOKUP($C44,$AA$6:$AD$13,3,FALSE)</f>
        <v>95.07560684440908</v>
      </c>
      <c r="K44" s="129">
        <f>VLOOKUP($C44,$AA$6:$AD$13,4,FALSE)</f>
        <v>96.096831575962256</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4</v>
      </c>
      <c r="N44" s="61">
        <f>MIN($G$6:$G$31)</f>
        <v>74.0476335135792</v>
      </c>
      <c r="O44" s="61">
        <f>VLOOKUP(7,$E$5:$G$39,3,FALSE)</f>
        <v>82.313302973083054</v>
      </c>
      <c r="P44" s="129">
        <f>$G$32</f>
        <v>88.151671279165441</v>
      </c>
      <c r="Q44" s="129">
        <f>$H$32</f>
        <v>88.018161090725641</v>
      </c>
      <c r="R44" s="129">
        <f>$I$32</f>
        <v>88.283891825293694</v>
      </c>
      <c r="S44" s="61">
        <f>VLOOKUP(20,$E$5:$G$39,3,FALSE)</f>
        <v>95.607169448126839</v>
      </c>
      <c r="T44" s="61">
        <f>MAX($G$6:$G$31)</f>
        <v>96.096831575962256</v>
      </c>
    </row>
    <row r="45" spans="1:22" x14ac:dyDescent="0.2">
      <c r="C45" s="62" t="s">
        <v>201</v>
      </c>
      <c r="D45" s="62"/>
      <c r="E45" s="62"/>
      <c r="F45" s="128">
        <v>60413</v>
      </c>
      <c r="G45" s="129">
        <v>79.399897485772868</v>
      </c>
      <c r="H45" s="129">
        <v>79.11104923223219</v>
      </c>
      <c r="I45" s="129">
        <v>79.685777221858373</v>
      </c>
      <c r="J45" s="129">
        <f>VLOOKUP($C45,$AA$14:$AD$22,3,FALSE)</f>
        <v>74.0476335135792</v>
      </c>
      <c r="K45" s="129">
        <f>VLOOKUP($C45,$AA$14:$AD$22,4,FALSE)</f>
        <v>84.885174705533984</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3</v>
      </c>
      <c r="N45" s="61">
        <f>MIN($G$6:$G$31)</f>
        <v>74.0476335135792</v>
      </c>
      <c r="O45" s="61">
        <f>VLOOKUP(7,$E$5:$G$39,3,FALSE)</f>
        <v>82.313302973083054</v>
      </c>
      <c r="P45" s="129">
        <f>$G$32</f>
        <v>88.151671279165441</v>
      </c>
      <c r="Q45" s="129">
        <f t="shared" ref="Q45:Q46" si="25">$H$32</f>
        <v>88.018161090725641</v>
      </c>
      <c r="R45" s="129">
        <f t="shared" ref="R45:R46" si="26">$I$32</f>
        <v>88.283891825293694</v>
      </c>
      <c r="S45" s="61">
        <f>VLOOKUP(20,$E$5:$G$39,3,FALSE)</f>
        <v>95.607169448126839</v>
      </c>
      <c r="T45" s="61">
        <f t="shared" ref="T45:T46" si="27">MAX($G$6:$G$31)</f>
        <v>96.096831575962256</v>
      </c>
    </row>
    <row r="46" spans="1:22" x14ac:dyDescent="0.2">
      <c r="C46" s="62" t="s">
        <v>200</v>
      </c>
      <c r="D46" s="62"/>
      <c r="E46" s="62"/>
      <c r="F46" s="128">
        <v>63390</v>
      </c>
      <c r="G46" s="129">
        <v>89.304330675382488</v>
      </c>
      <c r="H46" s="129">
        <v>89.074839808300695</v>
      </c>
      <c r="I46" s="129">
        <v>89.529567568300934</v>
      </c>
      <c r="J46" s="129">
        <f>VLOOKUP($C46,$AA$23:$AD$31,3,FALSE)</f>
        <v>81.058640373637786</v>
      </c>
      <c r="K46" s="129">
        <f>VLOOKUP($C46,$AA$23:$AD$31,4,FALSE)</f>
        <v>92.392133593286431</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4</v>
      </c>
      <c r="N46" s="61">
        <f>MIN($G$6:$G$31)</f>
        <v>74.0476335135792</v>
      </c>
      <c r="O46" s="61">
        <f>VLOOKUP(7,$E$5:$G$39,3,FALSE)</f>
        <v>82.313302973083054</v>
      </c>
      <c r="P46" s="129">
        <f t="shared" ref="P46" si="28">$G$32</f>
        <v>88.151671279165441</v>
      </c>
      <c r="Q46" s="129">
        <f t="shared" si="25"/>
        <v>88.018161090725641</v>
      </c>
      <c r="R46" s="129">
        <f t="shared" si="26"/>
        <v>88.283891825293694</v>
      </c>
      <c r="S46" s="61">
        <f>VLOOKUP(20,$E$5:$G$39,3,FALSE)</f>
        <v>95.607169448126839</v>
      </c>
      <c r="T46" s="61">
        <f t="shared" si="27"/>
        <v>96.096831575962256</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C2:D2" xr:uid="{00000000-0002-0000-0B00-000000000000}">
      <formula1>"Better / Worse,Higher / Lower,Significance not measured"</formula1>
    </dataValidation>
    <dataValidation type="list" allowBlank="1" showInputMessage="1" showErrorMessage="1" sqref="K2:N2" xr:uid="{00000000-0002-0000-0B00-000001000000}">
      <formula1>"High = Worst,Low = Worst"</formula1>
    </dataValidation>
  </dataValidations>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theme="6" tint="0.39997558519241921"/>
  </sheetPr>
  <dimension ref="A1:AK55"/>
  <sheetViews>
    <sheetView topLeftCell="A4" workbookViewId="0">
      <selection activeCell="B80" sqref="B80"/>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9" width="5.1093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5" style="21" customWidth="1"/>
    <col min="17" max="18" width="4.6640625" style="21" customWidth="1"/>
    <col min="19" max="19" width="7" style="21" bestFit="1" customWidth="1"/>
    <col min="20" max="20" width="4.88671875" style="21" bestFit="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133</v>
      </c>
      <c r="D2" s="444"/>
      <c r="F2" s="137" t="s">
        <v>135</v>
      </c>
      <c r="G2" s="138"/>
      <c r="H2" s="138"/>
      <c r="I2" s="139"/>
      <c r="J2" s="140"/>
      <c r="K2" s="445" t="s">
        <v>137</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2</v>
      </c>
      <c r="F6" s="128" t="s">
        <v>79</v>
      </c>
      <c r="G6" s="129">
        <v>57.371439587449998</v>
      </c>
      <c r="H6" s="129">
        <v>56.697240355703173</v>
      </c>
      <c r="I6" s="129">
        <v>58.042909835632763</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3</v>
      </c>
      <c r="N6" s="61">
        <f>MIN($G$6:$G$32)</f>
        <v>55.57344909676516</v>
      </c>
      <c r="O6" s="61">
        <f>VLOOKUP(7,$E$5:$G$39,3,FALSE)</f>
        <v>68.591566460838479</v>
      </c>
      <c r="P6" s="129">
        <f>$G$32</f>
        <v>75.04521783464233</v>
      </c>
      <c r="Q6" s="129">
        <f>$H$32</f>
        <v>74.835675482107519</v>
      </c>
      <c r="R6" s="129">
        <f>$I$32</f>
        <v>75.253592317576803</v>
      </c>
      <c r="S6" s="61">
        <f>VLOOKUP(20,$E$5:$G$39,3,FALSE)</f>
        <v>82.235252899633053</v>
      </c>
      <c r="T6" s="61">
        <f t="shared" ref="T6:T31" si="1">MAX($G$6:$G$31)</f>
        <v>84.311332767402376</v>
      </c>
      <c r="U6" s="61">
        <f>VLOOKUP(C6,$C$43:$I$46,5,FALSE)</f>
        <v>63.438284467341546</v>
      </c>
      <c r="V6" s="61"/>
      <c r="Y6" s="159" t="s">
        <v>33</v>
      </c>
      <c r="Z6" s="159" t="s">
        <v>58</v>
      </c>
      <c r="AA6" s="159" t="s">
        <v>163</v>
      </c>
      <c r="AB6" s="159">
        <f>RANK(AH6,$AH$6:$AH$13,1)</f>
        <v>4</v>
      </c>
      <c r="AC6" s="164">
        <f>MIN($AH$6:$AH$13)</f>
        <v>82.116591928251125</v>
      </c>
      <c r="AD6" s="164">
        <f>MAX($AH$6:$AH$13)</f>
        <v>84.311332767402376</v>
      </c>
      <c r="AE6" s="159"/>
      <c r="AF6" s="159">
        <f>VLOOKUP($Y6,$A$6:$I$31,5,FALSE)</f>
        <v>21</v>
      </c>
      <c r="AG6" s="160" t="str">
        <f>VLOOKUP($Y6,$A$6:$I$31,6,FALSE)</f>
        <v>N/A</v>
      </c>
      <c r="AH6" s="161">
        <f>VLOOKUP($Y6,$A$6:$I$31,7,FALSE)</f>
        <v>82.545733797756498</v>
      </c>
      <c r="AI6" s="161">
        <f>VLOOKUP($Y6,$A$6:$I$31,8,FALSE)</f>
        <v>82.152699006831071</v>
      </c>
      <c r="AJ6" s="161">
        <f>VLOOKUP($Y6,$A$6:$I$31,9,FALSE)</f>
        <v>82.93191140290125</v>
      </c>
      <c r="AK6" s="160">
        <f>VLOOKUP($Y6,$A$6:$M$31,13,FALSE)</f>
        <v>4</v>
      </c>
    </row>
    <row r="7" spans="1:37" x14ac:dyDescent="0.2">
      <c r="A7" s="62" t="s">
        <v>30</v>
      </c>
      <c r="B7" s="62" t="s">
        <v>56</v>
      </c>
      <c r="C7" s="62" t="s">
        <v>200</v>
      </c>
      <c r="D7" s="62"/>
      <c r="E7" s="62">
        <f t="shared" ref="E7:E31" si="2">RANK(G7,$G$6:$G$31,1)</f>
        <v>15</v>
      </c>
      <c r="F7" s="128" t="s">
        <v>79</v>
      </c>
      <c r="G7" s="129">
        <v>81.130057257912284</v>
      </c>
      <c r="H7" s="129">
        <v>80.514256766397537</v>
      </c>
      <c r="I7" s="129">
        <v>81.730812643347079</v>
      </c>
      <c r="J7" s="129"/>
      <c r="K7" s="129"/>
      <c r="L7" s="129"/>
      <c r="M7" s="60">
        <f t="shared" si="0"/>
        <v>4</v>
      </c>
      <c r="N7" s="61">
        <f t="shared" ref="N7:N31" si="3">MIN($G$6:$G$32)</f>
        <v>55.57344909676516</v>
      </c>
      <c r="O7" s="61">
        <f>VLOOKUP(7,$E$5:$G$39,3,FALSE)</f>
        <v>68.591566460838479</v>
      </c>
      <c r="P7" s="129">
        <f t="shared" ref="P7:P31" si="4">$G$32</f>
        <v>75.04521783464233</v>
      </c>
      <c r="Q7" s="129">
        <f t="shared" ref="Q7:Q31" si="5">$H$32</f>
        <v>74.835675482107519</v>
      </c>
      <c r="R7" s="129">
        <f t="shared" ref="R7:R31" si="6">$I$32</f>
        <v>75.253592317576803</v>
      </c>
      <c r="S7" s="61">
        <f t="shared" ref="S7:S31" si="7">VLOOKUP(20,$E$5:$G$39,3,FALSE)</f>
        <v>82.235252899633053</v>
      </c>
      <c r="T7" s="61">
        <f t="shared" si="1"/>
        <v>84.311332767402376</v>
      </c>
      <c r="U7" s="61">
        <f>VLOOKUP(C7,$C$43:$I$46,5,FALSE)</f>
        <v>81.051472060885231</v>
      </c>
      <c r="V7" s="61"/>
      <c r="Y7" s="159" t="s">
        <v>35</v>
      </c>
      <c r="Z7" s="159" t="s">
        <v>60</v>
      </c>
      <c r="AA7" s="159" t="s">
        <v>163</v>
      </c>
      <c r="AB7" s="159">
        <f t="shared" ref="AB7:AB12" si="8">RANK(AH7,$AH$6:$AH$13,1)</f>
        <v>2</v>
      </c>
      <c r="AC7" s="164">
        <f>MIN($AH$6:$AH$13)</f>
        <v>82.116591928251125</v>
      </c>
      <c r="AD7" s="164">
        <f t="shared" ref="AD7:AD13" si="9">MAX($AH$6:$AH$13)</f>
        <v>84.311332767402376</v>
      </c>
      <c r="AE7" s="159"/>
      <c r="AF7" s="159">
        <f t="shared" ref="AF7:AF31" si="10">VLOOKUP($Y7,$A$6:$I$31,5,FALSE)</f>
        <v>19</v>
      </c>
      <c r="AG7" s="160" t="str">
        <f t="shared" ref="AG7:AG31" si="11">VLOOKUP($Y7,$A$6:$I$31,6,FALSE)</f>
        <v>N/A</v>
      </c>
      <c r="AH7" s="161">
        <f t="shared" ref="AH7:AH31" si="12">VLOOKUP($Y7,$A$6:$I$31,7,FALSE)</f>
        <v>82.117526236400408</v>
      </c>
      <c r="AI7" s="161">
        <f t="shared" ref="AI7:AI31" si="13">VLOOKUP($Y7,$A$6:$I$31,8,FALSE)</f>
        <v>81.688086167232427</v>
      </c>
      <c r="AJ7" s="161">
        <f t="shared" ref="AJ7:AJ31" si="14">VLOOKUP($Y7,$A$6:$I$31,9,FALSE)</f>
        <v>82.539048019001171</v>
      </c>
      <c r="AK7" s="160">
        <f t="shared" ref="AK7:AK31" si="15">VLOOKUP($Y7,$A$6:$M$31,13,FALSE)</f>
        <v>4</v>
      </c>
    </row>
    <row r="8" spans="1:37" x14ac:dyDescent="0.2">
      <c r="A8" s="62" t="s">
        <v>31</v>
      </c>
      <c r="B8" s="62" t="s">
        <v>57</v>
      </c>
      <c r="C8" s="62" t="s">
        <v>200</v>
      </c>
      <c r="D8" s="62"/>
      <c r="E8" s="62">
        <f t="shared" si="2"/>
        <v>13</v>
      </c>
      <c r="F8" s="128" t="s">
        <v>79</v>
      </c>
      <c r="G8" s="129">
        <v>81.077214196704674</v>
      </c>
      <c r="H8" s="129">
        <v>80.705678537166406</v>
      </c>
      <c r="I8" s="129">
        <v>81.443240498389386</v>
      </c>
      <c r="J8" s="129"/>
      <c r="K8" s="129"/>
      <c r="L8" s="129"/>
      <c r="M8" s="60">
        <f t="shared" si="0"/>
        <v>4</v>
      </c>
      <c r="N8" s="61">
        <f t="shared" si="3"/>
        <v>55.57344909676516</v>
      </c>
      <c r="O8" s="61">
        <f t="shared" ref="O8:O31" si="16">VLOOKUP(7,$E$5:$G$39,3,FALSE)</f>
        <v>68.591566460838479</v>
      </c>
      <c r="P8" s="129">
        <f t="shared" si="4"/>
        <v>75.04521783464233</v>
      </c>
      <c r="Q8" s="129">
        <f t="shared" si="5"/>
        <v>74.835675482107519</v>
      </c>
      <c r="R8" s="129">
        <f t="shared" si="6"/>
        <v>75.253592317576803</v>
      </c>
      <c r="S8" s="61">
        <f t="shared" si="7"/>
        <v>82.235252899633053</v>
      </c>
      <c r="T8" s="61">
        <f t="shared" si="1"/>
        <v>84.311332767402376</v>
      </c>
      <c r="U8" s="61">
        <f t="shared" ref="U8:U31" si="17">VLOOKUP(C8,$C$43:$I$46,5,FALSE)</f>
        <v>81.051472060885231</v>
      </c>
      <c r="V8" s="61"/>
      <c r="Y8" s="159" t="s">
        <v>41</v>
      </c>
      <c r="Z8" s="159" t="s">
        <v>64</v>
      </c>
      <c r="AA8" s="159" t="s">
        <v>163</v>
      </c>
      <c r="AB8" s="159">
        <f t="shared" si="8"/>
        <v>5</v>
      </c>
      <c r="AC8" s="164">
        <f t="shared" ref="AC8:AC13" si="18">MIN($AH$6:$AH$13)</f>
        <v>82.116591928251125</v>
      </c>
      <c r="AD8" s="164">
        <f>MAX($AH$6:$AH$13)</f>
        <v>84.311332767402376</v>
      </c>
      <c r="AE8" s="159"/>
      <c r="AF8" s="159">
        <f t="shared" si="10"/>
        <v>23</v>
      </c>
      <c r="AG8" s="160" t="str">
        <f t="shared" si="11"/>
        <v>N/A</v>
      </c>
      <c r="AH8" s="161">
        <f t="shared" si="12"/>
        <v>82.684048151956929</v>
      </c>
      <c r="AI8" s="161">
        <f t="shared" si="13"/>
        <v>82.27239099345627</v>
      </c>
      <c r="AJ8" s="161">
        <f t="shared" si="14"/>
        <v>83.088111103292121</v>
      </c>
      <c r="AK8" s="160">
        <f t="shared" si="15"/>
        <v>4</v>
      </c>
    </row>
    <row r="9" spans="1:37" x14ac:dyDescent="0.2">
      <c r="A9" s="62" t="s">
        <v>32</v>
      </c>
      <c r="B9" s="62" t="s">
        <v>156</v>
      </c>
      <c r="C9" s="62" t="s">
        <v>201</v>
      </c>
      <c r="D9" s="62"/>
      <c r="E9" s="62">
        <f t="shared" si="2"/>
        <v>7</v>
      </c>
      <c r="F9" s="128" t="s">
        <v>79</v>
      </c>
      <c r="G9" s="129">
        <v>68.591566460838479</v>
      </c>
      <c r="H9" s="129">
        <v>68.180130295639302</v>
      </c>
      <c r="I9" s="129">
        <v>69.000101538746136</v>
      </c>
      <c r="J9" s="129"/>
      <c r="K9" s="129"/>
      <c r="L9" s="129"/>
      <c r="M9" s="60">
        <f t="shared" si="0"/>
        <v>3</v>
      </c>
      <c r="N9" s="61">
        <f t="shared" si="3"/>
        <v>55.57344909676516</v>
      </c>
      <c r="O9" s="61">
        <f t="shared" si="16"/>
        <v>68.591566460838479</v>
      </c>
      <c r="P9" s="129">
        <f t="shared" si="4"/>
        <v>75.04521783464233</v>
      </c>
      <c r="Q9" s="129">
        <f t="shared" si="5"/>
        <v>74.835675482107519</v>
      </c>
      <c r="R9" s="129">
        <f t="shared" si="6"/>
        <v>75.253592317576803</v>
      </c>
      <c r="S9" s="61">
        <f t="shared" si="7"/>
        <v>82.235252899633053</v>
      </c>
      <c r="T9" s="61">
        <f t="shared" si="1"/>
        <v>84.311332767402376</v>
      </c>
      <c r="U9" s="61">
        <f t="shared" si="17"/>
        <v>63.438284467341546</v>
      </c>
      <c r="V9" s="61"/>
      <c r="X9" s="63"/>
      <c r="Y9" s="159" t="s">
        <v>45</v>
      </c>
      <c r="Z9" s="159" t="s">
        <v>67</v>
      </c>
      <c r="AA9" s="159" t="s">
        <v>163</v>
      </c>
      <c r="AB9" s="159">
        <f t="shared" si="8"/>
        <v>7</v>
      </c>
      <c r="AC9" s="164">
        <f t="shared" si="18"/>
        <v>82.116591928251125</v>
      </c>
      <c r="AD9" s="164">
        <f t="shared" si="9"/>
        <v>84.311332767402376</v>
      </c>
      <c r="AE9" s="159"/>
      <c r="AF9" s="159">
        <f t="shared" si="10"/>
        <v>25</v>
      </c>
      <c r="AG9" s="160" t="str">
        <f t="shared" si="11"/>
        <v>N/A</v>
      </c>
      <c r="AH9" s="161">
        <f t="shared" si="12"/>
        <v>83.46723527395956</v>
      </c>
      <c r="AI9" s="161">
        <f t="shared" si="13"/>
        <v>83.01307773083947</v>
      </c>
      <c r="AJ9" s="161">
        <f t="shared" si="14"/>
        <v>83.911603820838991</v>
      </c>
      <c r="AK9" s="160">
        <f t="shared" si="15"/>
        <v>4</v>
      </c>
    </row>
    <row r="10" spans="1:37" x14ac:dyDescent="0.2">
      <c r="A10" s="62" t="s">
        <v>33</v>
      </c>
      <c r="B10" s="62" t="s">
        <v>58</v>
      </c>
      <c r="C10" s="62" t="s">
        <v>163</v>
      </c>
      <c r="D10" s="62"/>
      <c r="E10" s="62">
        <f t="shared" si="2"/>
        <v>21</v>
      </c>
      <c r="F10" s="128" t="s">
        <v>79</v>
      </c>
      <c r="G10" s="129">
        <v>82.545733797756498</v>
      </c>
      <c r="H10" s="129">
        <v>82.152699006831071</v>
      </c>
      <c r="I10" s="129">
        <v>82.93191140290125</v>
      </c>
      <c r="J10" s="129"/>
      <c r="K10" s="129"/>
      <c r="L10" s="129"/>
      <c r="M10" s="60">
        <f t="shared" si="0"/>
        <v>4</v>
      </c>
      <c r="N10" s="61">
        <f t="shared" si="3"/>
        <v>55.57344909676516</v>
      </c>
      <c r="O10" s="61">
        <f t="shared" si="16"/>
        <v>68.591566460838479</v>
      </c>
      <c r="P10" s="129">
        <f t="shared" si="4"/>
        <v>75.04521783464233</v>
      </c>
      <c r="Q10" s="129">
        <f t="shared" si="5"/>
        <v>74.835675482107519</v>
      </c>
      <c r="R10" s="129">
        <f t="shared" si="6"/>
        <v>75.253592317576803</v>
      </c>
      <c r="S10" s="61">
        <f t="shared" si="7"/>
        <v>82.235252899633053</v>
      </c>
      <c r="T10" s="61">
        <f t="shared" si="1"/>
        <v>84.311332767402376</v>
      </c>
      <c r="U10" s="61">
        <f t="shared" si="17"/>
        <v>82.609179828875824</v>
      </c>
      <c r="V10" s="61"/>
      <c r="Y10" s="159" t="s">
        <v>46</v>
      </c>
      <c r="Z10" s="159" t="s">
        <v>68</v>
      </c>
      <c r="AA10" s="159" t="s">
        <v>163</v>
      </c>
      <c r="AB10" s="159">
        <f t="shared" si="8"/>
        <v>6</v>
      </c>
      <c r="AC10" s="164">
        <f t="shared" si="18"/>
        <v>82.116591928251125</v>
      </c>
      <c r="AD10" s="164">
        <f t="shared" si="9"/>
        <v>84.311332767402376</v>
      </c>
      <c r="AE10" s="159"/>
      <c r="AF10" s="159">
        <f t="shared" si="10"/>
        <v>24</v>
      </c>
      <c r="AG10" s="160" t="str">
        <f t="shared" si="11"/>
        <v>N/A</v>
      </c>
      <c r="AH10" s="161">
        <f t="shared" si="12"/>
        <v>82.708788935516282</v>
      </c>
      <c r="AI10" s="161">
        <f t="shared" si="13"/>
        <v>82.302147511875802</v>
      </c>
      <c r="AJ10" s="161">
        <f t="shared" si="14"/>
        <v>83.108004671880067</v>
      </c>
      <c r="AK10" s="160">
        <f t="shared" si="15"/>
        <v>4</v>
      </c>
    </row>
    <row r="11" spans="1:37" x14ac:dyDescent="0.2">
      <c r="A11" s="62" t="s">
        <v>34</v>
      </c>
      <c r="B11" s="62" t="s">
        <v>59</v>
      </c>
      <c r="C11" s="62" t="s">
        <v>200</v>
      </c>
      <c r="D11" s="62"/>
      <c r="E11" s="62">
        <f t="shared" si="2"/>
        <v>14</v>
      </c>
      <c r="F11" s="128" t="s">
        <v>79</v>
      </c>
      <c r="G11" s="129">
        <v>81.129509448368012</v>
      </c>
      <c r="H11" s="129">
        <v>80.752069600100228</v>
      </c>
      <c r="I11" s="129">
        <v>81.501243447749445</v>
      </c>
      <c r="J11" s="129"/>
      <c r="K11" s="129"/>
      <c r="L11" s="129"/>
      <c r="M11" s="60">
        <f t="shared" si="0"/>
        <v>4</v>
      </c>
      <c r="N11" s="61">
        <f t="shared" si="3"/>
        <v>55.57344909676516</v>
      </c>
      <c r="O11" s="61">
        <f t="shared" si="16"/>
        <v>68.591566460838479</v>
      </c>
      <c r="P11" s="129">
        <f t="shared" si="4"/>
        <v>75.04521783464233</v>
      </c>
      <c r="Q11" s="129">
        <f t="shared" si="5"/>
        <v>74.835675482107519</v>
      </c>
      <c r="R11" s="129">
        <f t="shared" si="6"/>
        <v>75.253592317576803</v>
      </c>
      <c r="S11" s="61">
        <f t="shared" si="7"/>
        <v>82.235252899633053</v>
      </c>
      <c r="T11" s="61">
        <f t="shared" si="1"/>
        <v>84.311332767402376</v>
      </c>
      <c r="U11" s="61">
        <f t="shared" si="17"/>
        <v>81.051472060885231</v>
      </c>
      <c r="V11" s="61"/>
      <c r="Y11" s="159" t="s">
        <v>47</v>
      </c>
      <c r="Z11" s="159" t="s">
        <v>69</v>
      </c>
      <c r="AA11" s="159" t="s">
        <v>163</v>
      </c>
      <c r="AB11" s="159">
        <f t="shared" si="8"/>
        <v>1</v>
      </c>
      <c r="AC11" s="164">
        <f t="shared" si="18"/>
        <v>82.116591928251125</v>
      </c>
      <c r="AD11" s="164">
        <f t="shared" si="9"/>
        <v>84.311332767402376</v>
      </c>
      <c r="AE11" s="159"/>
      <c r="AF11" s="159">
        <f t="shared" si="10"/>
        <v>18</v>
      </c>
      <c r="AG11" s="160" t="str">
        <f t="shared" si="11"/>
        <v>N/A</v>
      </c>
      <c r="AH11" s="161">
        <f t="shared" si="12"/>
        <v>82.116591928251125</v>
      </c>
      <c r="AI11" s="161">
        <f t="shared" si="13"/>
        <v>81.088653926264982</v>
      </c>
      <c r="AJ11" s="161">
        <f t="shared" si="14"/>
        <v>83.100300472826063</v>
      </c>
      <c r="AK11" s="160">
        <f t="shared" si="15"/>
        <v>4</v>
      </c>
    </row>
    <row r="12" spans="1:37" x14ac:dyDescent="0.2">
      <c r="A12" s="62" t="s">
        <v>35</v>
      </c>
      <c r="B12" s="62" t="s">
        <v>60</v>
      </c>
      <c r="C12" s="62" t="s">
        <v>163</v>
      </c>
      <c r="D12" s="62"/>
      <c r="E12" s="62">
        <f t="shared" si="2"/>
        <v>19</v>
      </c>
      <c r="F12" s="128" t="s">
        <v>79</v>
      </c>
      <c r="G12" s="129">
        <v>82.117526236400408</v>
      </c>
      <c r="H12" s="129">
        <v>81.688086167232427</v>
      </c>
      <c r="I12" s="129">
        <v>82.539048019001171</v>
      </c>
      <c r="J12" s="129"/>
      <c r="K12" s="129"/>
      <c r="L12" s="129"/>
      <c r="M12" s="60">
        <f t="shared" si="0"/>
        <v>4</v>
      </c>
      <c r="N12" s="61">
        <f t="shared" si="3"/>
        <v>55.57344909676516</v>
      </c>
      <c r="O12" s="61">
        <f t="shared" si="16"/>
        <v>68.591566460838479</v>
      </c>
      <c r="P12" s="129">
        <f t="shared" si="4"/>
        <v>75.04521783464233</v>
      </c>
      <c r="Q12" s="129">
        <f t="shared" si="5"/>
        <v>74.835675482107519</v>
      </c>
      <c r="R12" s="129">
        <f t="shared" si="6"/>
        <v>75.253592317576803</v>
      </c>
      <c r="S12" s="61">
        <f t="shared" si="7"/>
        <v>82.235252899633053</v>
      </c>
      <c r="T12" s="61">
        <f t="shared" si="1"/>
        <v>84.311332767402376</v>
      </c>
      <c r="U12" s="61">
        <f t="shared" si="17"/>
        <v>82.609179828875824</v>
      </c>
      <c r="V12" s="61"/>
      <c r="Y12" s="159" t="s">
        <v>50</v>
      </c>
      <c r="Z12" s="159" t="s">
        <v>161</v>
      </c>
      <c r="AA12" s="159" t="s">
        <v>163</v>
      </c>
      <c r="AB12" s="159">
        <f t="shared" si="8"/>
        <v>8</v>
      </c>
      <c r="AC12" s="164">
        <f t="shared" si="18"/>
        <v>82.116591928251125</v>
      </c>
      <c r="AD12" s="164">
        <f t="shared" si="9"/>
        <v>84.311332767402376</v>
      </c>
      <c r="AE12" s="159"/>
      <c r="AF12" s="159">
        <f t="shared" si="10"/>
        <v>26</v>
      </c>
      <c r="AG12" s="160" t="str">
        <f t="shared" si="11"/>
        <v>N/A</v>
      </c>
      <c r="AH12" s="161">
        <f t="shared" si="12"/>
        <v>84.311332767402376</v>
      </c>
      <c r="AI12" s="161">
        <f t="shared" si="13"/>
        <v>83.7851268863634</v>
      </c>
      <c r="AJ12" s="161">
        <f t="shared" si="14"/>
        <v>84.823555338408013</v>
      </c>
      <c r="AK12" s="160">
        <f t="shared" si="15"/>
        <v>4</v>
      </c>
    </row>
    <row r="13" spans="1:37" x14ac:dyDescent="0.2">
      <c r="A13" s="62" t="s">
        <v>36</v>
      </c>
      <c r="B13" s="62" t="s">
        <v>61</v>
      </c>
      <c r="C13" s="62" t="s">
        <v>201</v>
      </c>
      <c r="D13" s="62"/>
      <c r="E13" s="62">
        <f t="shared" si="2"/>
        <v>4</v>
      </c>
      <c r="F13" s="128" t="s">
        <v>79</v>
      </c>
      <c r="G13" s="129">
        <v>60.902711398130229</v>
      </c>
      <c r="H13" s="129">
        <v>60.439962578083531</v>
      </c>
      <c r="I13" s="129">
        <v>61.363507518843122</v>
      </c>
      <c r="J13" s="129"/>
      <c r="K13" s="129"/>
      <c r="L13" s="129"/>
      <c r="M13" s="60">
        <f t="shared" si="0"/>
        <v>3</v>
      </c>
      <c r="N13" s="61">
        <f t="shared" si="3"/>
        <v>55.57344909676516</v>
      </c>
      <c r="O13" s="61">
        <f t="shared" si="16"/>
        <v>68.591566460838479</v>
      </c>
      <c r="P13" s="129">
        <f t="shared" si="4"/>
        <v>75.04521783464233</v>
      </c>
      <c r="Q13" s="129">
        <f t="shared" si="5"/>
        <v>74.835675482107519</v>
      </c>
      <c r="R13" s="129">
        <f t="shared" si="6"/>
        <v>75.253592317576803</v>
      </c>
      <c r="S13" s="61">
        <f t="shared" si="7"/>
        <v>82.235252899633053</v>
      </c>
      <c r="T13" s="61">
        <f t="shared" si="1"/>
        <v>84.311332767402376</v>
      </c>
      <c r="U13" s="61">
        <f t="shared" si="17"/>
        <v>63.438284467341546</v>
      </c>
      <c r="V13" s="61"/>
      <c r="Y13" s="159" t="s">
        <v>53</v>
      </c>
      <c r="Z13" s="159" t="s">
        <v>162</v>
      </c>
      <c r="AA13" s="159" t="s">
        <v>163</v>
      </c>
      <c r="AB13" s="159">
        <f>RANK(AH13,$AH$6:$AH$13,1)</f>
        <v>3</v>
      </c>
      <c r="AC13" s="164">
        <f t="shared" si="18"/>
        <v>82.116591928251125</v>
      </c>
      <c r="AD13" s="164">
        <f t="shared" si="9"/>
        <v>84.311332767402376</v>
      </c>
      <c r="AE13" s="159"/>
      <c r="AF13" s="159">
        <f t="shared" si="10"/>
        <v>20</v>
      </c>
      <c r="AG13" s="160" t="str">
        <f t="shared" si="11"/>
        <v>N/A</v>
      </c>
      <c r="AH13" s="161">
        <f t="shared" si="12"/>
        <v>82.235252899633053</v>
      </c>
      <c r="AI13" s="161">
        <f t="shared" si="13"/>
        <v>81.911286478345829</v>
      </c>
      <c r="AJ13" s="161">
        <f t="shared" si="14"/>
        <v>82.554652869050685</v>
      </c>
      <c r="AK13" s="160">
        <f t="shared" si="15"/>
        <v>4</v>
      </c>
    </row>
    <row r="14" spans="1:37" x14ac:dyDescent="0.2">
      <c r="A14" s="62" t="s">
        <v>37</v>
      </c>
      <c r="B14" s="62" t="s">
        <v>157</v>
      </c>
      <c r="C14" s="62" t="s">
        <v>201</v>
      </c>
      <c r="D14" s="62"/>
      <c r="E14" s="62">
        <f t="shared" si="2"/>
        <v>9</v>
      </c>
      <c r="F14" s="128" t="s">
        <v>79</v>
      </c>
      <c r="G14" s="129">
        <v>69.299963728690614</v>
      </c>
      <c r="H14" s="129">
        <v>68.752846640193781</v>
      </c>
      <c r="I14" s="129">
        <v>69.841703255557846</v>
      </c>
      <c r="J14" s="129"/>
      <c r="K14" s="129"/>
      <c r="L14" s="129"/>
      <c r="M14" s="60">
        <f t="shared" si="0"/>
        <v>3</v>
      </c>
      <c r="N14" s="61">
        <f t="shared" si="3"/>
        <v>55.57344909676516</v>
      </c>
      <c r="O14" s="61">
        <f t="shared" si="16"/>
        <v>68.591566460838479</v>
      </c>
      <c r="P14" s="129">
        <f t="shared" si="4"/>
        <v>75.04521783464233</v>
      </c>
      <c r="Q14" s="129">
        <f t="shared" si="5"/>
        <v>74.835675482107519</v>
      </c>
      <c r="R14" s="129">
        <f t="shared" si="6"/>
        <v>75.253592317576803</v>
      </c>
      <c r="S14" s="61">
        <f t="shared" si="7"/>
        <v>82.235252899633053</v>
      </c>
      <c r="T14" s="61">
        <f t="shared" si="1"/>
        <v>84.311332767402376</v>
      </c>
      <c r="U14" s="61">
        <f t="shared" si="17"/>
        <v>63.438284467341546</v>
      </c>
      <c r="V14" s="61"/>
      <c r="Y14" s="162" t="s">
        <v>29</v>
      </c>
      <c r="Z14" s="162" t="s">
        <v>55</v>
      </c>
      <c r="AA14" s="162" t="s">
        <v>201</v>
      </c>
      <c r="AB14" s="162">
        <f>RANK(AH14,$AH$14:$AH$22,1)</f>
        <v>2</v>
      </c>
      <c r="AC14" s="165">
        <f t="shared" ref="AC14:AC22" si="19">MIN($AH$14:$AH$22)</f>
        <v>55.57344909676516</v>
      </c>
      <c r="AD14" s="165">
        <f>MAX($AH$14:$AH$22)</f>
        <v>69.299963728690614</v>
      </c>
      <c r="AE14" s="162"/>
      <c r="AF14" s="162">
        <f t="shared" si="10"/>
        <v>2</v>
      </c>
      <c r="AG14" s="167" t="str">
        <f t="shared" si="11"/>
        <v>N/A</v>
      </c>
      <c r="AH14" s="165">
        <f t="shared" si="12"/>
        <v>57.371439587449998</v>
      </c>
      <c r="AI14" s="165">
        <f t="shared" si="13"/>
        <v>56.697240355703173</v>
      </c>
      <c r="AJ14" s="165">
        <f t="shared" si="14"/>
        <v>58.042909835632763</v>
      </c>
      <c r="AK14" s="167">
        <f t="shared" si="15"/>
        <v>3</v>
      </c>
    </row>
    <row r="15" spans="1:37" x14ac:dyDescent="0.2">
      <c r="A15" s="62" t="s">
        <v>38</v>
      </c>
      <c r="B15" s="62" t="s">
        <v>62</v>
      </c>
      <c r="C15" s="62" t="s">
        <v>201</v>
      </c>
      <c r="D15" s="62"/>
      <c r="E15" s="62">
        <f t="shared" si="2"/>
        <v>3</v>
      </c>
      <c r="F15" s="128" t="s">
        <v>79</v>
      </c>
      <c r="G15" s="129">
        <v>57.87170332834274</v>
      </c>
      <c r="H15" s="129">
        <v>57.135665932723946</v>
      </c>
      <c r="I15" s="129">
        <v>58.60425896228211</v>
      </c>
      <c r="J15" s="129"/>
      <c r="K15" s="129"/>
      <c r="L15" s="129"/>
      <c r="M15" s="60">
        <f t="shared" si="0"/>
        <v>3</v>
      </c>
      <c r="N15" s="61">
        <f t="shared" si="3"/>
        <v>55.57344909676516</v>
      </c>
      <c r="O15" s="61">
        <f t="shared" si="16"/>
        <v>68.591566460838479</v>
      </c>
      <c r="P15" s="129">
        <f t="shared" si="4"/>
        <v>75.04521783464233</v>
      </c>
      <c r="Q15" s="129">
        <f t="shared" si="5"/>
        <v>74.835675482107519</v>
      </c>
      <c r="R15" s="129">
        <f t="shared" si="6"/>
        <v>75.253592317576803</v>
      </c>
      <c r="S15" s="61">
        <f t="shared" si="7"/>
        <v>82.235252899633053</v>
      </c>
      <c r="T15" s="61">
        <f t="shared" si="1"/>
        <v>84.311332767402376</v>
      </c>
      <c r="U15" s="61">
        <f t="shared" si="17"/>
        <v>63.438284467341546</v>
      </c>
      <c r="V15" s="61"/>
      <c r="Y15" s="162" t="s">
        <v>32</v>
      </c>
      <c r="Z15" s="162" t="s">
        <v>156</v>
      </c>
      <c r="AA15" s="162" t="s">
        <v>201</v>
      </c>
      <c r="AB15" s="162">
        <f>RANK(AH15,$AH$14:$AH$22,1)</f>
        <v>7</v>
      </c>
      <c r="AC15" s="165">
        <f t="shared" si="19"/>
        <v>55.57344909676516</v>
      </c>
      <c r="AD15" s="165">
        <f t="shared" ref="AD15:AD22" si="20">MAX($AH$14:$AH$22)</f>
        <v>69.299963728690614</v>
      </c>
      <c r="AE15" s="162"/>
      <c r="AF15" s="162">
        <f t="shared" si="10"/>
        <v>7</v>
      </c>
      <c r="AG15" s="167" t="str">
        <f t="shared" si="11"/>
        <v>N/A</v>
      </c>
      <c r="AH15" s="165">
        <f t="shared" si="12"/>
        <v>68.591566460838479</v>
      </c>
      <c r="AI15" s="165">
        <f t="shared" si="13"/>
        <v>68.180130295639302</v>
      </c>
      <c r="AJ15" s="165">
        <f t="shared" si="14"/>
        <v>69.000101538746136</v>
      </c>
      <c r="AK15" s="167">
        <f t="shared" si="15"/>
        <v>3</v>
      </c>
    </row>
    <row r="16" spans="1:37" x14ac:dyDescent="0.2">
      <c r="A16" s="62" t="s">
        <v>39</v>
      </c>
      <c r="B16" s="62" t="s">
        <v>158</v>
      </c>
      <c r="C16" s="62" t="s">
        <v>200</v>
      </c>
      <c r="D16" s="62"/>
      <c r="E16" s="62">
        <f t="shared" si="2"/>
        <v>16</v>
      </c>
      <c r="F16" s="128" t="s">
        <v>79</v>
      </c>
      <c r="G16" s="129">
        <v>81.638865515022516</v>
      </c>
      <c r="H16" s="129">
        <v>81.258358209483035</v>
      </c>
      <c r="I16" s="129">
        <v>82.013357483969642</v>
      </c>
      <c r="J16" s="129"/>
      <c r="K16" s="129"/>
      <c r="L16" s="129"/>
      <c r="M16" s="60">
        <f t="shared" si="0"/>
        <v>4</v>
      </c>
      <c r="N16" s="61">
        <f t="shared" si="3"/>
        <v>55.57344909676516</v>
      </c>
      <c r="O16" s="61">
        <f t="shared" si="16"/>
        <v>68.591566460838479</v>
      </c>
      <c r="P16" s="129">
        <f t="shared" si="4"/>
        <v>75.04521783464233</v>
      </c>
      <c r="Q16" s="129">
        <f t="shared" si="5"/>
        <v>74.835675482107519</v>
      </c>
      <c r="R16" s="129">
        <f t="shared" si="6"/>
        <v>75.253592317576803</v>
      </c>
      <c r="S16" s="61">
        <f t="shared" si="7"/>
        <v>82.235252899633053</v>
      </c>
      <c r="T16" s="61">
        <f t="shared" si="1"/>
        <v>84.311332767402376</v>
      </c>
      <c r="U16" s="61">
        <f t="shared" si="17"/>
        <v>81.051472060885231</v>
      </c>
      <c r="V16" s="61"/>
      <c r="Y16" s="162" t="s">
        <v>36</v>
      </c>
      <c r="Z16" s="162" t="s">
        <v>61</v>
      </c>
      <c r="AA16" s="162" t="s">
        <v>201</v>
      </c>
      <c r="AB16" s="162">
        <f>RANK(AH16,$AH$14:$AH$22,1)</f>
        <v>4</v>
      </c>
      <c r="AC16" s="165">
        <f t="shared" si="19"/>
        <v>55.57344909676516</v>
      </c>
      <c r="AD16" s="165">
        <f t="shared" si="20"/>
        <v>69.299963728690614</v>
      </c>
      <c r="AE16" s="162"/>
      <c r="AF16" s="162">
        <f t="shared" si="10"/>
        <v>4</v>
      </c>
      <c r="AG16" s="167" t="str">
        <f t="shared" si="11"/>
        <v>N/A</v>
      </c>
      <c r="AH16" s="165">
        <f t="shared" si="12"/>
        <v>60.902711398130229</v>
      </c>
      <c r="AI16" s="165">
        <f t="shared" si="13"/>
        <v>60.439962578083531</v>
      </c>
      <c r="AJ16" s="165">
        <f t="shared" si="14"/>
        <v>61.363507518843122</v>
      </c>
      <c r="AK16" s="167">
        <f t="shared" si="15"/>
        <v>3</v>
      </c>
    </row>
    <row r="17" spans="1:37" x14ac:dyDescent="0.2">
      <c r="A17" s="62" t="s">
        <v>40</v>
      </c>
      <c r="B17" s="62" t="s">
        <v>63</v>
      </c>
      <c r="C17" s="62" t="s">
        <v>200</v>
      </c>
      <c r="D17" s="62"/>
      <c r="E17" s="62">
        <f t="shared" si="2"/>
        <v>17</v>
      </c>
      <c r="F17" s="128" t="s">
        <v>79</v>
      </c>
      <c r="G17" s="129">
        <v>81.944444444444443</v>
      </c>
      <c r="H17" s="129">
        <v>81.333476585721954</v>
      </c>
      <c r="I17" s="129">
        <v>82.539707860783565</v>
      </c>
      <c r="J17" s="129"/>
      <c r="K17" s="129"/>
      <c r="L17" s="129"/>
      <c r="M17" s="60">
        <f t="shared" si="0"/>
        <v>4</v>
      </c>
      <c r="N17" s="61">
        <f t="shared" si="3"/>
        <v>55.57344909676516</v>
      </c>
      <c r="O17" s="61">
        <f t="shared" si="16"/>
        <v>68.591566460838479</v>
      </c>
      <c r="P17" s="129">
        <f t="shared" si="4"/>
        <v>75.04521783464233</v>
      </c>
      <c r="Q17" s="129">
        <f t="shared" si="5"/>
        <v>74.835675482107519</v>
      </c>
      <c r="R17" s="129">
        <f t="shared" si="6"/>
        <v>75.253592317576803</v>
      </c>
      <c r="S17" s="61">
        <f t="shared" si="7"/>
        <v>82.235252899633053</v>
      </c>
      <c r="T17" s="61">
        <f t="shared" si="1"/>
        <v>84.311332767402376</v>
      </c>
      <c r="U17" s="61">
        <f t="shared" si="17"/>
        <v>81.051472060885231</v>
      </c>
      <c r="V17" s="61"/>
      <c r="Y17" s="162" t="s">
        <v>37</v>
      </c>
      <c r="Z17" s="162" t="s">
        <v>157</v>
      </c>
      <c r="AA17" s="162" t="s">
        <v>201</v>
      </c>
      <c r="AB17" s="162">
        <f t="shared" ref="AB17:AB22" si="21">RANK(AH17,$AH$14:$AH$22,1)</f>
        <v>9</v>
      </c>
      <c r="AC17" s="165">
        <f t="shared" si="19"/>
        <v>55.57344909676516</v>
      </c>
      <c r="AD17" s="165">
        <f>MAX($AH$14:$AH$22)</f>
        <v>69.299963728690614</v>
      </c>
      <c r="AE17" s="162"/>
      <c r="AF17" s="162">
        <f t="shared" si="10"/>
        <v>9</v>
      </c>
      <c r="AG17" s="167" t="str">
        <f t="shared" si="11"/>
        <v>N/A</v>
      </c>
      <c r="AH17" s="165">
        <f t="shared" si="12"/>
        <v>69.299963728690614</v>
      </c>
      <c r="AI17" s="165">
        <f t="shared" si="13"/>
        <v>68.752846640193781</v>
      </c>
      <c r="AJ17" s="165">
        <f t="shared" si="14"/>
        <v>69.841703255557846</v>
      </c>
      <c r="AK17" s="167">
        <f t="shared" si="15"/>
        <v>3</v>
      </c>
    </row>
    <row r="18" spans="1:37" x14ac:dyDescent="0.2">
      <c r="A18" s="62" t="s">
        <v>41</v>
      </c>
      <c r="B18" s="62" t="s">
        <v>64</v>
      </c>
      <c r="C18" s="62" t="s">
        <v>163</v>
      </c>
      <c r="D18" s="62"/>
      <c r="E18" s="62">
        <f t="shared" si="2"/>
        <v>23</v>
      </c>
      <c r="F18" s="128" t="s">
        <v>79</v>
      </c>
      <c r="G18" s="129">
        <v>82.684048151956929</v>
      </c>
      <c r="H18" s="129">
        <v>82.27239099345627</v>
      </c>
      <c r="I18" s="129">
        <v>83.088111103292121</v>
      </c>
      <c r="J18" s="129"/>
      <c r="K18" s="129"/>
      <c r="L18" s="129"/>
      <c r="M18" s="60">
        <f t="shared" si="0"/>
        <v>4</v>
      </c>
      <c r="N18" s="61">
        <f t="shared" si="3"/>
        <v>55.57344909676516</v>
      </c>
      <c r="O18" s="61">
        <f t="shared" si="16"/>
        <v>68.591566460838479</v>
      </c>
      <c r="P18" s="129">
        <f t="shared" si="4"/>
        <v>75.04521783464233</v>
      </c>
      <c r="Q18" s="129">
        <f t="shared" si="5"/>
        <v>74.835675482107519</v>
      </c>
      <c r="R18" s="129">
        <f t="shared" si="6"/>
        <v>75.253592317576803</v>
      </c>
      <c r="S18" s="61">
        <f t="shared" si="7"/>
        <v>82.235252899633053</v>
      </c>
      <c r="T18" s="61">
        <f t="shared" si="1"/>
        <v>84.311332767402376</v>
      </c>
      <c r="U18" s="61">
        <f t="shared" si="17"/>
        <v>82.609179828875824</v>
      </c>
      <c r="V18" s="61"/>
      <c r="Y18" s="162" t="s">
        <v>38</v>
      </c>
      <c r="Z18" s="162" t="s">
        <v>62</v>
      </c>
      <c r="AA18" s="162" t="s">
        <v>201</v>
      </c>
      <c r="AB18" s="162">
        <f t="shared" si="21"/>
        <v>3</v>
      </c>
      <c r="AC18" s="165">
        <f t="shared" si="19"/>
        <v>55.57344909676516</v>
      </c>
      <c r="AD18" s="165">
        <f t="shared" si="20"/>
        <v>69.299963728690614</v>
      </c>
      <c r="AE18" s="162"/>
      <c r="AF18" s="162">
        <f t="shared" si="10"/>
        <v>3</v>
      </c>
      <c r="AG18" s="167" t="str">
        <f t="shared" si="11"/>
        <v>N/A</v>
      </c>
      <c r="AH18" s="165">
        <f t="shared" si="12"/>
        <v>57.87170332834274</v>
      </c>
      <c r="AI18" s="165">
        <f t="shared" si="13"/>
        <v>57.135665932723946</v>
      </c>
      <c r="AJ18" s="165">
        <f t="shared" si="14"/>
        <v>58.60425896228211</v>
      </c>
      <c r="AK18" s="167">
        <f t="shared" si="15"/>
        <v>3</v>
      </c>
    </row>
    <row r="19" spans="1:37" x14ac:dyDescent="0.2">
      <c r="A19" s="62" t="s">
        <v>42</v>
      </c>
      <c r="B19" s="62" t="s">
        <v>65</v>
      </c>
      <c r="C19" s="62" t="s">
        <v>200</v>
      </c>
      <c r="D19" s="62"/>
      <c r="E19" s="62">
        <f t="shared" si="2"/>
        <v>12</v>
      </c>
      <c r="F19" s="128" t="s">
        <v>79</v>
      </c>
      <c r="G19" s="129">
        <v>80.613985218874362</v>
      </c>
      <c r="H19" s="129">
        <v>79.906223221221822</v>
      </c>
      <c r="I19" s="129">
        <v>81.302651027954724</v>
      </c>
      <c r="J19" s="129"/>
      <c r="K19" s="129"/>
      <c r="L19" s="129"/>
      <c r="M19" s="60">
        <f t="shared" si="0"/>
        <v>4</v>
      </c>
      <c r="N19" s="61">
        <f t="shared" si="3"/>
        <v>55.57344909676516</v>
      </c>
      <c r="O19" s="61">
        <f t="shared" si="16"/>
        <v>68.591566460838479</v>
      </c>
      <c r="P19" s="129">
        <f t="shared" si="4"/>
        <v>75.04521783464233</v>
      </c>
      <c r="Q19" s="129">
        <f t="shared" si="5"/>
        <v>74.835675482107519</v>
      </c>
      <c r="R19" s="129">
        <f t="shared" si="6"/>
        <v>75.253592317576803</v>
      </c>
      <c r="S19" s="61">
        <f t="shared" si="7"/>
        <v>82.235252899633053</v>
      </c>
      <c r="T19" s="61">
        <f t="shared" si="1"/>
        <v>84.311332767402376</v>
      </c>
      <c r="U19" s="61">
        <f t="shared" si="17"/>
        <v>81.051472060885231</v>
      </c>
      <c r="V19" s="61"/>
      <c r="Y19" s="162" t="s">
        <v>43</v>
      </c>
      <c r="Z19" s="162" t="s">
        <v>159</v>
      </c>
      <c r="AA19" s="162" t="s">
        <v>201</v>
      </c>
      <c r="AB19" s="162">
        <f t="shared" si="21"/>
        <v>6</v>
      </c>
      <c r="AC19" s="165">
        <f t="shared" si="19"/>
        <v>55.57344909676516</v>
      </c>
      <c r="AD19" s="165">
        <f t="shared" si="20"/>
        <v>69.299963728690614</v>
      </c>
      <c r="AE19" s="162"/>
      <c r="AF19" s="162">
        <f t="shared" si="10"/>
        <v>6</v>
      </c>
      <c r="AG19" s="167" t="str">
        <f t="shared" si="11"/>
        <v>N/A</v>
      </c>
      <c r="AH19" s="165">
        <f t="shared" si="12"/>
        <v>62.920207183723214</v>
      </c>
      <c r="AI19" s="165">
        <f t="shared" si="13"/>
        <v>62.367735070046933</v>
      </c>
      <c r="AJ19" s="165">
        <f t="shared" si="14"/>
        <v>63.469319265567734</v>
      </c>
      <c r="AK19" s="167">
        <f t="shared" si="15"/>
        <v>3</v>
      </c>
    </row>
    <row r="20" spans="1:37" x14ac:dyDescent="0.2">
      <c r="A20" s="62" t="s">
        <v>43</v>
      </c>
      <c r="B20" s="62" t="s">
        <v>159</v>
      </c>
      <c r="C20" s="62" t="s">
        <v>201</v>
      </c>
      <c r="D20" s="62"/>
      <c r="E20" s="62">
        <f t="shared" si="2"/>
        <v>6</v>
      </c>
      <c r="F20" s="128" t="s">
        <v>79</v>
      </c>
      <c r="G20" s="129">
        <v>62.920207183723214</v>
      </c>
      <c r="H20" s="129">
        <v>62.367735070046933</v>
      </c>
      <c r="I20" s="129">
        <v>63.469319265567734</v>
      </c>
      <c r="J20" s="129"/>
      <c r="K20" s="129"/>
      <c r="L20" s="129"/>
      <c r="M20" s="60">
        <f t="shared" si="0"/>
        <v>3</v>
      </c>
      <c r="N20" s="61">
        <f t="shared" si="3"/>
        <v>55.57344909676516</v>
      </c>
      <c r="O20" s="61">
        <f t="shared" si="16"/>
        <v>68.591566460838479</v>
      </c>
      <c r="P20" s="129">
        <f t="shared" si="4"/>
        <v>75.04521783464233</v>
      </c>
      <c r="Q20" s="129">
        <f t="shared" si="5"/>
        <v>74.835675482107519</v>
      </c>
      <c r="R20" s="129">
        <f t="shared" si="6"/>
        <v>75.253592317576803</v>
      </c>
      <c r="S20" s="61">
        <f t="shared" si="7"/>
        <v>82.235252899633053</v>
      </c>
      <c r="T20" s="61">
        <f t="shared" si="1"/>
        <v>84.311332767402376</v>
      </c>
      <c r="U20" s="61">
        <f t="shared" si="17"/>
        <v>63.438284467341546</v>
      </c>
      <c r="V20" s="61"/>
      <c r="Y20" s="162" t="s">
        <v>48</v>
      </c>
      <c r="Z20" s="162" t="s">
        <v>160</v>
      </c>
      <c r="AA20" s="162" t="s">
        <v>201</v>
      </c>
      <c r="AB20" s="162">
        <f t="shared" si="21"/>
        <v>5</v>
      </c>
      <c r="AC20" s="165">
        <f t="shared" si="19"/>
        <v>55.57344909676516</v>
      </c>
      <c r="AD20" s="165">
        <f t="shared" si="20"/>
        <v>69.299963728690614</v>
      </c>
      <c r="AE20" s="162"/>
      <c r="AF20" s="162">
        <f t="shared" si="10"/>
        <v>5</v>
      </c>
      <c r="AG20" s="167" t="str">
        <f t="shared" si="11"/>
        <v>N/A</v>
      </c>
      <c r="AH20" s="165">
        <f t="shared" si="12"/>
        <v>61.053045628231061</v>
      </c>
      <c r="AI20" s="165">
        <f t="shared" si="13"/>
        <v>60.334297713967402</v>
      </c>
      <c r="AJ20" s="165">
        <f t="shared" si="14"/>
        <v>61.76702273375215</v>
      </c>
      <c r="AK20" s="167">
        <f t="shared" si="15"/>
        <v>3</v>
      </c>
    </row>
    <row r="21" spans="1:37" x14ac:dyDescent="0.2">
      <c r="A21" s="62" t="s">
        <v>44</v>
      </c>
      <c r="B21" s="62" t="s">
        <v>66</v>
      </c>
      <c r="C21" s="62" t="s">
        <v>200</v>
      </c>
      <c r="D21" s="62"/>
      <c r="E21" s="62">
        <f t="shared" si="2"/>
        <v>22</v>
      </c>
      <c r="F21" s="128" t="s">
        <v>79</v>
      </c>
      <c r="G21" s="129">
        <v>82.613079804091043</v>
      </c>
      <c r="H21" s="129">
        <v>81.973666498053262</v>
      </c>
      <c r="I21" s="129">
        <v>83.234451169852505</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4</v>
      </c>
      <c r="N21" s="61">
        <f t="shared" si="3"/>
        <v>55.57344909676516</v>
      </c>
      <c r="O21" s="61">
        <f t="shared" si="16"/>
        <v>68.591566460838479</v>
      </c>
      <c r="P21" s="129">
        <f t="shared" si="4"/>
        <v>75.04521783464233</v>
      </c>
      <c r="Q21" s="129">
        <f t="shared" si="5"/>
        <v>74.835675482107519</v>
      </c>
      <c r="R21" s="129">
        <f t="shared" si="6"/>
        <v>75.253592317576803</v>
      </c>
      <c r="S21" s="61">
        <f t="shared" si="7"/>
        <v>82.235252899633053</v>
      </c>
      <c r="T21" s="61">
        <f t="shared" si="1"/>
        <v>84.311332767402376</v>
      </c>
      <c r="U21" s="61">
        <f t="shared" si="17"/>
        <v>81.051472060885231</v>
      </c>
      <c r="V21" s="61"/>
      <c r="Y21" s="162" t="s">
        <v>52</v>
      </c>
      <c r="Z21" s="162" t="s">
        <v>72</v>
      </c>
      <c r="AA21" s="162" t="s">
        <v>201</v>
      </c>
      <c r="AB21" s="162">
        <f t="shared" si="21"/>
        <v>8</v>
      </c>
      <c r="AC21" s="165">
        <f t="shared" si="19"/>
        <v>55.57344909676516</v>
      </c>
      <c r="AD21" s="165">
        <f t="shared" si="20"/>
        <v>69.299963728690614</v>
      </c>
      <c r="AE21" s="162"/>
      <c r="AF21" s="162">
        <f t="shared" si="10"/>
        <v>8</v>
      </c>
      <c r="AG21" s="167" t="str">
        <f t="shared" si="11"/>
        <v>N/A</v>
      </c>
      <c r="AH21" s="165">
        <f t="shared" si="12"/>
        <v>69.032306877506244</v>
      </c>
      <c r="AI21" s="165">
        <f t="shared" si="13"/>
        <v>68.238625067331029</v>
      </c>
      <c r="AJ21" s="165">
        <f t="shared" si="14"/>
        <v>69.814928601474321</v>
      </c>
      <c r="AK21" s="167">
        <f t="shared" si="15"/>
        <v>3</v>
      </c>
    </row>
    <row r="22" spans="1:37" x14ac:dyDescent="0.2">
      <c r="A22" s="62" t="s">
        <v>45</v>
      </c>
      <c r="B22" s="62" t="s">
        <v>67</v>
      </c>
      <c r="C22" s="62" t="s">
        <v>163</v>
      </c>
      <c r="D22" s="62"/>
      <c r="E22" s="62">
        <f t="shared" si="2"/>
        <v>25</v>
      </c>
      <c r="F22" s="128" t="s">
        <v>79</v>
      </c>
      <c r="G22" s="129">
        <v>83.46723527395956</v>
      </c>
      <c r="H22" s="129">
        <v>83.01307773083947</v>
      </c>
      <c r="I22" s="129">
        <v>83.911603820838991</v>
      </c>
      <c r="J22" s="129"/>
      <c r="K22" s="129"/>
      <c r="L22" s="129"/>
      <c r="M22" s="60">
        <f t="shared" si="0"/>
        <v>4</v>
      </c>
      <c r="N22" s="61">
        <f t="shared" si="3"/>
        <v>55.57344909676516</v>
      </c>
      <c r="O22" s="61">
        <f t="shared" si="16"/>
        <v>68.591566460838479</v>
      </c>
      <c r="P22" s="129">
        <f t="shared" si="4"/>
        <v>75.04521783464233</v>
      </c>
      <c r="Q22" s="129">
        <f t="shared" si="5"/>
        <v>74.835675482107519</v>
      </c>
      <c r="R22" s="129">
        <f t="shared" si="6"/>
        <v>75.253592317576803</v>
      </c>
      <c r="S22" s="61">
        <f t="shared" si="7"/>
        <v>82.235252899633053</v>
      </c>
      <c r="T22" s="61">
        <f t="shared" si="1"/>
        <v>84.311332767402376</v>
      </c>
      <c r="U22" s="61">
        <f>VLOOKUP(C22,$C$43:$I$46,5,FALSE)</f>
        <v>82.609179828875824</v>
      </c>
      <c r="V22" s="61"/>
      <c r="Y22" s="162" t="s">
        <v>54</v>
      </c>
      <c r="Z22" s="162" t="s">
        <v>73</v>
      </c>
      <c r="AA22" s="162" t="s">
        <v>201</v>
      </c>
      <c r="AB22" s="162">
        <f t="shared" si="21"/>
        <v>1</v>
      </c>
      <c r="AC22" s="165">
        <f t="shared" si="19"/>
        <v>55.57344909676516</v>
      </c>
      <c r="AD22" s="165">
        <f t="shared" si="20"/>
        <v>69.299963728690614</v>
      </c>
      <c r="AE22" s="162"/>
      <c r="AF22" s="162">
        <f t="shared" si="10"/>
        <v>1</v>
      </c>
      <c r="AG22" s="167" t="str">
        <f t="shared" si="11"/>
        <v>N/A</v>
      </c>
      <c r="AH22" s="165">
        <f t="shared" si="12"/>
        <v>55.57344909676516</v>
      </c>
      <c r="AI22" s="165">
        <f t="shared" si="13"/>
        <v>54.996510969474976</v>
      </c>
      <c r="AJ22" s="165">
        <f t="shared" si="14"/>
        <v>56.148888323606357</v>
      </c>
      <c r="AK22" s="167">
        <f t="shared" si="15"/>
        <v>3</v>
      </c>
    </row>
    <row r="23" spans="1:37" x14ac:dyDescent="0.2">
      <c r="A23" s="62" t="s">
        <v>46</v>
      </c>
      <c r="B23" s="62" t="s">
        <v>68</v>
      </c>
      <c r="C23" s="62" t="s">
        <v>163</v>
      </c>
      <c r="D23" s="62"/>
      <c r="E23" s="62">
        <f t="shared" si="2"/>
        <v>24</v>
      </c>
      <c r="F23" s="128" t="s">
        <v>79</v>
      </c>
      <c r="G23" s="129">
        <v>82.708788935516282</v>
      </c>
      <c r="H23" s="129">
        <v>82.302147511875802</v>
      </c>
      <c r="I23" s="129">
        <v>83.108004671880067</v>
      </c>
      <c r="J23" s="129"/>
      <c r="K23" s="129"/>
      <c r="L23" s="129"/>
      <c r="M23" s="60">
        <f t="shared" si="0"/>
        <v>4</v>
      </c>
      <c r="N23" s="61">
        <f t="shared" si="3"/>
        <v>55.57344909676516</v>
      </c>
      <c r="O23" s="61">
        <f t="shared" si="16"/>
        <v>68.591566460838479</v>
      </c>
      <c r="P23" s="129">
        <f t="shared" si="4"/>
        <v>75.04521783464233</v>
      </c>
      <c r="Q23" s="129">
        <f t="shared" si="5"/>
        <v>74.835675482107519</v>
      </c>
      <c r="R23" s="129">
        <f t="shared" si="6"/>
        <v>75.253592317576803</v>
      </c>
      <c r="S23" s="61">
        <f t="shared" si="7"/>
        <v>82.235252899633053</v>
      </c>
      <c r="T23" s="61">
        <f t="shared" si="1"/>
        <v>84.311332767402376</v>
      </c>
      <c r="U23" s="61">
        <f t="shared" si="17"/>
        <v>82.609179828875824</v>
      </c>
      <c r="V23" s="61"/>
      <c r="Y23" s="163" t="s">
        <v>30</v>
      </c>
      <c r="Z23" s="163" t="s">
        <v>56</v>
      </c>
      <c r="AA23" s="163" t="s">
        <v>200</v>
      </c>
      <c r="AB23" s="163">
        <f>RANK(AH23,$AH$23:$AH$31,1)</f>
        <v>6</v>
      </c>
      <c r="AC23" s="166">
        <f>MIN($AH$23:$AH$31)</f>
        <v>77.157427208422448</v>
      </c>
      <c r="AD23" s="166">
        <f>MAX($AH$23:$AH$31)</f>
        <v>82.613079804091043</v>
      </c>
      <c r="AE23" s="163"/>
      <c r="AF23" s="163">
        <f t="shared" si="10"/>
        <v>15</v>
      </c>
      <c r="AG23" s="168" t="str">
        <f t="shared" si="11"/>
        <v>N/A</v>
      </c>
      <c r="AH23" s="166">
        <f t="shared" si="12"/>
        <v>81.130057257912284</v>
      </c>
      <c r="AI23" s="166">
        <f t="shared" si="13"/>
        <v>80.514256766397537</v>
      </c>
      <c r="AJ23" s="166">
        <f t="shared" si="14"/>
        <v>81.730812643347079</v>
      </c>
      <c r="AK23" s="168">
        <f t="shared" si="15"/>
        <v>4</v>
      </c>
    </row>
    <row r="24" spans="1:37" x14ac:dyDescent="0.2">
      <c r="A24" s="62" t="s">
        <v>47</v>
      </c>
      <c r="B24" s="62" t="s">
        <v>69</v>
      </c>
      <c r="C24" s="62" t="s">
        <v>163</v>
      </c>
      <c r="D24" s="62"/>
      <c r="E24" s="62">
        <f t="shared" si="2"/>
        <v>18</v>
      </c>
      <c r="F24" s="128" t="s">
        <v>79</v>
      </c>
      <c r="G24" s="129">
        <v>82.116591928251125</v>
      </c>
      <c r="H24" s="129">
        <v>81.088653926264982</v>
      </c>
      <c r="I24" s="129">
        <v>83.100300472826063</v>
      </c>
      <c r="J24" s="129"/>
      <c r="K24" s="129"/>
      <c r="L24" s="129"/>
      <c r="M24" s="60">
        <f t="shared" si="0"/>
        <v>4</v>
      </c>
      <c r="N24" s="61">
        <f t="shared" si="3"/>
        <v>55.57344909676516</v>
      </c>
      <c r="O24" s="61">
        <f t="shared" si="16"/>
        <v>68.591566460838479</v>
      </c>
      <c r="P24" s="129">
        <f t="shared" si="4"/>
        <v>75.04521783464233</v>
      </c>
      <c r="Q24" s="129">
        <f t="shared" si="5"/>
        <v>74.835675482107519</v>
      </c>
      <c r="R24" s="129">
        <f t="shared" si="6"/>
        <v>75.253592317576803</v>
      </c>
      <c r="S24" s="61">
        <f t="shared" si="7"/>
        <v>82.235252899633053</v>
      </c>
      <c r="T24" s="61">
        <f t="shared" si="1"/>
        <v>84.311332767402376</v>
      </c>
      <c r="U24" s="61">
        <f t="shared" si="17"/>
        <v>82.609179828875824</v>
      </c>
      <c r="V24" s="61"/>
      <c r="Y24" s="163" t="s">
        <v>31</v>
      </c>
      <c r="Z24" s="163" t="s">
        <v>57</v>
      </c>
      <c r="AA24" s="163" t="s">
        <v>200</v>
      </c>
      <c r="AB24" s="163">
        <f t="shared" ref="AB24:AB31" si="22">RANK(AH24,$AH$23:$AH$31,1)</f>
        <v>4</v>
      </c>
      <c r="AC24" s="166">
        <f t="shared" ref="AC24:AC31" si="23">MIN($AH$23:$AH$31)</f>
        <v>77.157427208422448</v>
      </c>
      <c r="AD24" s="166">
        <f t="shared" ref="AD24:AD31" si="24">MAX($AH$23:$AH$31)</f>
        <v>82.613079804091043</v>
      </c>
      <c r="AE24" s="163"/>
      <c r="AF24" s="163">
        <f t="shared" si="10"/>
        <v>13</v>
      </c>
      <c r="AG24" s="168" t="str">
        <f t="shared" si="11"/>
        <v>N/A</v>
      </c>
      <c r="AH24" s="166">
        <f t="shared" si="12"/>
        <v>81.077214196704674</v>
      </c>
      <c r="AI24" s="166">
        <f t="shared" si="13"/>
        <v>80.705678537166406</v>
      </c>
      <c r="AJ24" s="166">
        <f t="shared" si="14"/>
        <v>81.443240498389386</v>
      </c>
      <c r="AK24" s="168">
        <f t="shared" si="15"/>
        <v>4</v>
      </c>
    </row>
    <row r="25" spans="1:37" x14ac:dyDescent="0.2">
      <c r="A25" s="62" t="s">
        <v>48</v>
      </c>
      <c r="B25" s="62" t="s">
        <v>160</v>
      </c>
      <c r="C25" s="62" t="s">
        <v>201</v>
      </c>
      <c r="D25" s="62"/>
      <c r="E25" s="62">
        <f t="shared" si="2"/>
        <v>5</v>
      </c>
      <c r="F25" s="128" t="s">
        <v>79</v>
      </c>
      <c r="G25" s="129">
        <v>61.053045628231061</v>
      </c>
      <c r="H25" s="129">
        <v>60.334297713967402</v>
      </c>
      <c r="I25" s="129">
        <v>61.76702273375215</v>
      </c>
      <c r="J25" s="129"/>
      <c r="K25" s="129"/>
      <c r="L25" s="129"/>
      <c r="M25" s="60">
        <f t="shared" si="0"/>
        <v>3</v>
      </c>
      <c r="N25" s="61">
        <f t="shared" si="3"/>
        <v>55.57344909676516</v>
      </c>
      <c r="O25" s="61">
        <f t="shared" si="16"/>
        <v>68.591566460838479</v>
      </c>
      <c r="P25" s="129">
        <f t="shared" si="4"/>
        <v>75.04521783464233</v>
      </c>
      <c r="Q25" s="129">
        <f t="shared" si="5"/>
        <v>74.835675482107519</v>
      </c>
      <c r="R25" s="129">
        <f t="shared" si="6"/>
        <v>75.253592317576803</v>
      </c>
      <c r="S25" s="61">
        <f t="shared" si="7"/>
        <v>82.235252899633053</v>
      </c>
      <c r="T25" s="61">
        <f t="shared" si="1"/>
        <v>84.311332767402376</v>
      </c>
      <c r="U25" s="61">
        <f t="shared" si="17"/>
        <v>63.438284467341546</v>
      </c>
      <c r="V25" s="61"/>
      <c r="Y25" s="163" t="s">
        <v>34</v>
      </c>
      <c r="Z25" s="163" t="s">
        <v>59</v>
      </c>
      <c r="AA25" s="163" t="s">
        <v>200</v>
      </c>
      <c r="AB25" s="163">
        <f t="shared" si="22"/>
        <v>5</v>
      </c>
      <c r="AC25" s="166">
        <f t="shared" si="23"/>
        <v>77.157427208422448</v>
      </c>
      <c r="AD25" s="166">
        <f t="shared" si="24"/>
        <v>82.613079804091043</v>
      </c>
      <c r="AE25" s="163"/>
      <c r="AF25" s="163">
        <f t="shared" si="10"/>
        <v>14</v>
      </c>
      <c r="AG25" s="168" t="str">
        <f t="shared" si="11"/>
        <v>N/A</v>
      </c>
      <c r="AH25" s="166">
        <f t="shared" si="12"/>
        <v>81.129509448368012</v>
      </c>
      <c r="AI25" s="166">
        <f t="shared" si="13"/>
        <v>80.752069600100228</v>
      </c>
      <c r="AJ25" s="166">
        <f t="shared" si="14"/>
        <v>81.501243447749445</v>
      </c>
      <c r="AK25" s="168">
        <f t="shared" si="15"/>
        <v>4</v>
      </c>
    </row>
    <row r="26" spans="1:37" x14ac:dyDescent="0.2">
      <c r="A26" s="62" t="s">
        <v>49</v>
      </c>
      <c r="B26" s="62" t="s">
        <v>70</v>
      </c>
      <c r="C26" s="62" t="s">
        <v>200</v>
      </c>
      <c r="D26" s="62"/>
      <c r="E26" s="62">
        <f t="shared" si="2"/>
        <v>10</v>
      </c>
      <c r="F26" s="128" t="s">
        <v>79</v>
      </c>
      <c r="G26" s="129">
        <v>77.157427208422448</v>
      </c>
      <c r="H26" s="129">
        <v>76.68204922624345</v>
      </c>
      <c r="I26" s="129">
        <v>77.625941498875633</v>
      </c>
      <c r="J26" s="129"/>
      <c r="K26" s="129"/>
      <c r="L26" s="129"/>
      <c r="M26" s="60">
        <f t="shared" si="0"/>
        <v>4</v>
      </c>
      <c r="N26" s="61">
        <f t="shared" si="3"/>
        <v>55.57344909676516</v>
      </c>
      <c r="O26" s="61">
        <f t="shared" si="16"/>
        <v>68.591566460838479</v>
      </c>
      <c r="P26" s="129">
        <f t="shared" si="4"/>
        <v>75.04521783464233</v>
      </c>
      <c r="Q26" s="129">
        <f t="shared" si="5"/>
        <v>74.835675482107519</v>
      </c>
      <c r="R26" s="129">
        <f t="shared" si="6"/>
        <v>75.253592317576803</v>
      </c>
      <c r="S26" s="61">
        <f t="shared" si="7"/>
        <v>82.235252899633053</v>
      </c>
      <c r="T26" s="61">
        <f t="shared" si="1"/>
        <v>84.311332767402376</v>
      </c>
      <c r="U26" s="61">
        <f t="shared" si="17"/>
        <v>81.051472060885231</v>
      </c>
      <c r="V26" s="61"/>
      <c r="Y26" s="163" t="s">
        <v>39</v>
      </c>
      <c r="Z26" s="163" t="s">
        <v>158</v>
      </c>
      <c r="AA26" s="163" t="s">
        <v>200</v>
      </c>
      <c r="AB26" s="163">
        <f t="shared" si="22"/>
        <v>7</v>
      </c>
      <c r="AC26" s="166">
        <f t="shared" si="23"/>
        <v>77.157427208422448</v>
      </c>
      <c r="AD26" s="166">
        <f t="shared" si="24"/>
        <v>82.613079804091043</v>
      </c>
      <c r="AE26" s="163"/>
      <c r="AF26" s="163">
        <f t="shared" si="10"/>
        <v>16</v>
      </c>
      <c r="AG26" s="168" t="str">
        <f t="shared" si="11"/>
        <v>N/A</v>
      </c>
      <c r="AH26" s="166">
        <f t="shared" si="12"/>
        <v>81.638865515022516</v>
      </c>
      <c r="AI26" s="166">
        <f t="shared" si="13"/>
        <v>81.258358209483035</v>
      </c>
      <c r="AJ26" s="166">
        <f t="shared" si="14"/>
        <v>82.013357483969642</v>
      </c>
      <c r="AK26" s="168">
        <f t="shared" si="15"/>
        <v>4</v>
      </c>
    </row>
    <row r="27" spans="1:37" x14ac:dyDescent="0.2">
      <c r="A27" s="62" t="s">
        <v>50</v>
      </c>
      <c r="B27" s="62" t="s">
        <v>161</v>
      </c>
      <c r="C27" s="62" t="s">
        <v>163</v>
      </c>
      <c r="D27" s="62"/>
      <c r="E27" s="62">
        <f t="shared" si="2"/>
        <v>26</v>
      </c>
      <c r="F27" s="128" t="s">
        <v>79</v>
      </c>
      <c r="G27" s="129">
        <v>84.311332767402376</v>
      </c>
      <c r="H27" s="129">
        <v>83.7851268863634</v>
      </c>
      <c r="I27" s="129">
        <v>84.823555338408013</v>
      </c>
      <c r="J27" s="129"/>
      <c r="K27" s="129"/>
      <c r="L27" s="129"/>
      <c r="M27" s="60">
        <f t="shared" si="0"/>
        <v>4</v>
      </c>
      <c r="N27" s="61">
        <f t="shared" si="3"/>
        <v>55.57344909676516</v>
      </c>
      <c r="O27" s="61">
        <f t="shared" si="16"/>
        <v>68.591566460838479</v>
      </c>
      <c r="P27" s="129">
        <f t="shared" si="4"/>
        <v>75.04521783464233</v>
      </c>
      <c r="Q27" s="129">
        <f t="shared" si="5"/>
        <v>74.835675482107519</v>
      </c>
      <c r="R27" s="129">
        <f t="shared" si="6"/>
        <v>75.253592317576803</v>
      </c>
      <c r="S27" s="61">
        <f t="shared" si="7"/>
        <v>82.235252899633053</v>
      </c>
      <c r="T27" s="61">
        <f t="shared" si="1"/>
        <v>84.311332767402376</v>
      </c>
      <c r="U27" s="61">
        <f t="shared" si="17"/>
        <v>82.609179828875824</v>
      </c>
      <c r="V27" s="61"/>
      <c r="Y27" s="163" t="s">
        <v>40</v>
      </c>
      <c r="Z27" s="163" t="s">
        <v>63</v>
      </c>
      <c r="AA27" s="163" t="s">
        <v>200</v>
      </c>
      <c r="AB27" s="163">
        <f t="shared" si="22"/>
        <v>8</v>
      </c>
      <c r="AC27" s="166">
        <f t="shared" si="23"/>
        <v>77.157427208422448</v>
      </c>
      <c r="AD27" s="166">
        <f t="shared" si="24"/>
        <v>82.613079804091043</v>
      </c>
      <c r="AE27" s="163"/>
      <c r="AF27" s="163">
        <f t="shared" si="10"/>
        <v>17</v>
      </c>
      <c r="AG27" s="168" t="str">
        <f t="shared" si="11"/>
        <v>N/A</v>
      </c>
      <c r="AH27" s="166">
        <f t="shared" si="12"/>
        <v>81.944444444444443</v>
      </c>
      <c r="AI27" s="166">
        <f t="shared" si="13"/>
        <v>81.333476585721954</v>
      </c>
      <c r="AJ27" s="166">
        <f t="shared" si="14"/>
        <v>82.539707860783565</v>
      </c>
      <c r="AK27" s="168">
        <f t="shared" si="15"/>
        <v>4</v>
      </c>
    </row>
    <row r="28" spans="1:37" x14ac:dyDescent="0.2">
      <c r="A28" s="62" t="s">
        <v>51</v>
      </c>
      <c r="B28" s="62" t="s">
        <v>71</v>
      </c>
      <c r="C28" s="62" t="s">
        <v>200</v>
      </c>
      <c r="D28" s="62"/>
      <c r="E28" s="62">
        <f t="shared" si="2"/>
        <v>11</v>
      </c>
      <c r="F28" s="128" t="s">
        <v>79</v>
      </c>
      <c r="G28" s="129">
        <v>79.127365666646369</v>
      </c>
      <c r="H28" s="129">
        <v>78.499235972481685</v>
      </c>
      <c r="I28" s="129">
        <v>79.741880631236171</v>
      </c>
      <c r="J28" s="129"/>
      <c r="K28" s="129"/>
      <c r="L28" s="129"/>
      <c r="M28" s="60">
        <f t="shared" si="0"/>
        <v>4</v>
      </c>
      <c r="N28" s="61">
        <f t="shared" si="3"/>
        <v>55.57344909676516</v>
      </c>
      <c r="O28" s="61">
        <f t="shared" si="16"/>
        <v>68.591566460838479</v>
      </c>
      <c r="P28" s="129">
        <f t="shared" si="4"/>
        <v>75.04521783464233</v>
      </c>
      <c r="Q28" s="129">
        <f t="shared" si="5"/>
        <v>74.835675482107519</v>
      </c>
      <c r="R28" s="129">
        <f t="shared" si="6"/>
        <v>75.253592317576803</v>
      </c>
      <c r="S28" s="61">
        <f t="shared" si="7"/>
        <v>82.235252899633053</v>
      </c>
      <c r="T28" s="61">
        <f t="shared" si="1"/>
        <v>84.311332767402376</v>
      </c>
      <c r="U28" s="61">
        <f t="shared" si="17"/>
        <v>81.051472060885231</v>
      </c>
      <c r="V28" s="61"/>
      <c r="Y28" s="163" t="s">
        <v>42</v>
      </c>
      <c r="Z28" s="163" t="s">
        <v>65</v>
      </c>
      <c r="AA28" s="163" t="s">
        <v>200</v>
      </c>
      <c r="AB28" s="163">
        <f t="shared" si="22"/>
        <v>3</v>
      </c>
      <c r="AC28" s="166">
        <f t="shared" si="23"/>
        <v>77.157427208422448</v>
      </c>
      <c r="AD28" s="166">
        <f t="shared" si="24"/>
        <v>82.613079804091043</v>
      </c>
      <c r="AE28" s="163"/>
      <c r="AF28" s="163">
        <f t="shared" si="10"/>
        <v>12</v>
      </c>
      <c r="AG28" s="168" t="str">
        <f t="shared" si="11"/>
        <v>N/A</v>
      </c>
      <c r="AH28" s="166">
        <f t="shared" si="12"/>
        <v>80.613985218874362</v>
      </c>
      <c r="AI28" s="166">
        <f t="shared" si="13"/>
        <v>79.906223221221822</v>
      </c>
      <c r="AJ28" s="166">
        <f t="shared" si="14"/>
        <v>81.302651027954724</v>
      </c>
      <c r="AK28" s="168">
        <f t="shared" si="15"/>
        <v>4</v>
      </c>
    </row>
    <row r="29" spans="1:37" x14ac:dyDescent="0.2">
      <c r="A29" s="62" t="s">
        <v>52</v>
      </c>
      <c r="B29" s="62" t="s">
        <v>72</v>
      </c>
      <c r="C29" s="62" t="s">
        <v>201</v>
      </c>
      <c r="D29" s="62"/>
      <c r="E29" s="62">
        <f t="shared" si="2"/>
        <v>8</v>
      </c>
      <c r="F29" s="128" t="s">
        <v>79</v>
      </c>
      <c r="G29" s="129">
        <v>69.032306877506244</v>
      </c>
      <c r="H29" s="129">
        <v>68.238625067331029</v>
      </c>
      <c r="I29" s="129">
        <v>69.814928601474321</v>
      </c>
      <c r="J29" s="129"/>
      <c r="K29" s="129"/>
      <c r="L29" s="129"/>
      <c r="M29" s="60">
        <f t="shared" si="0"/>
        <v>3</v>
      </c>
      <c r="N29" s="61">
        <f t="shared" si="3"/>
        <v>55.57344909676516</v>
      </c>
      <c r="O29" s="61">
        <f t="shared" si="16"/>
        <v>68.591566460838479</v>
      </c>
      <c r="P29" s="129">
        <f t="shared" si="4"/>
        <v>75.04521783464233</v>
      </c>
      <c r="Q29" s="129">
        <f t="shared" si="5"/>
        <v>74.835675482107519</v>
      </c>
      <c r="R29" s="129">
        <f t="shared" si="6"/>
        <v>75.253592317576803</v>
      </c>
      <c r="S29" s="61">
        <f t="shared" si="7"/>
        <v>82.235252899633053</v>
      </c>
      <c r="T29" s="61">
        <f t="shared" si="1"/>
        <v>84.311332767402376</v>
      </c>
      <c r="U29" s="61">
        <f t="shared" si="17"/>
        <v>63.438284467341546</v>
      </c>
      <c r="V29" s="61"/>
      <c r="Y29" s="163" t="s">
        <v>44</v>
      </c>
      <c r="Z29" s="163" t="s">
        <v>66</v>
      </c>
      <c r="AA29" s="163" t="s">
        <v>200</v>
      </c>
      <c r="AB29" s="163">
        <f t="shared" si="22"/>
        <v>9</v>
      </c>
      <c r="AC29" s="166">
        <f t="shared" si="23"/>
        <v>77.157427208422448</v>
      </c>
      <c r="AD29" s="166">
        <f t="shared" si="24"/>
        <v>82.613079804091043</v>
      </c>
      <c r="AE29" s="163"/>
      <c r="AF29" s="163">
        <f t="shared" si="10"/>
        <v>22</v>
      </c>
      <c r="AG29" s="168" t="str">
        <f t="shared" si="11"/>
        <v>N/A</v>
      </c>
      <c r="AH29" s="166">
        <f t="shared" si="12"/>
        <v>82.613079804091043</v>
      </c>
      <c r="AI29" s="166">
        <f t="shared" si="13"/>
        <v>81.973666498053262</v>
      </c>
      <c r="AJ29" s="166">
        <f t="shared" si="14"/>
        <v>83.234451169852505</v>
      </c>
      <c r="AK29" s="168">
        <f t="shared" si="15"/>
        <v>4</v>
      </c>
    </row>
    <row r="30" spans="1:37" x14ac:dyDescent="0.2">
      <c r="A30" s="62" t="s">
        <v>53</v>
      </c>
      <c r="B30" s="62" t="s">
        <v>162</v>
      </c>
      <c r="C30" s="62" t="s">
        <v>163</v>
      </c>
      <c r="D30" s="62"/>
      <c r="E30" s="62">
        <f t="shared" si="2"/>
        <v>20</v>
      </c>
      <c r="F30" s="128" t="s">
        <v>79</v>
      </c>
      <c r="G30" s="129">
        <v>82.235252899633053</v>
      </c>
      <c r="H30" s="129">
        <v>81.911286478345829</v>
      </c>
      <c r="I30" s="129">
        <v>82.554652869050685</v>
      </c>
      <c r="J30" s="129"/>
      <c r="K30" s="129"/>
      <c r="L30" s="129"/>
      <c r="M30" s="60">
        <f t="shared" si="0"/>
        <v>4</v>
      </c>
      <c r="N30" s="61">
        <f t="shared" si="3"/>
        <v>55.57344909676516</v>
      </c>
      <c r="O30" s="61">
        <f t="shared" si="16"/>
        <v>68.591566460838479</v>
      </c>
      <c r="P30" s="129">
        <f>$G$32</f>
        <v>75.04521783464233</v>
      </c>
      <c r="Q30" s="129">
        <f t="shared" si="5"/>
        <v>74.835675482107519</v>
      </c>
      <c r="R30" s="129">
        <f t="shared" si="6"/>
        <v>75.253592317576803</v>
      </c>
      <c r="S30" s="61">
        <f t="shared" si="7"/>
        <v>82.235252899633053</v>
      </c>
      <c r="T30" s="61">
        <f t="shared" si="1"/>
        <v>84.311332767402376</v>
      </c>
      <c r="U30" s="61">
        <f t="shared" si="17"/>
        <v>82.609179828875824</v>
      </c>
      <c r="V30" s="61"/>
      <c r="Y30" s="163" t="s">
        <v>49</v>
      </c>
      <c r="Z30" s="163" t="s">
        <v>70</v>
      </c>
      <c r="AA30" s="163" t="s">
        <v>200</v>
      </c>
      <c r="AB30" s="163">
        <f t="shared" si="22"/>
        <v>1</v>
      </c>
      <c r="AC30" s="166">
        <f t="shared" si="23"/>
        <v>77.157427208422448</v>
      </c>
      <c r="AD30" s="166">
        <f t="shared" si="24"/>
        <v>82.613079804091043</v>
      </c>
      <c r="AE30" s="163"/>
      <c r="AF30" s="163">
        <f t="shared" si="10"/>
        <v>10</v>
      </c>
      <c r="AG30" s="168" t="str">
        <f t="shared" si="11"/>
        <v>N/A</v>
      </c>
      <c r="AH30" s="166">
        <f t="shared" si="12"/>
        <v>77.157427208422448</v>
      </c>
      <c r="AI30" s="166">
        <f t="shared" si="13"/>
        <v>76.68204922624345</v>
      </c>
      <c r="AJ30" s="166">
        <f t="shared" si="14"/>
        <v>77.625941498875633</v>
      </c>
      <c r="AK30" s="168">
        <f t="shared" si="15"/>
        <v>4</v>
      </c>
    </row>
    <row r="31" spans="1:37" x14ac:dyDescent="0.2">
      <c r="A31" s="62" t="s">
        <v>54</v>
      </c>
      <c r="B31" s="62" t="s">
        <v>73</v>
      </c>
      <c r="C31" s="62" t="s">
        <v>201</v>
      </c>
      <c r="D31" s="62"/>
      <c r="E31" s="62">
        <f t="shared" si="2"/>
        <v>1</v>
      </c>
      <c r="F31" s="128" t="s">
        <v>79</v>
      </c>
      <c r="G31" s="129">
        <v>55.57344909676516</v>
      </c>
      <c r="H31" s="129">
        <v>54.996510969474976</v>
      </c>
      <c r="I31" s="129">
        <v>56.148888323606357</v>
      </c>
      <c r="J31" s="129"/>
      <c r="K31" s="129"/>
      <c r="L31" s="129"/>
      <c r="M31" s="60">
        <f t="shared" si="0"/>
        <v>3</v>
      </c>
      <c r="N31" s="61">
        <f t="shared" si="3"/>
        <v>55.57344909676516</v>
      </c>
      <c r="O31" s="61">
        <f t="shared" si="16"/>
        <v>68.591566460838479</v>
      </c>
      <c r="P31" s="129">
        <f t="shared" si="4"/>
        <v>75.04521783464233</v>
      </c>
      <c r="Q31" s="129">
        <f t="shared" si="5"/>
        <v>74.835675482107519</v>
      </c>
      <c r="R31" s="129">
        <f t="shared" si="6"/>
        <v>75.253592317576803</v>
      </c>
      <c r="S31" s="61">
        <f t="shared" si="7"/>
        <v>82.235252899633053</v>
      </c>
      <c r="T31" s="61">
        <f t="shared" si="1"/>
        <v>84.311332767402376</v>
      </c>
      <c r="U31" s="61">
        <f t="shared" si="17"/>
        <v>63.438284467341546</v>
      </c>
      <c r="V31" s="61"/>
      <c r="Y31" s="163" t="s">
        <v>51</v>
      </c>
      <c r="Z31" s="163" t="s">
        <v>71</v>
      </c>
      <c r="AA31" s="163" t="s">
        <v>200</v>
      </c>
      <c r="AB31" s="163">
        <f t="shared" si="22"/>
        <v>2</v>
      </c>
      <c r="AC31" s="166">
        <f t="shared" si="23"/>
        <v>77.157427208422448</v>
      </c>
      <c r="AD31" s="166">
        <f t="shared" si="24"/>
        <v>82.613079804091043</v>
      </c>
      <c r="AE31" s="163"/>
      <c r="AF31" s="163">
        <f t="shared" si="10"/>
        <v>11</v>
      </c>
      <c r="AG31" s="168" t="str">
        <f t="shared" si="11"/>
        <v>N/A</v>
      </c>
      <c r="AH31" s="166">
        <f t="shared" si="12"/>
        <v>79.127365666646369</v>
      </c>
      <c r="AI31" s="166">
        <f t="shared" si="13"/>
        <v>78.499235972481685</v>
      </c>
      <c r="AJ31" s="166">
        <f t="shared" si="14"/>
        <v>79.741880631236171</v>
      </c>
      <c r="AK31" s="168">
        <f t="shared" si="15"/>
        <v>4</v>
      </c>
    </row>
    <row r="32" spans="1:37" x14ac:dyDescent="0.2">
      <c r="A32" s="62"/>
      <c r="B32" s="62" t="s">
        <v>171</v>
      </c>
      <c r="C32" s="62"/>
      <c r="D32" s="62"/>
      <c r="E32" s="62"/>
      <c r="F32" s="128">
        <v>123643</v>
      </c>
      <c r="G32" s="129">
        <v>75.04521783464233</v>
      </c>
      <c r="H32" s="129">
        <v>74.835675482107519</v>
      </c>
      <c r="I32" s="129">
        <v>75.253592317576803</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44509</v>
      </c>
      <c r="G44" s="129">
        <v>82.609179828875824</v>
      </c>
      <c r="H44" s="129">
        <v>82.286811911816258</v>
      </c>
      <c r="I44" s="129">
        <v>82.926898146244724</v>
      </c>
      <c r="J44" s="129">
        <f>VLOOKUP($C44,$AA$6:$AD$13,3,FALSE)</f>
        <v>82.116591928251125</v>
      </c>
      <c r="K44" s="129">
        <f>VLOOKUP($C44,$AA$6:$AD$13,4,FALSE)</f>
        <v>84.311332767402376</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4</v>
      </c>
      <c r="N44" s="61">
        <f>MIN($G$6:$G$31)</f>
        <v>55.57344909676516</v>
      </c>
      <c r="O44" s="61">
        <f>VLOOKUP(7,$E$5:$G$39,3,FALSE)</f>
        <v>68.591566460838479</v>
      </c>
      <c r="P44" s="129">
        <f>$G$32</f>
        <v>75.04521783464233</v>
      </c>
      <c r="Q44" s="129">
        <f>$H$32</f>
        <v>74.835675482107519</v>
      </c>
      <c r="R44" s="129">
        <f>$I$32</f>
        <v>75.253592317576803</v>
      </c>
      <c r="S44" s="61">
        <f>VLOOKUP(20,$E$5:$G$39,3,FALSE)</f>
        <v>82.235252899633053</v>
      </c>
      <c r="T44" s="61">
        <f>MAX($G$6:$G$31)</f>
        <v>84.311332767402376</v>
      </c>
    </row>
    <row r="45" spans="1:22" x14ac:dyDescent="0.2">
      <c r="C45" s="62" t="s">
        <v>201</v>
      </c>
      <c r="D45" s="62"/>
      <c r="E45" s="62"/>
      <c r="F45" s="128">
        <v>38665</v>
      </c>
      <c r="G45" s="129">
        <v>63.438284467341546</v>
      </c>
      <c r="H45" s="129">
        <v>63.055105075760629</v>
      </c>
      <c r="I45" s="129">
        <v>63.819770004619144</v>
      </c>
      <c r="J45" s="129">
        <f>VLOOKUP($C45,$AA$14:$AD$22,3,FALSE)</f>
        <v>55.57344909676516</v>
      </c>
      <c r="K45" s="129">
        <f>VLOOKUP($C45,$AA$14:$AD$22,4,FALSE)</f>
        <v>69.299963728690614</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3</v>
      </c>
      <c r="N45" s="61">
        <f>MIN($G$6:$G$31)</f>
        <v>55.57344909676516</v>
      </c>
      <c r="O45" s="61">
        <f>VLOOKUP(7,$E$5:$G$39,3,FALSE)</f>
        <v>68.591566460838479</v>
      </c>
      <c r="P45" s="129">
        <f>$G$32</f>
        <v>75.04521783464233</v>
      </c>
      <c r="Q45" s="129">
        <f t="shared" ref="Q45:Q46" si="25">$H$32</f>
        <v>74.835675482107519</v>
      </c>
      <c r="R45" s="129">
        <f t="shared" ref="R45:R46" si="26">$I$32</f>
        <v>75.253592317576803</v>
      </c>
      <c r="S45" s="61">
        <f>VLOOKUP(20,$E$5:$G$39,3,FALSE)</f>
        <v>82.235252899633053</v>
      </c>
      <c r="T45" s="61">
        <f t="shared" ref="T45:T46" si="27">MAX($G$6:$G$31)</f>
        <v>84.311332767402376</v>
      </c>
    </row>
    <row r="46" spans="1:22" x14ac:dyDescent="0.2">
      <c r="C46" s="62" t="s">
        <v>200</v>
      </c>
      <c r="D46" s="62"/>
      <c r="E46" s="62"/>
      <c r="F46" s="128">
        <v>40469</v>
      </c>
      <c r="G46" s="129">
        <v>81.051472060885231</v>
      </c>
      <c r="H46" s="129">
        <v>80.705343867447908</v>
      </c>
      <c r="I46" s="129">
        <v>81.392822614639385</v>
      </c>
      <c r="J46" s="129">
        <f>VLOOKUP($C46,$AA$23:$AD$31,3,FALSE)</f>
        <v>77.157427208422448</v>
      </c>
      <c r="K46" s="129">
        <f>VLOOKUP($C46,$AA$23:$AD$31,4,FALSE)</f>
        <v>82.613079804091043</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4</v>
      </c>
      <c r="N46" s="61">
        <f>MIN($G$6:$G$31)</f>
        <v>55.57344909676516</v>
      </c>
      <c r="O46" s="61">
        <f>VLOOKUP(7,$E$5:$G$39,3,FALSE)</f>
        <v>68.591566460838479</v>
      </c>
      <c r="P46" s="129">
        <f t="shared" ref="P46" si="28">$G$32</f>
        <v>75.04521783464233</v>
      </c>
      <c r="Q46" s="129">
        <f t="shared" si="25"/>
        <v>74.835675482107519</v>
      </c>
      <c r="R46" s="129">
        <f t="shared" si="26"/>
        <v>75.253592317576803</v>
      </c>
      <c r="S46" s="61">
        <f>VLOOKUP(20,$E$5:$G$39,3,FALSE)</f>
        <v>82.235252899633053</v>
      </c>
      <c r="T46" s="61">
        <f t="shared" si="27"/>
        <v>84.311332767402376</v>
      </c>
    </row>
    <row r="48" spans="1:22" x14ac:dyDescent="0.2">
      <c r="D48" s="187"/>
      <c r="E48" s="187"/>
      <c r="F48" s="187"/>
      <c r="G48" s="187"/>
      <c r="H48" s="187"/>
      <c r="I48" s="187"/>
      <c r="J48" s="187"/>
      <c r="K48" s="187"/>
    </row>
    <row r="52" spans="2:20" x14ac:dyDescent="0.2">
      <c r="B52" s="169"/>
      <c r="F52" s="24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K2:N2" xr:uid="{00000000-0002-0000-0C00-000000000000}">
      <formula1>"High = Worst,Low = Worst"</formula1>
    </dataValidation>
    <dataValidation type="list" allowBlank="1" showInputMessage="1" showErrorMessage="1" sqref="C2:D2" xr:uid="{00000000-0002-0000-0C00-000001000000}">
      <formula1>"Better / Worse,Higher / Lower,Significance not measured"</formula1>
    </dataValidation>
  </dataValidations>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theme="6" tint="0.39997558519241921"/>
  </sheetPr>
  <dimension ref="A1:AK55"/>
  <sheetViews>
    <sheetView workbookViewId="0">
      <selection activeCell="G44" activeCellId="1" sqref="C44:C46 G44:I46"/>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8" style="21" customWidth="1"/>
    <col min="6" max="6" width="6.109375" style="21" customWidth="1"/>
    <col min="7" max="7" width="5.6640625" style="21" customWidth="1"/>
    <col min="8" max="9" width="5.1093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5" style="21" customWidth="1"/>
    <col min="17" max="18" width="4.6640625" style="21" customWidth="1"/>
    <col min="19" max="19" width="7" style="21" bestFit="1" customWidth="1"/>
    <col min="20" max="20" width="4.88671875" style="21" bestFit="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137</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272</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20</v>
      </c>
      <c r="F6" s="128" t="s">
        <v>79</v>
      </c>
      <c r="G6" s="129">
        <v>82.086724743066711</v>
      </c>
      <c r="H6" s="129">
        <v>79.249220796861678</v>
      </c>
      <c r="I6" s="129">
        <v>84.924228689271743</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5</v>
      </c>
      <c r="N6" s="61">
        <f>MIN($G$6:$G$32)</f>
        <v>74.20453444581581</v>
      </c>
      <c r="O6" s="61">
        <f>VLOOKUP(7,$E$5:$G$39,3,FALSE)</f>
        <v>79.421799056302632</v>
      </c>
      <c r="P6" s="129">
        <f>$G$32</f>
        <v>79.996892875729387</v>
      </c>
      <c r="Q6" s="129">
        <f>$H$32</f>
        <v>79.579790410715418</v>
      </c>
      <c r="R6" s="129">
        <f>$I$32</f>
        <v>80.413995340743355</v>
      </c>
      <c r="S6" s="61">
        <f>VLOOKUP(19,$E$5:$G$39,3,FALSE)</f>
        <v>82.037535796980265</v>
      </c>
      <c r="T6" s="61">
        <f t="shared" ref="T6:T31" si="1">MAX($G$6:$G$31)</f>
        <v>89.394808474842165</v>
      </c>
      <c r="U6" s="61">
        <f>VLOOKUP(C6,$C$43:$I$46,5,FALSE)</f>
        <v>80.234429095926643</v>
      </c>
      <c r="V6" s="61"/>
      <c r="Y6" s="159" t="s">
        <v>33</v>
      </c>
      <c r="Z6" s="159" t="s">
        <v>58</v>
      </c>
      <c r="AA6" s="159" t="s">
        <v>163</v>
      </c>
      <c r="AB6" s="159">
        <f>RANK(AH6,$AH$6:$AH$13,1)</f>
        <v>1</v>
      </c>
      <c r="AC6" s="164">
        <f>MIN($AH$6:$AH$13)</f>
        <v>77.57982825044121</v>
      </c>
      <c r="AD6" s="164">
        <f>MAX($AH$6:$AH$13)</f>
        <v>82.220631076515573</v>
      </c>
      <c r="AE6" s="159"/>
      <c r="AF6" s="159">
        <f>VLOOKUP($Y6,$A$6:$I$31,5,FALSE)</f>
        <v>3</v>
      </c>
      <c r="AG6" s="160" t="str">
        <f>VLOOKUP($Y6,$A$6:$I$31,6,FALSE)</f>
        <v>N/A</v>
      </c>
      <c r="AH6" s="161">
        <f>VLOOKUP($Y6,$A$6:$I$31,7,FALSE)</f>
        <v>77.57982825044121</v>
      </c>
      <c r="AI6" s="161">
        <f>VLOOKUP($Y6,$A$6:$I$31,8,FALSE)</f>
        <v>75.602471562106061</v>
      </c>
      <c r="AJ6" s="161">
        <f>VLOOKUP($Y6,$A$6:$I$31,9,FALSE)</f>
        <v>79.557184938776359</v>
      </c>
      <c r="AK6" s="160">
        <f>VLOOKUP($Y6,$A$6:$M$31,13,FALSE)</f>
        <v>1</v>
      </c>
    </row>
    <row r="7" spans="1:37" x14ac:dyDescent="0.2">
      <c r="A7" s="62" t="s">
        <v>30</v>
      </c>
      <c r="B7" s="62" t="s">
        <v>56</v>
      </c>
      <c r="C7" s="62" t="s">
        <v>200</v>
      </c>
      <c r="D7" s="62"/>
      <c r="E7" s="62">
        <f t="shared" ref="E7:E31" si="2">RANK(G7,$G$6:$G$31,1)</f>
        <v>4</v>
      </c>
      <c r="F7" s="128" t="s">
        <v>79</v>
      </c>
      <c r="G7" s="129">
        <v>78.124457190006751</v>
      </c>
      <c r="H7" s="129">
        <v>75.987162856612386</v>
      </c>
      <c r="I7" s="129">
        <v>80.261751523401117</v>
      </c>
      <c r="J7" s="129"/>
      <c r="K7" s="129"/>
      <c r="L7" s="129"/>
      <c r="M7" s="60">
        <f t="shared" si="0"/>
        <v>5</v>
      </c>
      <c r="N7" s="61">
        <f t="shared" ref="N7:N31" si="3">MIN($G$6:$G$32)</f>
        <v>74.20453444581581</v>
      </c>
      <c r="O7" s="61">
        <f t="shared" ref="O7:O31" si="4">VLOOKUP(7,$E$5:$G$39,3,FALSE)</f>
        <v>79.421799056302632</v>
      </c>
      <c r="P7" s="129">
        <f t="shared" ref="P7:P31" si="5">$G$32</f>
        <v>79.996892875729387</v>
      </c>
      <c r="Q7" s="129">
        <f t="shared" ref="Q7:Q31" si="6">$H$32</f>
        <v>79.579790410715418</v>
      </c>
      <c r="R7" s="129">
        <f t="shared" ref="R7:R31" si="7">$I$32</f>
        <v>80.413995340743355</v>
      </c>
      <c r="S7" s="61">
        <f t="shared" ref="S7:S31" si="8">VLOOKUP(19,$E$5:$G$39,3,FALSE)</f>
        <v>82.037535796980265</v>
      </c>
      <c r="T7" s="61">
        <f t="shared" si="1"/>
        <v>89.394808474842165</v>
      </c>
      <c r="U7" s="61">
        <f>VLOOKUP(C7,$C$43:$I$46,5,FALSE)</f>
        <v>80.182339242425471</v>
      </c>
      <c r="V7" s="61"/>
      <c r="Y7" s="159" t="s">
        <v>35</v>
      </c>
      <c r="Z7" s="159" t="s">
        <v>60</v>
      </c>
      <c r="AA7" s="159" t="s">
        <v>163</v>
      </c>
      <c r="AB7" s="159">
        <f t="shared" ref="AB7:AB12" si="9">RANK(AH7,$AH$6:$AH$13,1)</f>
        <v>2</v>
      </c>
      <c r="AC7" s="164">
        <f>MIN($AH$6:$AH$13)</f>
        <v>77.57982825044121</v>
      </c>
      <c r="AD7" s="164">
        <f t="shared" ref="AD7:AD13" si="10">MAX($AH$6:$AH$13)</f>
        <v>82.220631076515573</v>
      </c>
      <c r="AE7" s="159"/>
      <c r="AF7" s="159">
        <f t="shared" ref="AF7:AF31" si="11">VLOOKUP($Y7,$A$6:$I$31,5,FALSE)</f>
        <v>6</v>
      </c>
      <c r="AG7" s="160" t="str">
        <f t="shared" ref="AG7:AG31" si="12">VLOOKUP($Y7,$A$6:$I$31,6,FALSE)</f>
        <v>N/A</v>
      </c>
      <c r="AH7" s="161">
        <f t="shared" ref="AH7:AH31" si="13">VLOOKUP($Y7,$A$6:$I$31,7,FALSE)</f>
        <v>78.858191904860504</v>
      </c>
      <c r="AI7" s="161">
        <f t="shared" ref="AI7:AI31" si="14">VLOOKUP($Y7,$A$6:$I$31,8,FALSE)</f>
        <v>77.277673011035361</v>
      </c>
      <c r="AJ7" s="161">
        <f t="shared" ref="AJ7:AJ31" si="15">VLOOKUP($Y7,$A$6:$I$31,9,FALSE)</f>
        <v>80.438710798685648</v>
      </c>
      <c r="AK7" s="160">
        <f t="shared" ref="AK7:AK31" si="16">VLOOKUP($Y7,$A$6:$M$31,13,FALSE)</f>
        <v>5</v>
      </c>
    </row>
    <row r="8" spans="1:37" x14ac:dyDescent="0.2">
      <c r="A8" s="62" t="s">
        <v>31</v>
      </c>
      <c r="B8" s="62" t="s">
        <v>57</v>
      </c>
      <c r="C8" s="62" t="s">
        <v>200</v>
      </c>
      <c r="D8" s="62"/>
      <c r="E8" s="62">
        <f t="shared" si="2"/>
        <v>19</v>
      </c>
      <c r="F8" s="128" t="s">
        <v>79</v>
      </c>
      <c r="G8" s="129">
        <v>82.037535796980265</v>
      </c>
      <c r="H8" s="129">
        <v>79.981774487144733</v>
      </c>
      <c r="I8" s="129">
        <v>84.093297106815797</v>
      </c>
      <c r="J8" s="129"/>
      <c r="K8" s="129"/>
      <c r="L8" s="129"/>
      <c r="M8" s="60">
        <f t="shared" si="0"/>
        <v>5</v>
      </c>
      <c r="N8" s="61">
        <f t="shared" si="3"/>
        <v>74.20453444581581</v>
      </c>
      <c r="O8" s="61">
        <f t="shared" si="4"/>
        <v>79.421799056302632</v>
      </c>
      <c r="P8" s="129">
        <f t="shared" si="5"/>
        <v>79.996892875729387</v>
      </c>
      <c r="Q8" s="129">
        <f t="shared" si="6"/>
        <v>79.579790410715418</v>
      </c>
      <c r="R8" s="129">
        <f t="shared" si="7"/>
        <v>80.413995340743355</v>
      </c>
      <c r="S8" s="61">
        <f t="shared" si="8"/>
        <v>82.037535796980265</v>
      </c>
      <c r="T8" s="61">
        <f t="shared" si="1"/>
        <v>89.394808474842165</v>
      </c>
      <c r="U8" s="61">
        <f t="shared" ref="U8:U31" si="17">VLOOKUP(C8,$C$43:$I$46,5,FALSE)</f>
        <v>80.182339242425471</v>
      </c>
      <c r="V8" s="61"/>
      <c r="Y8" s="159" t="s">
        <v>41</v>
      </c>
      <c r="Z8" s="159" t="s">
        <v>64</v>
      </c>
      <c r="AA8" s="159" t="s">
        <v>163</v>
      </c>
      <c r="AB8" s="159">
        <f t="shared" si="9"/>
        <v>5</v>
      </c>
      <c r="AC8" s="164">
        <f t="shared" ref="AC8:AC13" si="18">MIN($AH$6:$AH$13)</f>
        <v>77.57982825044121</v>
      </c>
      <c r="AD8" s="164">
        <f>MAX($AH$6:$AH$13)</f>
        <v>82.220631076515573</v>
      </c>
      <c r="AE8" s="159"/>
      <c r="AF8" s="159">
        <f t="shared" si="11"/>
        <v>12</v>
      </c>
      <c r="AG8" s="160" t="str">
        <f t="shared" si="12"/>
        <v>N/A</v>
      </c>
      <c r="AH8" s="161">
        <f t="shared" si="13"/>
        <v>79.872859701614999</v>
      </c>
      <c r="AI8" s="161">
        <f t="shared" si="14"/>
        <v>78.014941105331303</v>
      </c>
      <c r="AJ8" s="161">
        <f t="shared" si="15"/>
        <v>81.730778297898695</v>
      </c>
      <c r="AK8" s="160">
        <f t="shared" si="16"/>
        <v>5</v>
      </c>
    </row>
    <row r="9" spans="1:37" x14ac:dyDescent="0.2">
      <c r="A9" s="62" t="s">
        <v>32</v>
      </c>
      <c r="B9" s="62" t="s">
        <v>156</v>
      </c>
      <c r="C9" s="62" t="s">
        <v>201</v>
      </c>
      <c r="D9" s="62"/>
      <c r="E9" s="62">
        <f t="shared" si="2"/>
        <v>8</v>
      </c>
      <c r="F9" s="128" t="s">
        <v>79</v>
      </c>
      <c r="G9" s="129">
        <v>79.485358912158404</v>
      </c>
      <c r="H9" s="129">
        <v>77.4732550056533</v>
      </c>
      <c r="I9" s="129">
        <v>81.497462818663507</v>
      </c>
      <c r="J9" s="129"/>
      <c r="K9" s="129"/>
      <c r="L9" s="129"/>
      <c r="M9" s="60">
        <f t="shared" si="0"/>
        <v>5</v>
      </c>
      <c r="N9" s="61">
        <f t="shared" si="3"/>
        <v>74.20453444581581</v>
      </c>
      <c r="O9" s="61">
        <f t="shared" si="4"/>
        <v>79.421799056302632</v>
      </c>
      <c r="P9" s="129">
        <f t="shared" si="5"/>
        <v>79.996892875729387</v>
      </c>
      <c r="Q9" s="129">
        <f t="shared" si="6"/>
        <v>79.579790410715418</v>
      </c>
      <c r="R9" s="129">
        <f t="shared" si="7"/>
        <v>80.413995340743355</v>
      </c>
      <c r="S9" s="61">
        <f t="shared" si="8"/>
        <v>82.037535796980265</v>
      </c>
      <c r="T9" s="61">
        <f t="shared" si="1"/>
        <v>89.394808474842165</v>
      </c>
      <c r="U9" s="61">
        <f t="shared" si="17"/>
        <v>80.234429095926643</v>
      </c>
      <c r="V9" s="61"/>
      <c r="X9" s="63"/>
      <c r="Y9" s="159" t="s">
        <v>45</v>
      </c>
      <c r="Z9" s="159" t="s">
        <v>67</v>
      </c>
      <c r="AA9" s="159" t="s">
        <v>163</v>
      </c>
      <c r="AB9" s="159">
        <f t="shared" si="9"/>
        <v>4</v>
      </c>
      <c r="AC9" s="164">
        <f t="shared" si="18"/>
        <v>77.57982825044121</v>
      </c>
      <c r="AD9" s="164">
        <f t="shared" si="10"/>
        <v>82.220631076515573</v>
      </c>
      <c r="AE9" s="159"/>
      <c r="AF9" s="159">
        <f t="shared" si="11"/>
        <v>11</v>
      </c>
      <c r="AG9" s="160" t="str">
        <f t="shared" si="12"/>
        <v>N/A</v>
      </c>
      <c r="AH9" s="161">
        <f t="shared" si="13"/>
        <v>79.758232656423672</v>
      </c>
      <c r="AI9" s="161">
        <f t="shared" si="14"/>
        <v>77.599335791182767</v>
      </c>
      <c r="AJ9" s="161">
        <f t="shared" si="15"/>
        <v>81.917129521664577</v>
      </c>
      <c r="AK9" s="160">
        <f t="shared" si="16"/>
        <v>5</v>
      </c>
    </row>
    <row r="10" spans="1:37" x14ac:dyDescent="0.2">
      <c r="A10" s="62" t="s">
        <v>33</v>
      </c>
      <c r="B10" s="62" t="s">
        <v>58</v>
      </c>
      <c r="C10" s="62" t="s">
        <v>163</v>
      </c>
      <c r="D10" s="62"/>
      <c r="E10" s="62">
        <f t="shared" si="2"/>
        <v>3</v>
      </c>
      <c r="F10" s="128" t="s">
        <v>79</v>
      </c>
      <c r="G10" s="129">
        <v>77.57982825044121</v>
      </c>
      <c r="H10" s="129">
        <v>75.602471562106061</v>
      </c>
      <c r="I10" s="129">
        <v>79.557184938776359</v>
      </c>
      <c r="J10" s="129"/>
      <c r="K10" s="129"/>
      <c r="L10" s="129"/>
      <c r="M10" s="60">
        <f t="shared" si="0"/>
        <v>1</v>
      </c>
      <c r="N10" s="61">
        <f t="shared" si="3"/>
        <v>74.20453444581581</v>
      </c>
      <c r="O10" s="61">
        <f t="shared" si="4"/>
        <v>79.421799056302632</v>
      </c>
      <c r="P10" s="129">
        <f t="shared" si="5"/>
        <v>79.996892875729387</v>
      </c>
      <c r="Q10" s="129">
        <f t="shared" si="6"/>
        <v>79.579790410715418</v>
      </c>
      <c r="R10" s="129">
        <f t="shared" si="7"/>
        <v>80.413995340743355</v>
      </c>
      <c r="S10" s="61">
        <f t="shared" si="8"/>
        <v>82.037535796980265</v>
      </c>
      <c r="T10" s="61">
        <f t="shared" si="1"/>
        <v>89.394808474842165</v>
      </c>
      <c r="U10" s="61">
        <f t="shared" si="17"/>
        <v>79.748580051921508</v>
      </c>
      <c r="V10" s="61"/>
      <c r="Y10" s="159" t="s">
        <v>46</v>
      </c>
      <c r="Z10" s="159" t="s">
        <v>68</v>
      </c>
      <c r="AA10" s="159" t="s">
        <v>163</v>
      </c>
      <c r="AB10" s="159">
        <f t="shared" si="9"/>
        <v>7</v>
      </c>
      <c r="AC10" s="164">
        <f t="shared" si="18"/>
        <v>77.57982825044121</v>
      </c>
      <c r="AD10" s="164">
        <f t="shared" si="10"/>
        <v>82.220631076515573</v>
      </c>
      <c r="AE10" s="159"/>
      <c r="AF10" s="159">
        <f t="shared" si="11"/>
        <v>17</v>
      </c>
      <c r="AG10" s="160" t="str">
        <f t="shared" si="12"/>
        <v>N/A</v>
      </c>
      <c r="AH10" s="161">
        <f t="shared" si="13"/>
        <v>80.980228774830152</v>
      </c>
      <c r="AI10" s="161">
        <f t="shared" si="14"/>
        <v>79.235201692299256</v>
      </c>
      <c r="AJ10" s="161">
        <f t="shared" si="15"/>
        <v>82.725255857361049</v>
      </c>
      <c r="AK10" s="160">
        <f t="shared" si="16"/>
        <v>5</v>
      </c>
    </row>
    <row r="11" spans="1:37" x14ac:dyDescent="0.2">
      <c r="A11" s="62" t="s">
        <v>34</v>
      </c>
      <c r="B11" s="62" t="s">
        <v>59</v>
      </c>
      <c r="C11" s="62" t="s">
        <v>200</v>
      </c>
      <c r="D11" s="62"/>
      <c r="E11" s="62">
        <f t="shared" si="2"/>
        <v>7</v>
      </c>
      <c r="F11" s="128" t="s">
        <v>79</v>
      </c>
      <c r="G11" s="129">
        <v>79.421799056302632</v>
      </c>
      <c r="H11" s="129">
        <v>77.504866055751748</v>
      </c>
      <c r="I11" s="129">
        <v>81.338732056853516</v>
      </c>
      <c r="J11" s="129"/>
      <c r="K11" s="129"/>
      <c r="L11" s="129"/>
      <c r="M11" s="60">
        <f t="shared" si="0"/>
        <v>5</v>
      </c>
      <c r="N11" s="61">
        <f t="shared" si="3"/>
        <v>74.20453444581581</v>
      </c>
      <c r="O11" s="61">
        <f t="shared" si="4"/>
        <v>79.421799056302632</v>
      </c>
      <c r="P11" s="129">
        <f t="shared" si="5"/>
        <v>79.996892875729387</v>
      </c>
      <c r="Q11" s="129">
        <f t="shared" si="6"/>
        <v>79.579790410715418</v>
      </c>
      <c r="R11" s="129">
        <f t="shared" si="7"/>
        <v>80.413995340743355</v>
      </c>
      <c r="S11" s="61">
        <f t="shared" si="8"/>
        <v>82.037535796980265</v>
      </c>
      <c r="T11" s="61">
        <f t="shared" si="1"/>
        <v>89.394808474842165</v>
      </c>
      <c r="U11" s="61">
        <f t="shared" si="17"/>
        <v>80.182339242425471</v>
      </c>
      <c r="V11" s="61"/>
      <c r="Y11" s="159" t="s">
        <v>47</v>
      </c>
      <c r="Z11" s="159" t="s">
        <v>69</v>
      </c>
      <c r="AA11" s="159" t="s">
        <v>163</v>
      </c>
      <c r="AB11" s="159">
        <f t="shared" si="9"/>
        <v>8</v>
      </c>
      <c r="AC11" s="164">
        <f t="shared" si="18"/>
        <v>77.57982825044121</v>
      </c>
      <c r="AD11" s="164">
        <f t="shared" si="10"/>
        <v>82.220631076515573</v>
      </c>
      <c r="AE11" s="159"/>
      <c r="AF11" s="159">
        <f t="shared" si="11"/>
        <v>21</v>
      </c>
      <c r="AG11" s="160" t="str">
        <f t="shared" si="12"/>
        <v>N/A</v>
      </c>
      <c r="AH11" s="161">
        <f t="shared" si="13"/>
        <v>82.220631076515573</v>
      </c>
      <c r="AI11" s="161">
        <f t="shared" si="14"/>
        <v>79.350690560973874</v>
      </c>
      <c r="AJ11" s="161">
        <f t="shared" si="15"/>
        <v>85.090571592057273</v>
      </c>
      <c r="AK11" s="160">
        <f t="shared" si="16"/>
        <v>5</v>
      </c>
    </row>
    <row r="12" spans="1:37" x14ac:dyDescent="0.2">
      <c r="A12" s="62" t="s">
        <v>35</v>
      </c>
      <c r="B12" s="62" t="s">
        <v>60</v>
      </c>
      <c r="C12" s="62" t="s">
        <v>163</v>
      </c>
      <c r="D12" s="62"/>
      <c r="E12" s="62">
        <f t="shared" si="2"/>
        <v>6</v>
      </c>
      <c r="F12" s="128" t="s">
        <v>79</v>
      </c>
      <c r="G12" s="129">
        <v>78.858191904860504</v>
      </c>
      <c r="H12" s="129">
        <v>77.277673011035361</v>
      </c>
      <c r="I12" s="129">
        <v>80.438710798685648</v>
      </c>
      <c r="J12" s="129"/>
      <c r="K12" s="129"/>
      <c r="L12" s="129"/>
      <c r="M12" s="60">
        <f t="shared" si="0"/>
        <v>5</v>
      </c>
      <c r="N12" s="61">
        <f t="shared" si="3"/>
        <v>74.20453444581581</v>
      </c>
      <c r="O12" s="61">
        <f t="shared" si="4"/>
        <v>79.421799056302632</v>
      </c>
      <c r="P12" s="129">
        <f t="shared" si="5"/>
        <v>79.996892875729387</v>
      </c>
      <c r="Q12" s="129">
        <f t="shared" si="6"/>
        <v>79.579790410715418</v>
      </c>
      <c r="R12" s="129">
        <f t="shared" si="7"/>
        <v>80.413995340743355</v>
      </c>
      <c r="S12" s="61">
        <f t="shared" si="8"/>
        <v>82.037535796980265</v>
      </c>
      <c r="T12" s="61">
        <f t="shared" si="1"/>
        <v>89.394808474842165</v>
      </c>
      <c r="U12" s="61">
        <f t="shared" si="17"/>
        <v>79.748580051921508</v>
      </c>
      <c r="V12" s="61"/>
      <c r="Y12" s="159" t="s">
        <v>50</v>
      </c>
      <c r="Z12" s="159" t="s">
        <v>161</v>
      </c>
      <c r="AA12" s="159" t="s">
        <v>163</v>
      </c>
      <c r="AB12" s="159">
        <f t="shared" si="9"/>
        <v>3</v>
      </c>
      <c r="AC12" s="164">
        <f t="shared" si="18"/>
        <v>77.57982825044121</v>
      </c>
      <c r="AD12" s="164">
        <f t="shared" si="10"/>
        <v>82.220631076515573</v>
      </c>
      <c r="AE12" s="159"/>
      <c r="AF12" s="159">
        <f t="shared" si="11"/>
        <v>9</v>
      </c>
      <c r="AG12" s="160" t="str">
        <f t="shared" si="12"/>
        <v>N/A</v>
      </c>
      <c r="AH12" s="161">
        <f t="shared" si="13"/>
        <v>79.63323261912825</v>
      </c>
      <c r="AI12" s="161">
        <f t="shared" si="14"/>
        <v>77.284431840846807</v>
      </c>
      <c r="AJ12" s="161">
        <f t="shared" si="15"/>
        <v>81.982033397409694</v>
      </c>
      <c r="AK12" s="160">
        <f t="shared" si="16"/>
        <v>5</v>
      </c>
    </row>
    <row r="13" spans="1:37" x14ac:dyDescent="0.2">
      <c r="A13" s="62" t="s">
        <v>36</v>
      </c>
      <c r="B13" s="62" t="s">
        <v>61</v>
      </c>
      <c r="C13" s="62" t="s">
        <v>201</v>
      </c>
      <c r="D13" s="62"/>
      <c r="E13" s="62" t="e">
        <f t="shared" si="2"/>
        <v>#VALUE!</v>
      </c>
      <c r="F13" s="128" t="s">
        <v>79</v>
      </c>
      <c r="G13" s="129" t="s">
        <v>79</v>
      </c>
      <c r="H13" s="129" t="s">
        <v>79</v>
      </c>
      <c r="I13" s="129" t="s">
        <v>79</v>
      </c>
      <c r="J13" s="129"/>
      <c r="K13" s="129"/>
      <c r="L13" s="129"/>
      <c r="M13" s="60"/>
      <c r="N13" s="61">
        <f t="shared" si="3"/>
        <v>74.20453444581581</v>
      </c>
      <c r="O13" s="61">
        <f t="shared" si="4"/>
        <v>79.421799056302632</v>
      </c>
      <c r="P13" s="129">
        <f t="shared" si="5"/>
        <v>79.996892875729387</v>
      </c>
      <c r="Q13" s="129">
        <f t="shared" si="6"/>
        <v>79.579790410715418</v>
      </c>
      <c r="R13" s="129">
        <f t="shared" si="7"/>
        <v>80.413995340743355</v>
      </c>
      <c r="S13" s="61">
        <f t="shared" si="8"/>
        <v>82.037535796980265</v>
      </c>
      <c r="T13" s="61">
        <f t="shared" si="1"/>
        <v>89.394808474842165</v>
      </c>
      <c r="U13" s="61">
        <f t="shared" si="17"/>
        <v>80.234429095926643</v>
      </c>
      <c r="V13" s="61"/>
      <c r="Y13" s="159" t="s">
        <v>53</v>
      </c>
      <c r="Z13" s="159" t="s">
        <v>162</v>
      </c>
      <c r="AA13" s="159" t="s">
        <v>163</v>
      </c>
      <c r="AB13" s="159">
        <f>RANK(AH13,$AH$6:$AH$13,1)</f>
        <v>6</v>
      </c>
      <c r="AC13" s="164">
        <f t="shared" si="18"/>
        <v>77.57982825044121</v>
      </c>
      <c r="AD13" s="164">
        <f t="shared" si="10"/>
        <v>82.220631076515573</v>
      </c>
      <c r="AE13" s="159"/>
      <c r="AF13" s="159">
        <f t="shared" si="11"/>
        <v>14</v>
      </c>
      <c r="AG13" s="160" t="str">
        <f t="shared" si="12"/>
        <v>N/A</v>
      </c>
      <c r="AH13" s="161">
        <f t="shared" si="13"/>
        <v>80.424620115340019</v>
      </c>
      <c r="AI13" s="161">
        <f t="shared" si="14"/>
        <v>79.101306871855286</v>
      </c>
      <c r="AJ13" s="161">
        <f t="shared" si="15"/>
        <v>81.747933358824753</v>
      </c>
      <c r="AK13" s="160">
        <f t="shared" si="16"/>
        <v>5</v>
      </c>
    </row>
    <row r="14" spans="1:37" x14ac:dyDescent="0.2">
      <c r="A14" s="62" t="s">
        <v>37</v>
      </c>
      <c r="B14" s="62" t="s">
        <v>157</v>
      </c>
      <c r="C14" s="62" t="s">
        <v>201</v>
      </c>
      <c r="D14" s="62"/>
      <c r="E14" s="62">
        <f t="shared" si="2"/>
        <v>24</v>
      </c>
      <c r="F14" s="128" t="s">
        <v>79</v>
      </c>
      <c r="G14" s="129">
        <v>84.942208296107879</v>
      </c>
      <c r="H14" s="129">
        <v>80.254218694065685</v>
      </c>
      <c r="I14" s="129">
        <v>89.630197898150072</v>
      </c>
      <c r="J14" s="129"/>
      <c r="K14" s="129"/>
      <c r="L14" s="129"/>
      <c r="M14" s="60">
        <f t="shared" si="0"/>
        <v>5</v>
      </c>
      <c r="N14" s="61">
        <f t="shared" si="3"/>
        <v>74.20453444581581</v>
      </c>
      <c r="O14" s="61">
        <f t="shared" si="4"/>
        <v>79.421799056302632</v>
      </c>
      <c r="P14" s="129">
        <f t="shared" si="5"/>
        <v>79.996892875729387</v>
      </c>
      <c r="Q14" s="129">
        <f t="shared" si="6"/>
        <v>79.579790410715418</v>
      </c>
      <c r="R14" s="129">
        <f t="shared" si="7"/>
        <v>80.413995340743355</v>
      </c>
      <c r="S14" s="61">
        <f t="shared" si="8"/>
        <v>82.037535796980265</v>
      </c>
      <c r="T14" s="61">
        <f t="shared" si="1"/>
        <v>89.394808474842165</v>
      </c>
      <c r="U14" s="61">
        <f t="shared" si="17"/>
        <v>80.234429095926643</v>
      </c>
      <c r="V14" s="61"/>
      <c r="Y14" s="162" t="s">
        <v>29</v>
      </c>
      <c r="Z14" s="162" t="s">
        <v>55</v>
      </c>
      <c r="AA14" s="162" t="s">
        <v>201</v>
      </c>
      <c r="AB14" s="162">
        <f>RANK(AH14,$AH$14:$AH$22,1)</f>
        <v>6</v>
      </c>
      <c r="AC14" s="165">
        <f t="shared" ref="AC14:AC22" si="19">MIN($AH$14:$AH$22)</f>
        <v>74.20453444581581</v>
      </c>
      <c r="AD14" s="165">
        <f>MAX($AH$14:$AH$22)</f>
        <v>89.394808474842165</v>
      </c>
      <c r="AE14" s="162"/>
      <c r="AF14" s="162">
        <f t="shared" si="11"/>
        <v>20</v>
      </c>
      <c r="AG14" s="167" t="str">
        <f t="shared" si="12"/>
        <v>N/A</v>
      </c>
      <c r="AH14" s="165">
        <f t="shared" si="13"/>
        <v>82.086724743066711</v>
      </c>
      <c r="AI14" s="165">
        <f t="shared" si="14"/>
        <v>79.249220796861678</v>
      </c>
      <c r="AJ14" s="165">
        <f t="shared" si="15"/>
        <v>84.924228689271743</v>
      </c>
      <c r="AK14" s="167">
        <f t="shared" si="16"/>
        <v>5</v>
      </c>
    </row>
    <row r="15" spans="1:37" x14ac:dyDescent="0.2">
      <c r="A15" s="62" t="s">
        <v>38</v>
      </c>
      <c r="B15" s="62" t="s">
        <v>62</v>
      </c>
      <c r="C15" s="62" t="s">
        <v>201</v>
      </c>
      <c r="D15" s="62"/>
      <c r="E15" s="62">
        <f t="shared" si="2"/>
        <v>13</v>
      </c>
      <c r="F15" s="128" t="s">
        <v>79</v>
      </c>
      <c r="G15" s="129">
        <v>80.137975314038286</v>
      </c>
      <c r="H15" s="129">
        <v>77.554082973251369</v>
      </c>
      <c r="I15" s="129">
        <v>82.721867654825203</v>
      </c>
      <c r="J15" s="129"/>
      <c r="K15" s="129"/>
      <c r="L15" s="129"/>
      <c r="M15" s="60">
        <f t="shared" si="0"/>
        <v>5</v>
      </c>
      <c r="N15" s="61">
        <f t="shared" si="3"/>
        <v>74.20453444581581</v>
      </c>
      <c r="O15" s="61">
        <f t="shared" si="4"/>
        <v>79.421799056302632</v>
      </c>
      <c r="P15" s="129">
        <f t="shared" si="5"/>
        <v>79.996892875729387</v>
      </c>
      <c r="Q15" s="129">
        <f t="shared" si="6"/>
        <v>79.579790410715418</v>
      </c>
      <c r="R15" s="129">
        <f t="shared" si="7"/>
        <v>80.413995340743355</v>
      </c>
      <c r="S15" s="61">
        <f t="shared" si="8"/>
        <v>82.037535796980265</v>
      </c>
      <c r="T15" s="61">
        <f t="shared" si="1"/>
        <v>89.394808474842165</v>
      </c>
      <c r="U15" s="61">
        <f t="shared" si="17"/>
        <v>80.234429095926643</v>
      </c>
      <c r="V15" s="61"/>
      <c r="Y15" s="162" t="s">
        <v>32</v>
      </c>
      <c r="Z15" s="162" t="s">
        <v>156</v>
      </c>
      <c r="AA15" s="162" t="s">
        <v>201</v>
      </c>
      <c r="AB15" s="162">
        <f>RANK(AH15,$AH$14:$AH$22,1)</f>
        <v>3</v>
      </c>
      <c r="AC15" s="165">
        <f t="shared" si="19"/>
        <v>74.20453444581581</v>
      </c>
      <c r="AD15" s="165">
        <f t="shared" ref="AD15:AD22" si="20">MAX($AH$14:$AH$22)</f>
        <v>89.394808474842165</v>
      </c>
      <c r="AE15" s="162"/>
      <c r="AF15" s="162">
        <f t="shared" si="11"/>
        <v>8</v>
      </c>
      <c r="AG15" s="167" t="str">
        <f t="shared" si="12"/>
        <v>N/A</v>
      </c>
      <c r="AH15" s="165">
        <f t="shared" si="13"/>
        <v>79.485358912158404</v>
      </c>
      <c r="AI15" s="165">
        <f t="shared" si="14"/>
        <v>77.4732550056533</v>
      </c>
      <c r="AJ15" s="165">
        <f t="shared" si="15"/>
        <v>81.497462818663507</v>
      </c>
      <c r="AK15" s="167">
        <f t="shared" si="16"/>
        <v>5</v>
      </c>
    </row>
    <row r="16" spans="1:37" x14ac:dyDescent="0.2">
      <c r="A16" s="62" t="s">
        <v>39</v>
      </c>
      <c r="B16" s="62" t="s">
        <v>158</v>
      </c>
      <c r="C16" s="62" t="s">
        <v>200</v>
      </c>
      <c r="D16" s="62"/>
      <c r="E16" s="62">
        <f t="shared" si="2"/>
        <v>18</v>
      </c>
      <c r="F16" s="128" t="s">
        <v>79</v>
      </c>
      <c r="G16" s="129">
        <v>81.596599794609361</v>
      </c>
      <c r="H16" s="129">
        <v>79.518975328462162</v>
      </c>
      <c r="I16" s="129">
        <v>83.67422426075656</v>
      </c>
      <c r="J16" s="129"/>
      <c r="K16" s="129"/>
      <c r="L16" s="129"/>
      <c r="M16" s="60">
        <f t="shared" si="0"/>
        <v>5</v>
      </c>
      <c r="N16" s="61">
        <f t="shared" si="3"/>
        <v>74.20453444581581</v>
      </c>
      <c r="O16" s="61">
        <f t="shared" si="4"/>
        <v>79.421799056302632</v>
      </c>
      <c r="P16" s="129">
        <f t="shared" si="5"/>
        <v>79.996892875729387</v>
      </c>
      <c r="Q16" s="129">
        <f t="shared" si="6"/>
        <v>79.579790410715418</v>
      </c>
      <c r="R16" s="129">
        <f t="shared" si="7"/>
        <v>80.413995340743355</v>
      </c>
      <c r="S16" s="61">
        <f t="shared" si="8"/>
        <v>82.037535796980265</v>
      </c>
      <c r="T16" s="61">
        <f t="shared" si="1"/>
        <v>89.394808474842165</v>
      </c>
      <c r="U16" s="61">
        <f t="shared" si="17"/>
        <v>80.182339242425471</v>
      </c>
      <c r="V16" s="61"/>
      <c r="Y16" s="162" t="s">
        <v>36</v>
      </c>
      <c r="Z16" s="162" t="s">
        <v>61</v>
      </c>
      <c r="AA16" s="162" t="s">
        <v>201</v>
      </c>
      <c r="AB16" s="162" t="e">
        <f>RANK(AH16,$AH$14:$AH$22,1)</f>
        <v>#VALUE!</v>
      </c>
      <c r="AC16" s="165">
        <f t="shared" si="19"/>
        <v>74.20453444581581</v>
      </c>
      <c r="AD16" s="165">
        <f t="shared" si="20"/>
        <v>89.394808474842165</v>
      </c>
      <c r="AE16" s="162"/>
      <c r="AF16" s="162" t="e">
        <f t="shared" si="11"/>
        <v>#VALUE!</v>
      </c>
      <c r="AG16" s="167" t="str">
        <f t="shared" si="12"/>
        <v>N/A</v>
      </c>
      <c r="AH16" s="165" t="str">
        <f t="shared" si="13"/>
        <v>N/A</v>
      </c>
      <c r="AI16" s="165" t="str">
        <f t="shared" si="14"/>
        <v>N/A</v>
      </c>
      <c r="AJ16" s="165" t="str">
        <f t="shared" si="15"/>
        <v>N/A</v>
      </c>
      <c r="AK16" s="167">
        <f t="shared" si="16"/>
        <v>0</v>
      </c>
    </row>
    <row r="17" spans="1:37" x14ac:dyDescent="0.2">
      <c r="A17" s="62" t="s">
        <v>40</v>
      </c>
      <c r="B17" s="62" t="s">
        <v>63</v>
      </c>
      <c r="C17" s="62" t="s">
        <v>200</v>
      </c>
      <c r="D17" s="62"/>
      <c r="E17" s="62">
        <f t="shared" si="2"/>
        <v>10</v>
      </c>
      <c r="F17" s="128" t="s">
        <v>79</v>
      </c>
      <c r="G17" s="129">
        <v>79.741027974318726</v>
      </c>
      <c r="H17" s="129">
        <v>76.705183995588314</v>
      </c>
      <c r="I17" s="129">
        <v>82.776871953049138</v>
      </c>
      <c r="J17" s="129"/>
      <c r="K17" s="129"/>
      <c r="L17" s="129"/>
      <c r="M17" s="60">
        <f t="shared" si="0"/>
        <v>5</v>
      </c>
      <c r="N17" s="61">
        <f t="shared" si="3"/>
        <v>74.20453444581581</v>
      </c>
      <c r="O17" s="61">
        <f t="shared" si="4"/>
        <v>79.421799056302632</v>
      </c>
      <c r="P17" s="129">
        <f t="shared" si="5"/>
        <v>79.996892875729387</v>
      </c>
      <c r="Q17" s="129">
        <f t="shared" si="6"/>
        <v>79.579790410715418</v>
      </c>
      <c r="R17" s="129">
        <f t="shared" si="7"/>
        <v>80.413995340743355</v>
      </c>
      <c r="S17" s="61">
        <f t="shared" si="8"/>
        <v>82.037535796980265</v>
      </c>
      <c r="T17" s="61">
        <f t="shared" si="1"/>
        <v>89.394808474842165</v>
      </c>
      <c r="U17" s="61">
        <f t="shared" si="17"/>
        <v>80.182339242425471</v>
      </c>
      <c r="V17" s="61"/>
      <c r="Y17" s="162" t="s">
        <v>37</v>
      </c>
      <c r="Z17" s="162" t="s">
        <v>157</v>
      </c>
      <c r="AA17" s="162" t="s">
        <v>201</v>
      </c>
      <c r="AB17" s="162">
        <f t="shared" ref="AB17:AB22" si="21">RANK(AH17,$AH$14:$AH$22,1)</f>
        <v>7</v>
      </c>
      <c r="AC17" s="165">
        <f t="shared" si="19"/>
        <v>74.20453444581581</v>
      </c>
      <c r="AD17" s="165">
        <f>MAX($AH$14:$AH$22)</f>
        <v>89.394808474842165</v>
      </c>
      <c r="AE17" s="162"/>
      <c r="AF17" s="162">
        <f t="shared" si="11"/>
        <v>24</v>
      </c>
      <c r="AG17" s="167" t="str">
        <f t="shared" si="12"/>
        <v>N/A</v>
      </c>
      <c r="AH17" s="165">
        <f t="shared" si="13"/>
        <v>84.942208296107879</v>
      </c>
      <c r="AI17" s="165">
        <f t="shared" si="14"/>
        <v>80.254218694065685</v>
      </c>
      <c r="AJ17" s="165">
        <f t="shared" si="15"/>
        <v>89.630197898150072</v>
      </c>
      <c r="AK17" s="167">
        <f t="shared" si="16"/>
        <v>5</v>
      </c>
    </row>
    <row r="18" spans="1:37" x14ac:dyDescent="0.2">
      <c r="A18" s="62" t="s">
        <v>41</v>
      </c>
      <c r="B18" s="62" t="s">
        <v>64</v>
      </c>
      <c r="C18" s="62" t="s">
        <v>163</v>
      </c>
      <c r="D18" s="62"/>
      <c r="E18" s="62">
        <f t="shared" si="2"/>
        <v>12</v>
      </c>
      <c r="F18" s="128" t="s">
        <v>79</v>
      </c>
      <c r="G18" s="129">
        <v>79.872859701614999</v>
      </c>
      <c r="H18" s="129">
        <v>78.014941105331303</v>
      </c>
      <c r="I18" s="129">
        <v>81.730778297898695</v>
      </c>
      <c r="J18" s="129"/>
      <c r="K18" s="129"/>
      <c r="L18" s="129"/>
      <c r="M18" s="60">
        <f t="shared" si="0"/>
        <v>5</v>
      </c>
      <c r="N18" s="61">
        <f t="shared" si="3"/>
        <v>74.20453444581581</v>
      </c>
      <c r="O18" s="61">
        <f t="shared" si="4"/>
        <v>79.421799056302632</v>
      </c>
      <c r="P18" s="129">
        <f t="shared" si="5"/>
        <v>79.996892875729387</v>
      </c>
      <c r="Q18" s="129">
        <f t="shared" si="6"/>
        <v>79.579790410715418</v>
      </c>
      <c r="R18" s="129">
        <f t="shared" si="7"/>
        <v>80.413995340743355</v>
      </c>
      <c r="S18" s="61">
        <f t="shared" si="8"/>
        <v>82.037535796980265</v>
      </c>
      <c r="T18" s="61">
        <f t="shared" si="1"/>
        <v>89.394808474842165</v>
      </c>
      <c r="U18" s="61">
        <f t="shared" si="17"/>
        <v>79.748580051921508</v>
      </c>
      <c r="V18" s="61"/>
      <c r="Y18" s="162" t="s">
        <v>38</v>
      </c>
      <c r="Z18" s="162" t="s">
        <v>62</v>
      </c>
      <c r="AA18" s="162" t="s">
        <v>201</v>
      </c>
      <c r="AB18" s="162">
        <f t="shared" si="21"/>
        <v>4</v>
      </c>
      <c r="AC18" s="165">
        <f t="shared" si="19"/>
        <v>74.20453444581581</v>
      </c>
      <c r="AD18" s="165">
        <f t="shared" si="20"/>
        <v>89.394808474842165</v>
      </c>
      <c r="AE18" s="162"/>
      <c r="AF18" s="162">
        <f t="shared" si="11"/>
        <v>13</v>
      </c>
      <c r="AG18" s="167" t="str">
        <f t="shared" si="12"/>
        <v>N/A</v>
      </c>
      <c r="AH18" s="165">
        <f t="shared" si="13"/>
        <v>80.137975314038286</v>
      </c>
      <c r="AI18" s="165">
        <f t="shared" si="14"/>
        <v>77.554082973251369</v>
      </c>
      <c r="AJ18" s="165">
        <f t="shared" si="15"/>
        <v>82.721867654825203</v>
      </c>
      <c r="AK18" s="167">
        <f t="shared" si="16"/>
        <v>5</v>
      </c>
    </row>
    <row r="19" spans="1:37" x14ac:dyDescent="0.2">
      <c r="A19" s="62" t="s">
        <v>42</v>
      </c>
      <c r="B19" s="62" t="s">
        <v>65</v>
      </c>
      <c r="C19" s="62" t="s">
        <v>200</v>
      </c>
      <c r="D19" s="62"/>
      <c r="E19" s="62">
        <f t="shared" si="2"/>
        <v>15</v>
      </c>
      <c r="F19" s="128" t="s">
        <v>79</v>
      </c>
      <c r="G19" s="129">
        <v>80.693060599894906</v>
      </c>
      <c r="H19" s="129">
        <v>77.310244999274474</v>
      </c>
      <c r="I19" s="129">
        <v>84.075876200515339</v>
      </c>
      <c r="J19" s="129"/>
      <c r="K19" s="129"/>
      <c r="L19" s="129"/>
      <c r="M19" s="60">
        <f t="shared" si="0"/>
        <v>5</v>
      </c>
      <c r="N19" s="61">
        <f t="shared" si="3"/>
        <v>74.20453444581581</v>
      </c>
      <c r="O19" s="61">
        <f t="shared" si="4"/>
        <v>79.421799056302632</v>
      </c>
      <c r="P19" s="129">
        <f t="shared" si="5"/>
        <v>79.996892875729387</v>
      </c>
      <c r="Q19" s="129">
        <f t="shared" si="6"/>
        <v>79.579790410715418</v>
      </c>
      <c r="R19" s="129">
        <f t="shared" si="7"/>
        <v>80.413995340743355</v>
      </c>
      <c r="S19" s="61">
        <f t="shared" si="8"/>
        <v>82.037535796980265</v>
      </c>
      <c r="T19" s="61">
        <f t="shared" si="1"/>
        <v>89.394808474842165</v>
      </c>
      <c r="U19" s="61">
        <f t="shared" si="17"/>
        <v>80.182339242425471</v>
      </c>
      <c r="V19" s="61"/>
      <c r="Y19" s="162" t="s">
        <v>43</v>
      </c>
      <c r="Z19" s="162" t="s">
        <v>159</v>
      </c>
      <c r="AA19" s="162" t="s">
        <v>201</v>
      </c>
      <c r="AB19" s="162">
        <f t="shared" si="21"/>
        <v>2</v>
      </c>
      <c r="AC19" s="165">
        <f t="shared" si="19"/>
        <v>74.20453444581581</v>
      </c>
      <c r="AD19" s="165">
        <f t="shared" si="20"/>
        <v>89.394808474842165</v>
      </c>
      <c r="AE19" s="162"/>
      <c r="AF19" s="162">
        <f t="shared" si="11"/>
        <v>5</v>
      </c>
      <c r="AG19" s="167" t="str">
        <f t="shared" si="12"/>
        <v>N/A</v>
      </c>
      <c r="AH19" s="165">
        <f t="shared" si="13"/>
        <v>78.761094466348084</v>
      </c>
      <c r="AI19" s="165">
        <f t="shared" si="14"/>
        <v>76.781396035312909</v>
      </c>
      <c r="AJ19" s="165">
        <f t="shared" si="15"/>
        <v>80.740792897383258</v>
      </c>
      <c r="AK19" s="167">
        <f t="shared" si="16"/>
        <v>5</v>
      </c>
    </row>
    <row r="20" spans="1:37" x14ac:dyDescent="0.2">
      <c r="A20" s="62" t="s">
        <v>43</v>
      </c>
      <c r="B20" s="62" t="s">
        <v>159</v>
      </c>
      <c r="C20" s="62" t="s">
        <v>201</v>
      </c>
      <c r="D20" s="62"/>
      <c r="E20" s="62">
        <f t="shared" si="2"/>
        <v>5</v>
      </c>
      <c r="F20" s="128" t="s">
        <v>79</v>
      </c>
      <c r="G20" s="129">
        <v>78.761094466348084</v>
      </c>
      <c r="H20" s="129">
        <v>76.781396035312909</v>
      </c>
      <c r="I20" s="129">
        <v>80.740792897383258</v>
      </c>
      <c r="J20" s="129"/>
      <c r="K20" s="129"/>
      <c r="L20" s="129"/>
      <c r="M20" s="60">
        <f t="shared" si="0"/>
        <v>5</v>
      </c>
      <c r="N20" s="61">
        <f t="shared" si="3"/>
        <v>74.20453444581581</v>
      </c>
      <c r="O20" s="61">
        <f t="shared" si="4"/>
        <v>79.421799056302632</v>
      </c>
      <c r="P20" s="129">
        <f t="shared" si="5"/>
        <v>79.996892875729387</v>
      </c>
      <c r="Q20" s="129">
        <f t="shared" si="6"/>
        <v>79.579790410715418</v>
      </c>
      <c r="R20" s="129">
        <f t="shared" si="7"/>
        <v>80.413995340743355</v>
      </c>
      <c r="S20" s="61">
        <f t="shared" si="8"/>
        <v>82.037535796980265</v>
      </c>
      <c r="T20" s="61">
        <f t="shared" si="1"/>
        <v>89.394808474842165</v>
      </c>
      <c r="U20" s="61">
        <f t="shared" si="17"/>
        <v>80.234429095926643</v>
      </c>
      <c r="V20" s="61"/>
      <c r="Y20" s="162" t="s">
        <v>48</v>
      </c>
      <c r="Z20" s="162" t="s">
        <v>160</v>
      </c>
      <c r="AA20" s="162" t="s">
        <v>201</v>
      </c>
      <c r="AB20" s="162">
        <f t="shared" si="21"/>
        <v>8</v>
      </c>
      <c r="AC20" s="165">
        <f t="shared" si="19"/>
        <v>74.20453444581581</v>
      </c>
      <c r="AD20" s="165">
        <f t="shared" si="20"/>
        <v>89.394808474842165</v>
      </c>
      <c r="AE20" s="162"/>
      <c r="AF20" s="162">
        <f t="shared" si="11"/>
        <v>25</v>
      </c>
      <c r="AG20" s="167" t="str">
        <f t="shared" si="12"/>
        <v>N/A</v>
      </c>
      <c r="AH20" s="165">
        <f t="shared" si="13"/>
        <v>89.394808474842165</v>
      </c>
      <c r="AI20" s="165">
        <f t="shared" si="14"/>
        <v>83.894901453583302</v>
      </c>
      <c r="AJ20" s="165">
        <f t="shared" si="15"/>
        <v>94.894715496101028</v>
      </c>
      <c r="AK20" s="167">
        <f t="shared" si="16"/>
        <v>2</v>
      </c>
    </row>
    <row r="21" spans="1:37" x14ac:dyDescent="0.2">
      <c r="A21" s="62" t="s">
        <v>44</v>
      </c>
      <c r="B21" s="62" t="s">
        <v>66</v>
      </c>
      <c r="C21" s="62" t="s">
        <v>200</v>
      </c>
      <c r="D21" s="62"/>
      <c r="E21" s="62">
        <f t="shared" si="2"/>
        <v>2</v>
      </c>
      <c r="F21" s="128" t="s">
        <v>79</v>
      </c>
      <c r="G21" s="129">
        <v>76.590349142221555</v>
      </c>
      <c r="H21" s="129">
        <v>74.149307961565498</v>
      </c>
      <c r="I21" s="129">
        <v>79.031390322877613</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1</v>
      </c>
      <c r="N21" s="61">
        <f t="shared" si="3"/>
        <v>74.20453444581581</v>
      </c>
      <c r="O21" s="61">
        <f t="shared" si="4"/>
        <v>79.421799056302632</v>
      </c>
      <c r="P21" s="129">
        <f t="shared" si="5"/>
        <v>79.996892875729387</v>
      </c>
      <c r="Q21" s="129">
        <f t="shared" si="6"/>
        <v>79.579790410715418</v>
      </c>
      <c r="R21" s="129">
        <f t="shared" si="7"/>
        <v>80.413995340743355</v>
      </c>
      <c r="S21" s="61">
        <f t="shared" si="8"/>
        <v>82.037535796980265</v>
      </c>
      <c r="T21" s="61">
        <f t="shared" si="1"/>
        <v>89.394808474842165</v>
      </c>
      <c r="U21" s="61">
        <f t="shared" si="17"/>
        <v>80.182339242425471</v>
      </c>
      <c r="V21" s="61"/>
      <c r="Y21" s="162" t="s">
        <v>52</v>
      </c>
      <c r="Z21" s="162" t="s">
        <v>72</v>
      </c>
      <c r="AA21" s="162" t="s">
        <v>201</v>
      </c>
      <c r="AB21" s="162">
        <f t="shared" si="21"/>
        <v>1</v>
      </c>
      <c r="AC21" s="165">
        <f t="shared" si="19"/>
        <v>74.20453444581581</v>
      </c>
      <c r="AD21" s="165">
        <f t="shared" si="20"/>
        <v>89.394808474842165</v>
      </c>
      <c r="AE21" s="162"/>
      <c r="AF21" s="162">
        <f t="shared" si="11"/>
        <v>1</v>
      </c>
      <c r="AG21" s="167" t="str">
        <f t="shared" si="12"/>
        <v>N/A</v>
      </c>
      <c r="AH21" s="165">
        <f t="shared" si="13"/>
        <v>74.20453444581581</v>
      </c>
      <c r="AI21" s="165">
        <f t="shared" si="14"/>
        <v>71.272813628458465</v>
      </c>
      <c r="AJ21" s="165">
        <f t="shared" si="15"/>
        <v>77.136255263173155</v>
      </c>
      <c r="AK21" s="167">
        <f t="shared" si="16"/>
        <v>1</v>
      </c>
    </row>
    <row r="22" spans="1:37" x14ac:dyDescent="0.2">
      <c r="A22" s="62" t="s">
        <v>45</v>
      </c>
      <c r="B22" s="62" t="s">
        <v>67</v>
      </c>
      <c r="C22" s="62" t="s">
        <v>163</v>
      </c>
      <c r="D22" s="62"/>
      <c r="E22" s="62">
        <f t="shared" si="2"/>
        <v>11</v>
      </c>
      <c r="F22" s="128" t="s">
        <v>79</v>
      </c>
      <c r="G22" s="129">
        <v>79.758232656423672</v>
      </c>
      <c r="H22" s="129">
        <v>77.599335791182767</v>
      </c>
      <c r="I22" s="129">
        <v>81.917129521664577</v>
      </c>
      <c r="J22" s="129"/>
      <c r="K22" s="129"/>
      <c r="L22" s="129"/>
      <c r="M22" s="60">
        <f t="shared" si="0"/>
        <v>5</v>
      </c>
      <c r="N22" s="61">
        <f t="shared" si="3"/>
        <v>74.20453444581581</v>
      </c>
      <c r="O22" s="61">
        <f t="shared" si="4"/>
        <v>79.421799056302632</v>
      </c>
      <c r="P22" s="129">
        <f t="shared" si="5"/>
        <v>79.996892875729387</v>
      </c>
      <c r="Q22" s="129">
        <f t="shared" si="6"/>
        <v>79.579790410715418</v>
      </c>
      <c r="R22" s="129">
        <f t="shared" si="7"/>
        <v>80.413995340743355</v>
      </c>
      <c r="S22" s="61">
        <f t="shared" si="8"/>
        <v>82.037535796980265</v>
      </c>
      <c r="T22" s="61">
        <f t="shared" si="1"/>
        <v>89.394808474842165</v>
      </c>
      <c r="U22" s="61">
        <f>VLOOKUP(C22,$C$43:$I$46,5,FALSE)</f>
        <v>79.748580051921508</v>
      </c>
      <c r="V22" s="61"/>
      <c r="Y22" s="162" t="s">
        <v>54</v>
      </c>
      <c r="Z22" s="162" t="s">
        <v>73</v>
      </c>
      <c r="AA22" s="162" t="s">
        <v>201</v>
      </c>
      <c r="AB22" s="162">
        <f t="shared" si="21"/>
        <v>5</v>
      </c>
      <c r="AC22" s="165">
        <f t="shared" si="19"/>
        <v>74.20453444581581</v>
      </c>
      <c r="AD22" s="165">
        <f t="shared" si="20"/>
        <v>89.394808474842165</v>
      </c>
      <c r="AE22" s="162"/>
      <c r="AF22" s="162">
        <f t="shared" si="11"/>
        <v>16</v>
      </c>
      <c r="AG22" s="167" t="str">
        <f t="shared" si="12"/>
        <v>N/A</v>
      </c>
      <c r="AH22" s="165">
        <f t="shared" si="13"/>
        <v>80.900096007149855</v>
      </c>
      <c r="AI22" s="165">
        <f t="shared" si="14"/>
        <v>77.596026601622626</v>
      </c>
      <c r="AJ22" s="165">
        <f t="shared" si="15"/>
        <v>84.204165412677085</v>
      </c>
      <c r="AK22" s="167">
        <f t="shared" si="16"/>
        <v>5</v>
      </c>
    </row>
    <row r="23" spans="1:37" x14ac:dyDescent="0.2">
      <c r="A23" s="62" t="s">
        <v>46</v>
      </c>
      <c r="B23" s="62" t="s">
        <v>68</v>
      </c>
      <c r="C23" s="62" t="s">
        <v>163</v>
      </c>
      <c r="D23" s="62"/>
      <c r="E23" s="62">
        <f t="shared" si="2"/>
        <v>17</v>
      </c>
      <c r="F23" s="128" t="s">
        <v>79</v>
      </c>
      <c r="G23" s="129">
        <v>80.980228774830152</v>
      </c>
      <c r="H23" s="129">
        <v>79.235201692299256</v>
      </c>
      <c r="I23" s="129">
        <v>82.725255857361049</v>
      </c>
      <c r="J23" s="129"/>
      <c r="K23" s="129"/>
      <c r="L23" s="129"/>
      <c r="M23" s="60">
        <f t="shared" si="0"/>
        <v>5</v>
      </c>
      <c r="N23" s="61">
        <f t="shared" si="3"/>
        <v>74.20453444581581</v>
      </c>
      <c r="O23" s="61">
        <f t="shared" si="4"/>
        <v>79.421799056302632</v>
      </c>
      <c r="P23" s="129">
        <f t="shared" si="5"/>
        <v>79.996892875729387</v>
      </c>
      <c r="Q23" s="129">
        <f t="shared" si="6"/>
        <v>79.579790410715418</v>
      </c>
      <c r="R23" s="129">
        <f t="shared" si="7"/>
        <v>80.413995340743355</v>
      </c>
      <c r="S23" s="61">
        <f t="shared" si="8"/>
        <v>82.037535796980265</v>
      </c>
      <c r="T23" s="61">
        <f t="shared" si="1"/>
        <v>89.394808474842165</v>
      </c>
      <c r="U23" s="61">
        <f t="shared" si="17"/>
        <v>79.748580051921508</v>
      </c>
      <c r="V23" s="61"/>
      <c r="Y23" s="163" t="s">
        <v>30</v>
      </c>
      <c r="Z23" s="163" t="s">
        <v>56</v>
      </c>
      <c r="AA23" s="163" t="s">
        <v>200</v>
      </c>
      <c r="AB23" s="163">
        <f>RANK(AH23,$AH$23:$AH$31,1)</f>
        <v>2</v>
      </c>
      <c r="AC23" s="166">
        <f>MIN($AH$23:$AH$31)</f>
        <v>76.590349142221555</v>
      </c>
      <c r="AD23" s="166">
        <f>MAX($AH$23:$AH$31)</f>
        <v>84.550974855848565</v>
      </c>
      <c r="AE23" s="163"/>
      <c r="AF23" s="163">
        <f t="shared" si="11"/>
        <v>4</v>
      </c>
      <c r="AG23" s="168" t="str">
        <f t="shared" si="12"/>
        <v>N/A</v>
      </c>
      <c r="AH23" s="166">
        <f t="shared" si="13"/>
        <v>78.124457190006751</v>
      </c>
      <c r="AI23" s="166">
        <f t="shared" si="14"/>
        <v>75.987162856612386</v>
      </c>
      <c r="AJ23" s="166">
        <f t="shared" si="15"/>
        <v>80.261751523401117</v>
      </c>
      <c r="AK23" s="168">
        <f t="shared" si="16"/>
        <v>5</v>
      </c>
    </row>
    <row r="24" spans="1:37" x14ac:dyDescent="0.2">
      <c r="A24" s="62" t="s">
        <v>47</v>
      </c>
      <c r="B24" s="62" t="s">
        <v>69</v>
      </c>
      <c r="C24" s="62" t="s">
        <v>163</v>
      </c>
      <c r="D24" s="62"/>
      <c r="E24" s="62">
        <f t="shared" si="2"/>
        <v>21</v>
      </c>
      <c r="F24" s="128" t="s">
        <v>79</v>
      </c>
      <c r="G24" s="129">
        <v>82.220631076515573</v>
      </c>
      <c r="H24" s="129">
        <v>79.350690560973874</v>
      </c>
      <c r="I24" s="129">
        <v>85.090571592057273</v>
      </c>
      <c r="J24" s="129"/>
      <c r="K24" s="129"/>
      <c r="L24" s="129"/>
      <c r="M24" s="60">
        <f t="shared" si="0"/>
        <v>5</v>
      </c>
      <c r="N24" s="61">
        <f t="shared" si="3"/>
        <v>74.20453444581581</v>
      </c>
      <c r="O24" s="61">
        <f t="shared" si="4"/>
        <v>79.421799056302632</v>
      </c>
      <c r="P24" s="129">
        <f t="shared" si="5"/>
        <v>79.996892875729387</v>
      </c>
      <c r="Q24" s="129">
        <f t="shared" si="6"/>
        <v>79.579790410715418</v>
      </c>
      <c r="R24" s="129">
        <f t="shared" si="7"/>
        <v>80.413995340743355</v>
      </c>
      <c r="S24" s="61">
        <f t="shared" si="8"/>
        <v>82.037535796980265</v>
      </c>
      <c r="T24" s="61">
        <f t="shared" si="1"/>
        <v>89.394808474842165</v>
      </c>
      <c r="U24" s="61">
        <f t="shared" si="17"/>
        <v>79.748580051921508</v>
      </c>
      <c r="V24" s="61"/>
      <c r="Y24" s="163" t="s">
        <v>31</v>
      </c>
      <c r="Z24" s="163" t="s">
        <v>57</v>
      </c>
      <c r="AA24" s="163" t="s">
        <v>200</v>
      </c>
      <c r="AB24" s="163">
        <f t="shared" ref="AB24:AB31" si="22">RANK(AH24,$AH$23:$AH$31,1)</f>
        <v>7</v>
      </c>
      <c r="AC24" s="166">
        <f t="shared" ref="AC24:AC31" si="23">MIN($AH$23:$AH$31)</f>
        <v>76.590349142221555</v>
      </c>
      <c r="AD24" s="166">
        <f t="shared" ref="AD24:AD31" si="24">MAX($AH$23:$AH$31)</f>
        <v>84.550974855848565</v>
      </c>
      <c r="AE24" s="163"/>
      <c r="AF24" s="163">
        <f t="shared" si="11"/>
        <v>19</v>
      </c>
      <c r="AG24" s="168" t="str">
        <f t="shared" si="12"/>
        <v>N/A</v>
      </c>
      <c r="AH24" s="166">
        <f t="shared" si="13"/>
        <v>82.037535796980265</v>
      </c>
      <c r="AI24" s="166">
        <f t="shared" si="14"/>
        <v>79.981774487144733</v>
      </c>
      <c r="AJ24" s="166">
        <f t="shared" si="15"/>
        <v>84.093297106815797</v>
      </c>
      <c r="AK24" s="168">
        <f t="shared" si="16"/>
        <v>5</v>
      </c>
    </row>
    <row r="25" spans="1:37" x14ac:dyDescent="0.2">
      <c r="A25" s="62" t="s">
        <v>48</v>
      </c>
      <c r="B25" s="62" t="s">
        <v>160</v>
      </c>
      <c r="C25" s="62" t="s">
        <v>201</v>
      </c>
      <c r="D25" s="62"/>
      <c r="E25" s="62">
        <f t="shared" si="2"/>
        <v>25</v>
      </c>
      <c r="F25" s="128" t="s">
        <v>79</v>
      </c>
      <c r="G25" s="129">
        <v>89.394808474842165</v>
      </c>
      <c r="H25" s="129">
        <v>83.894901453583302</v>
      </c>
      <c r="I25" s="129">
        <v>94.894715496101028</v>
      </c>
      <c r="J25" s="129"/>
      <c r="K25" s="129"/>
      <c r="L25" s="129"/>
      <c r="M25" s="60">
        <f t="shared" si="0"/>
        <v>2</v>
      </c>
      <c r="N25" s="61">
        <f t="shared" si="3"/>
        <v>74.20453444581581</v>
      </c>
      <c r="O25" s="61">
        <f t="shared" si="4"/>
        <v>79.421799056302632</v>
      </c>
      <c r="P25" s="129">
        <f t="shared" si="5"/>
        <v>79.996892875729387</v>
      </c>
      <c r="Q25" s="129">
        <f t="shared" si="6"/>
        <v>79.579790410715418</v>
      </c>
      <c r="R25" s="129">
        <f t="shared" si="7"/>
        <v>80.413995340743355</v>
      </c>
      <c r="S25" s="61">
        <f t="shared" si="8"/>
        <v>82.037535796980265</v>
      </c>
      <c r="T25" s="61">
        <f t="shared" si="1"/>
        <v>89.394808474842165</v>
      </c>
      <c r="U25" s="61">
        <f t="shared" si="17"/>
        <v>80.234429095926643</v>
      </c>
      <c r="V25" s="61"/>
      <c r="Y25" s="163" t="s">
        <v>34</v>
      </c>
      <c r="Z25" s="163" t="s">
        <v>59</v>
      </c>
      <c r="AA25" s="163" t="s">
        <v>200</v>
      </c>
      <c r="AB25" s="163">
        <f t="shared" si="22"/>
        <v>3</v>
      </c>
      <c r="AC25" s="166">
        <f t="shared" si="23"/>
        <v>76.590349142221555</v>
      </c>
      <c r="AD25" s="166">
        <f t="shared" si="24"/>
        <v>84.550974855848565</v>
      </c>
      <c r="AE25" s="163"/>
      <c r="AF25" s="163">
        <f t="shared" si="11"/>
        <v>7</v>
      </c>
      <c r="AG25" s="168" t="str">
        <f t="shared" si="12"/>
        <v>N/A</v>
      </c>
      <c r="AH25" s="166">
        <f t="shared" si="13"/>
        <v>79.421799056302632</v>
      </c>
      <c r="AI25" s="166">
        <f t="shared" si="14"/>
        <v>77.504866055751748</v>
      </c>
      <c r="AJ25" s="166">
        <f t="shared" si="15"/>
        <v>81.338732056853516</v>
      </c>
      <c r="AK25" s="168">
        <f t="shared" si="16"/>
        <v>5</v>
      </c>
    </row>
    <row r="26" spans="1:37" x14ac:dyDescent="0.2">
      <c r="A26" s="62" t="s">
        <v>49</v>
      </c>
      <c r="B26" s="62" t="s">
        <v>70</v>
      </c>
      <c r="C26" s="62" t="s">
        <v>200</v>
      </c>
      <c r="D26" s="62"/>
      <c r="E26" s="62">
        <f t="shared" si="2"/>
        <v>22</v>
      </c>
      <c r="F26" s="128" t="s">
        <v>79</v>
      </c>
      <c r="G26" s="129">
        <v>83.079873261921065</v>
      </c>
      <c r="H26" s="129">
        <v>80.558117949763002</v>
      </c>
      <c r="I26" s="129">
        <v>85.601628574079129</v>
      </c>
      <c r="J26" s="129"/>
      <c r="K26" s="129"/>
      <c r="L26" s="129"/>
      <c r="M26" s="60">
        <f t="shared" si="0"/>
        <v>2</v>
      </c>
      <c r="N26" s="61">
        <f t="shared" si="3"/>
        <v>74.20453444581581</v>
      </c>
      <c r="O26" s="61">
        <f t="shared" si="4"/>
        <v>79.421799056302632</v>
      </c>
      <c r="P26" s="129">
        <f t="shared" si="5"/>
        <v>79.996892875729387</v>
      </c>
      <c r="Q26" s="129">
        <f t="shared" si="6"/>
        <v>79.579790410715418</v>
      </c>
      <c r="R26" s="129">
        <f t="shared" si="7"/>
        <v>80.413995340743355</v>
      </c>
      <c r="S26" s="61">
        <f t="shared" si="8"/>
        <v>82.037535796980265</v>
      </c>
      <c r="T26" s="61">
        <f t="shared" si="1"/>
        <v>89.394808474842165</v>
      </c>
      <c r="U26" s="61">
        <f t="shared" si="17"/>
        <v>80.182339242425471</v>
      </c>
      <c r="V26" s="61"/>
      <c r="Y26" s="163" t="s">
        <v>39</v>
      </c>
      <c r="Z26" s="163" t="s">
        <v>158</v>
      </c>
      <c r="AA26" s="163" t="s">
        <v>200</v>
      </c>
      <c r="AB26" s="163">
        <f t="shared" si="22"/>
        <v>6</v>
      </c>
      <c r="AC26" s="166">
        <f t="shared" si="23"/>
        <v>76.590349142221555</v>
      </c>
      <c r="AD26" s="166">
        <f t="shared" si="24"/>
        <v>84.550974855848565</v>
      </c>
      <c r="AE26" s="163"/>
      <c r="AF26" s="163">
        <f t="shared" si="11"/>
        <v>18</v>
      </c>
      <c r="AG26" s="168" t="str">
        <f t="shared" si="12"/>
        <v>N/A</v>
      </c>
      <c r="AH26" s="166">
        <f t="shared" si="13"/>
        <v>81.596599794609361</v>
      </c>
      <c r="AI26" s="166">
        <f t="shared" si="14"/>
        <v>79.518975328462162</v>
      </c>
      <c r="AJ26" s="166">
        <f t="shared" si="15"/>
        <v>83.67422426075656</v>
      </c>
      <c r="AK26" s="168">
        <f t="shared" si="16"/>
        <v>5</v>
      </c>
    </row>
    <row r="27" spans="1:37" x14ac:dyDescent="0.2">
      <c r="A27" s="62" t="s">
        <v>50</v>
      </c>
      <c r="B27" s="62" t="s">
        <v>161</v>
      </c>
      <c r="C27" s="62" t="s">
        <v>163</v>
      </c>
      <c r="D27" s="62"/>
      <c r="E27" s="62">
        <f t="shared" si="2"/>
        <v>9</v>
      </c>
      <c r="F27" s="128" t="s">
        <v>79</v>
      </c>
      <c r="G27" s="129">
        <v>79.63323261912825</v>
      </c>
      <c r="H27" s="129">
        <v>77.284431840846807</v>
      </c>
      <c r="I27" s="129">
        <v>81.982033397409694</v>
      </c>
      <c r="J27" s="129"/>
      <c r="K27" s="129"/>
      <c r="L27" s="129"/>
      <c r="M27" s="60">
        <f t="shared" si="0"/>
        <v>5</v>
      </c>
      <c r="N27" s="61">
        <f t="shared" si="3"/>
        <v>74.20453444581581</v>
      </c>
      <c r="O27" s="61">
        <f t="shared" si="4"/>
        <v>79.421799056302632</v>
      </c>
      <c r="P27" s="129">
        <f t="shared" si="5"/>
        <v>79.996892875729387</v>
      </c>
      <c r="Q27" s="129">
        <f t="shared" si="6"/>
        <v>79.579790410715418</v>
      </c>
      <c r="R27" s="129">
        <f t="shared" si="7"/>
        <v>80.413995340743355</v>
      </c>
      <c r="S27" s="61">
        <f t="shared" si="8"/>
        <v>82.037535796980265</v>
      </c>
      <c r="T27" s="61">
        <f t="shared" si="1"/>
        <v>89.394808474842165</v>
      </c>
      <c r="U27" s="61">
        <f t="shared" si="17"/>
        <v>79.748580051921508</v>
      </c>
      <c r="V27" s="61"/>
      <c r="Y27" s="163" t="s">
        <v>40</v>
      </c>
      <c r="Z27" s="163" t="s">
        <v>63</v>
      </c>
      <c r="AA27" s="163" t="s">
        <v>200</v>
      </c>
      <c r="AB27" s="163">
        <f t="shared" si="22"/>
        <v>4</v>
      </c>
      <c r="AC27" s="166">
        <f t="shared" si="23"/>
        <v>76.590349142221555</v>
      </c>
      <c r="AD27" s="166">
        <f t="shared" si="24"/>
        <v>84.550974855848565</v>
      </c>
      <c r="AE27" s="163"/>
      <c r="AF27" s="163">
        <f t="shared" si="11"/>
        <v>10</v>
      </c>
      <c r="AG27" s="168" t="str">
        <f t="shared" si="12"/>
        <v>N/A</v>
      </c>
      <c r="AH27" s="166">
        <f t="shared" si="13"/>
        <v>79.741027974318726</v>
      </c>
      <c r="AI27" s="166">
        <f t="shared" si="14"/>
        <v>76.705183995588314</v>
      </c>
      <c r="AJ27" s="166">
        <f t="shared" si="15"/>
        <v>82.776871953049138</v>
      </c>
      <c r="AK27" s="168">
        <f t="shared" si="16"/>
        <v>5</v>
      </c>
    </row>
    <row r="28" spans="1:37" x14ac:dyDescent="0.2">
      <c r="A28" s="62" t="s">
        <v>51</v>
      </c>
      <c r="B28" s="62" t="s">
        <v>71</v>
      </c>
      <c r="C28" s="62" t="s">
        <v>200</v>
      </c>
      <c r="D28" s="62"/>
      <c r="E28" s="62">
        <f t="shared" si="2"/>
        <v>23</v>
      </c>
      <c r="F28" s="128" t="s">
        <v>79</v>
      </c>
      <c r="G28" s="129">
        <v>84.550974855848565</v>
      </c>
      <c r="H28" s="129">
        <v>79.465824813480282</v>
      </c>
      <c r="I28" s="129">
        <v>89.636124898216849</v>
      </c>
      <c r="J28" s="129"/>
      <c r="K28" s="129"/>
      <c r="L28" s="129"/>
      <c r="M28" s="60">
        <f t="shared" si="0"/>
        <v>5</v>
      </c>
      <c r="N28" s="61">
        <f t="shared" si="3"/>
        <v>74.20453444581581</v>
      </c>
      <c r="O28" s="61">
        <f t="shared" si="4"/>
        <v>79.421799056302632</v>
      </c>
      <c r="P28" s="129">
        <f t="shared" si="5"/>
        <v>79.996892875729387</v>
      </c>
      <c r="Q28" s="129">
        <f t="shared" si="6"/>
        <v>79.579790410715418</v>
      </c>
      <c r="R28" s="129">
        <f t="shared" si="7"/>
        <v>80.413995340743355</v>
      </c>
      <c r="S28" s="61">
        <f t="shared" si="8"/>
        <v>82.037535796980265</v>
      </c>
      <c r="T28" s="61">
        <f t="shared" si="1"/>
        <v>89.394808474842165</v>
      </c>
      <c r="U28" s="61">
        <f t="shared" si="17"/>
        <v>80.182339242425471</v>
      </c>
      <c r="V28" s="61"/>
      <c r="Y28" s="163" t="s">
        <v>42</v>
      </c>
      <c r="Z28" s="163" t="s">
        <v>65</v>
      </c>
      <c r="AA28" s="163" t="s">
        <v>200</v>
      </c>
      <c r="AB28" s="163">
        <f t="shared" si="22"/>
        <v>5</v>
      </c>
      <c r="AC28" s="166">
        <f t="shared" si="23"/>
        <v>76.590349142221555</v>
      </c>
      <c r="AD28" s="166">
        <f t="shared" si="24"/>
        <v>84.550974855848565</v>
      </c>
      <c r="AE28" s="163"/>
      <c r="AF28" s="163">
        <f t="shared" si="11"/>
        <v>15</v>
      </c>
      <c r="AG28" s="168" t="str">
        <f t="shared" si="12"/>
        <v>N/A</v>
      </c>
      <c r="AH28" s="166">
        <f t="shared" si="13"/>
        <v>80.693060599894906</v>
      </c>
      <c r="AI28" s="166">
        <f t="shared" si="14"/>
        <v>77.310244999274474</v>
      </c>
      <c r="AJ28" s="166">
        <f t="shared" si="15"/>
        <v>84.075876200515339</v>
      </c>
      <c r="AK28" s="168">
        <f t="shared" si="16"/>
        <v>5</v>
      </c>
    </row>
    <row r="29" spans="1:37" x14ac:dyDescent="0.2">
      <c r="A29" s="62" t="s">
        <v>52</v>
      </c>
      <c r="B29" s="62" t="s">
        <v>72</v>
      </c>
      <c r="C29" s="62" t="s">
        <v>201</v>
      </c>
      <c r="D29" s="62"/>
      <c r="E29" s="62">
        <f t="shared" si="2"/>
        <v>1</v>
      </c>
      <c r="F29" s="128" t="s">
        <v>79</v>
      </c>
      <c r="G29" s="129">
        <v>74.20453444581581</v>
      </c>
      <c r="H29" s="129">
        <v>71.272813628458465</v>
      </c>
      <c r="I29" s="129">
        <v>77.136255263173155</v>
      </c>
      <c r="J29" s="129"/>
      <c r="K29" s="129"/>
      <c r="L29" s="129"/>
      <c r="M29" s="60">
        <f t="shared" si="0"/>
        <v>1</v>
      </c>
      <c r="N29" s="61">
        <f t="shared" si="3"/>
        <v>74.20453444581581</v>
      </c>
      <c r="O29" s="61">
        <f t="shared" si="4"/>
        <v>79.421799056302632</v>
      </c>
      <c r="P29" s="129">
        <f t="shared" si="5"/>
        <v>79.996892875729387</v>
      </c>
      <c r="Q29" s="129">
        <f t="shared" si="6"/>
        <v>79.579790410715418</v>
      </c>
      <c r="R29" s="129">
        <f t="shared" si="7"/>
        <v>80.413995340743355</v>
      </c>
      <c r="S29" s="61">
        <f t="shared" si="8"/>
        <v>82.037535796980265</v>
      </c>
      <c r="T29" s="61">
        <f t="shared" si="1"/>
        <v>89.394808474842165</v>
      </c>
      <c r="U29" s="61">
        <f t="shared" si="17"/>
        <v>80.234429095926643</v>
      </c>
      <c r="V29" s="61"/>
      <c r="Y29" s="163" t="s">
        <v>44</v>
      </c>
      <c r="Z29" s="163" t="s">
        <v>66</v>
      </c>
      <c r="AA29" s="163" t="s">
        <v>200</v>
      </c>
      <c r="AB29" s="163">
        <f t="shared" si="22"/>
        <v>1</v>
      </c>
      <c r="AC29" s="166">
        <f t="shared" si="23"/>
        <v>76.590349142221555</v>
      </c>
      <c r="AD29" s="166">
        <f t="shared" si="24"/>
        <v>84.550974855848565</v>
      </c>
      <c r="AE29" s="163"/>
      <c r="AF29" s="163">
        <f t="shared" si="11"/>
        <v>2</v>
      </c>
      <c r="AG29" s="168" t="str">
        <f t="shared" si="12"/>
        <v>N/A</v>
      </c>
      <c r="AH29" s="166">
        <f t="shared" si="13"/>
        <v>76.590349142221555</v>
      </c>
      <c r="AI29" s="166">
        <f t="shared" si="14"/>
        <v>74.149307961565498</v>
      </c>
      <c r="AJ29" s="166">
        <f t="shared" si="15"/>
        <v>79.031390322877613</v>
      </c>
      <c r="AK29" s="168">
        <f t="shared" si="16"/>
        <v>1</v>
      </c>
    </row>
    <row r="30" spans="1:37" x14ac:dyDescent="0.2">
      <c r="A30" s="62" t="s">
        <v>53</v>
      </c>
      <c r="B30" s="62" t="s">
        <v>162</v>
      </c>
      <c r="C30" s="62" t="s">
        <v>163</v>
      </c>
      <c r="D30" s="62"/>
      <c r="E30" s="62">
        <f t="shared" si="2"/>
        <v>14</v>
      </c>
      <c r="F30" s="128" t="s">
        <v>79</v>
      </c>
      <c r="G30" s="129">
        <v>80.424620115340019</v>
      </c>
      <c r="H30" s="129">
        <v>79.101306871855286</v>
      </c>
      <c r="I30" s="129">
        <v>81.747933358824753</v>
      </c>
      <c r="J30" s="129"/>
      <c r="K30" s="129"/>
      <c r="L30" s="129"/>
      <c r="M30" s="60">
        <f t="shared" si="0"/>
        <v>5</v>
      </c>
      <c r="N30" s="61">
        <f t="shared" si="3"/>
        <v>74.20453444581581</v>
      </c>
      <c r="O30" s="61">
        <f t="shared" si="4"/>
        <v>79.421799056302632</v>
      </c>
      <c r="P30" s="129">
        <f>$G$32</f>
        <v>79.996892875729387</v>
      </c>
      <c r="Q30" s="129">
        <f t="shared" si="6"/>
        <v>79.579790410715418</v>
      </c>
      <c r="R30" s="129">
        <f t="shared" si="7"/>
        <v>80.413995340743355</v>
      </c>
      <c r="S30" s="61">
        <f t="shared" si="8"/>
        <v>82.037535796980265</v>
      </c>
      <c r="T30" s="61">
        <f t="shared" si="1"/>
        <v>89.394808474842165</v>
      </c>
      <c r="U30" s="61">
        <f t="shared" si="17"/>
        <v>79.748580051921508</v>
      </c>
      <c r="V30" s="61"/>
      <c r="Y30" s="163" t="s">
        <v>49</v>
      </c>
      <c r="Z30" s="163" t="s">
        <v>70</v>
      </c>
      <c r="AA30" s="163" t="s">
        <v>200</v>
      </c>
      <c r="AB30" s="163">
        <f t="shared" si="22"/>
        <v>8</v>
      </c>
      <c r="AC30" s="166">
        <f t="shared" si="23"/>
        <v>76.590349142221555</v>
      </c>
      <c r="AD30" s="166">
        <f t="shared" si="24"/>
        <v>84.550974855848565</v>
      </c>
      <c r="AE30" s="163"/>
      <c r="AF30" s="163">
        <f t="shared" si="11"/>
        <v>22</v>
      </c>
      <c r="AG30" s="168" t="str">
        <f t="shared" si="12"/>
        <v>N/A</v>
      </c>
      <c r="AH30" s="166">
        <f t="shared" si="13"/>
        <v>83.079873261921065</v>
      </c>
      <c r="AI30" s="166">
        <f t="shared" si="14"/>
        <v>80.558117949763002</v>
      </c>
      <c r="AJ30" s="166">
        <f t="shared" si="15"/>
        <v>85.601628574079129</v>
      </c>
      <c r="AK30" s="168">
        <f t="shared" si="16"/>
        <v>2</v>
      </c>
    </row>
    <row r="31" spans="1:37" x14ac:dyDescent="0.2">
      <c r="A31" s="62" t="s">
        <v>54</v>
      </c>
      <c r="B31" s="62" t="s">
        <v>73</v>
      </c>
      <c r="C31" s="62" t="s">
        <v>201</v>
      </c>
      <c r="D31" s="62"/>
      <c r="E31" s="62">
        <f t="shared" si="2"/>
        <v>16</v>
      </c>
      <c r="F31" s="128" t="s">
        <v>79</v>
      </c>
      <c r="G31" s="129">
        <v>80.900096007149855</v>
      </c>
      <c r="H31" s="129">
        <v>77.596026601622626</v>
      </c>
      <c r="I31" s="129">
        <v>84.204165412677085</v>
      </c>
      <c r="J31" s="129"/>
      <c r="K31" s="129"/>
      <c r="L31" s="129"/>
      <c r="M31" s="60">
        <f t="shared" si="0"/>
        <v>5</v>
      </c>
      <c r="N31" s="61">
        <f t="shared" si="3"/>
        <v>74.20453444581581</v>
      </c>
      <c r="O31" s="61">
        <f t="shared" si="4"/>
        <v>79.421799056302632</v>
      </c>
      <c r="P31" s="129">
        <f t="shared" si="5"/>
        <v>79.996892875729387</v>
      </c>
      <c r="Q31" s="129">
        <f t="shared" si="6"/>
        <v>79.579790410715418</v>
      </c>
      <c r="R31" s="129">
        <f t="shared" si="7"/>
        <v>80.413995340743355</v>
      </c>
      <c r="S31" s="61">
        <f t="shared" si="8"/>
        <v>82.037535796980265</v>
      </c>
      <c r="T31" s="61">
        <f t="shared" si="1"/>
        <v>89.394808474842165</v>
      </c>
      <c r="U31" s="61">
        <f t="shared" si="17"/>
        <v>80.234429095926643</v>
      </c>
      <c r="V31" s="61"/>
      <c r="Y31" s="163" t="s">
        <v>51</v>
      </c>
      <c r="Z31" s="163" t="s">
        <v>71</v>
      </c>
      <c r="AA31" s="163" t="s">
        <v>200</v>
      </c>
      <c r="AB31" s="163">
        <f t="shared" si="22"/>
        <v>9</v>
      </c>
      <c r="AC31" s="166">
        <f t="shared" si="23"/>
        <v>76.590349142221555</v>
      </c>
      <c r="AD31" s="166">
        <f t="shared" si="24"/>
        <v>84.550974855848565</v>
      </c>
      <c r="AE31" s="163"/>
      <c r="AF31" s="163">
        <f t="shared" si="11"/>
        <v>23</v>
      </c>
      <c r="AG31" s="168" t="str">
        <f t="shared" si="12"/>
        <v>N/A</v>
      </c>
      <c r="AH31" s="166">
        <f t="shared" si="13"/>
        <v>84.550974855848565</v>
      </c>
      <c r="AI31" s="166">
        <f t="shared" si="14"/>
        <v>79.465824813480282</v>
      </c>
      <c r="AJ31" s="166">
        <f t="shared" si="15"/>
        <v>89.636124898216849</v>
      </c>
      <c r="AK31" s="168">
        <f t="shared" si="16"/>
        <v>5</v>
      </c>
    </row>
    <row r="32" spans="1:37" x14ac:dyDescent="0.2">
      <c r="A32" s="62"/>
      <c r="B32" s="62" t="s">
        <v>171</v>
      </c>
      <c r="C32" s="62"/>
      <c r="D32" s="62"/>
      <c r="E32" s="62"/>
      <c r="F32" s="128" t="s">
        <v>79</v>
      </c>
      <c r="G32" s="129">
        <v>79.996892875729387</v>
      </c>
      <c r="H32" s="129">
        <v>79.579790410715418</v>
      </c>
      <c r="I32" s="129">
        <v>80.413995340743355</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t="s">
        <v>79</v>
      </c>
      <c r="G44" s="129">
        <v>79.748580051921508</v>
      </c>
      <c r="H44" s="129">
        <v>79.09728651835448</v>
      </c>
      <c r="I44" s="129">
        <v>80.399873585488535</v>
      </c>
      <c r="J44" s="129">
        <f>VLOOKUP($C44,$AA$6:$AD$13,3,FALSE)</f>
        <v>77.57982825044121</v>
      </c>
      <c r="K44" s="129">
        <f>VLOOKUP($C44,$AA$6:$AD$13,4,FALSE)</f>
        <v>82.220631076515573</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5</v>
      </c>
      <c r="N44" s="61">
        <f>MIN($G$6:$G$31)</f>
        <v>74.20453444581581</v>
      </c>
      <c r="O44" s="61">
        <f>VLOOKUP(7,$E$5:$G$39,3,FALSE)</f>
        <v>79.421799056302632</v>
      </c>
      <c r="P44" s="129">
        <f>$G$32</f>
        <v>79.996892875729387</v>
      </c>
      <c r="Q44" s="129">
        <f>$H$32</f>
        <v>79.579790410715418</v>
      </c>
      <c r="R44" s="129">
        <f>$I$32</f>
        <v>80.413995340743355</v>
      </c>
      <c r="S44" s="61">
        <f>VLOOKUP(20,$E$5:$G$39,3,FALSE)</f>
        <v>82.086724743066711</v>
      </c>
      <c r="T44" s="61">
        <f>MAX($G$6:$G$31)</f>
        <v>89.394808474842165</v>
      </c>
    </row>
    <row r="45" spans="1:22" x14ac:dyDescent="0.2">
      <c r="C45" s="62" t="s">
        <v>201</v>
      </c>
      <c r="D45" s="62"/>
      <c r="E45" s="62"/>
      <c r="F45" s="128" t="s">
        <v>79</v>
      </c>
      <c r="G45" s="129">
        <v>80.234429095926643</v>
      </c>
      <c r="H45" s="129">
        <v>79.407568896662923</v>
      </c>
      <c r="I45" s="129">
        <v>81.061289295190363</v>
      </c>
      <c r="J45" s="129">
        <f>VLOOKUP($C45,$AA$14:$AD$22,3,FALSE)</f>
        <v>74.20453444581581</v>
      </c>
      <c r="K45" s="129">
        <f>VLOOKUP($C45,$AA$14:$AD$22,4,FALSE)</f>
        <v>89.394808474842165</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5</v>
      </c>
      <c r="N45" s="61">
        <f>MIN($G$6:$G$31)</f>
        <v>74.20453444581581</v>
      </c>
      <c r="O45" s="61">
        <f>VLOOKUP(7,$E$5:$G$39,3,FALSE)</f>
        <v>79.421799056302632</v>
      </c>
      <c r="P45" s="129">
        <f>$G$32</f>
        <v>79.996892875729387</v>
      </c>
      <c r="Q45" s="129">
        <f t="shared" ref="Q45:Q46" si="25">$H$32</f>
        <v>79.579790410715418</v>
      </c>
      <c r="R45" s="129">
        <f t="shared" ref="R45:R46" si="26">$I$32</f>
        <v>80.413995340743355</v>
      </c>
      <c r="S45" s="61">
        <f>VLOOKUP(20,$E$5:$G$39,3,FALSE)</f>
        <v>82.086724743066711</v>
      </c>
      <c r="T45" s="61">
        <f t="shared" ref="T45:T46" si="27">MAX($G$6:$G$31)</f>
        <v>89.394808474842165</v>
      </c>
    </row>
    <row r="46" spans="1:22" x14ac:dyDescent="0.2">
      <c r="C46" s="62" t="s">
        <v>200</v>
      </c>
      <c r="D46" s="62"/>
      <c r="E46" s="62"/>
      <c r="F46" s="128" t="s">
        <v>79</v>
      </c>
      <c r="G46" s="129">
        <v>80.182339242425471</v>
      </c>
      <c r="H46" s="129">
        <v>79.408552150619769</v>
      </c>
      <c r="I46" s="129">
        <v>80.956126334231172</v>
      </c>
      <c r="J46" s="129">
        <f>VLOOKUP($C46,$AA$23:$AD$31,3,FALSE)</f>
        <v>76.590349142221555</v>
      </c>
      <c r="K46" s="129">
        <f>VLOOKUP($C46,$AA$23:$AD$31,4,FALSE)</f>
        <v>84.550974855848565</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5</v>
      </c>
      <c r="N46" s="61">
        <f>MIN($G$6:$G$31)</f>
        <v>74.20453444581581</v>
      </c>
      <c r="O46" s="61">
        <f>VLOOKUP(7,$E$5:$G$39,3,FALSE)</f>
        <v>79.421799056302632</v>
      </c>
      <c r="P46" s="129">
        <f t="shared" ref="P46" si="28">$G$32</f>
        <v>79.996892875729387</v>
      </c>
      <c r="Q46" s="129">
        <f t="shared" si="25"/>
        <v>79.579790410715418</v>
      </c>
      <c r="R46" s="129">
        <f t="shared" si="26"/>
        <v>80.413995340743355</v>
      </c>
      <c r="S46" s="61">
        <f>VLOOKUP(20,$E$5:$G$39,3,FALSE)</f>
        <v>82.086724743066711</v>
      </c>
      <c r="T46" s="61">
        <f t="shared" si="27"/>
        <v>89.394808474842165</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C2:D2" xr:uid="{00000000-0002-0000-0D00-000000000000}">
      <formula1>"Better / Worse,Higher / Lower,Significance not measured"</formula1>
    </dataValidation>
    <dataValidation type="list" allowBlank="1" showInputMessage="1" showErrorMessage="1" sqref="K2:N2" xr:uid="{00000000-0002-0000-0D00-000001000000}">
      <formula1>"High = Worst,Low = Worst"</formula1>
    </dataValidation>
  </dataValidations>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theme="6" tint="0.39997558519241921"/>
  </sheetPr>
  <dimension ref="A1:AK55"/>
  <sheetViews>
    <sheetView workbookViewId="0">
      <selection activeCell="C74" sqref="C74"/>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7" style="21" customWidth="1"/>
    <col min="6" max="6" width="6.109375" style="21" customWidth="1"/>
    <col min="7" max="7" width="5.6640625" style="21" customWidth="1"/>
    <col min="8" max="9" width="5.1093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5" style="21" customWidth="1"/>
    <col min="17" max="18" width="4.6640625" style="21" customWidth="1"/>
    <col min="19" max="19" width="7" style="21" bestFit="1" customWidth="1"/>
    <col min="20" max="20" width="4.88671875" style="21" bestFit="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137</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272</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8</v>
      </c>
      <c r="F6" s="128" t="s">
        <v>79</v>
      </c>
      <c r="G6" s="129">
        <v>82.423052143439108</v>
      </c>
      <c r="H6" s="129">
        <v>79.590318085289326</v>
      </c>
      <c r="I6" s="129">
        <v>85.25578620158889</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5</v>
      </c>
      <c r="N6" s="61">
        <f>MIN($G$6:$G$32)</f>
        <v>77.906537997353666</v>
      </c>
      <c r="O6" s="61">
        <f>VLOOKUP(7,$E$5:$G$39,3,FALSE)</f>
        <v>82.305900903132709</v>
      </c>
      <c r="P6" s="129">
        <f>$G$32</f>
        <v>83.310312746401536</v>
      </c>
      <c r="Q6" s="129">
        <f>$H$32</f>
        <v>82.896430808668825</v>
      </c>
      <c r="R6" s="129">
        <f>$I$32</f>
        <v>83.724194684134247</v>
      </c>
      <c r="S6" s="61">
        <f>VLOOKUP(19,$E$5:$G$39,3,FALSE)</f>
        <v>84.881768733522961</v>
      </c>
      <c r="T6" s="61">
        <f t="shared" ref="T6:T31" si="1">MAX($G$6:$G$31)</f>
        <v>88.250913297544571</v>
      </c>
      <c r="U6" s="61">
        <f>VLOOKUP(C6,$C$43:$I$46,5,FALSE)</f>
        <v>83.299461907229713</v>
      </c>
      <c r="V6" s="61"/>
      <c r="Y6" s="159" t="s">
        <v>33</v>
      </c>
      <c r="Z6" s="159" t="s">
        <v>58</v>
      </c>
      <c r="AA6" s="159" t="s">
        <v>163</v>
      </c>
      <c r="AB6" s="159">
        <f>RANK(AH6,$AH$6:$AH$13,1)</f>
        <v>5</v>
      </c>
      <c r="AC6" s="164">
        <f>MIN($AH$6:$AH$13)</f>
        <v>80.71590671018204</v>
      </c>
      <c r="AD6" s="164">
        <f>MAX($AH$6:$AH$13)</f>
        <v>88.250913297544571</v>
      </c>
      <c r="AE6" s="159"/>
      <c r="AF6" s="159">
        <f>VLOOKUP($Y6,$A$6:$I$31,5,FALSE)</f>
        <v>13</v>
      </c>
      <c r="AG6" s="160" t="str">
        <f>VLOOKUP($Y6,$A$6:$I$31,6,FALSE)</f>
        <v>N/A</v>
      </c>
      <c r="AH6" s="161">
        <f>VLOOKUP($Y6,$A$6:$I$31,7,FALSE)</f>
        <v>83.947851298851276</v>
      </c>
      <c r="AI6" s="161">
        <f>VLOOKUP($Y6,$A$6:$I$31,8,FALSE)</f>
        <v>81.901713827602791</v>
      </c>
      <c r="AJ6" s="161">
        <f>VLOOKUP($Y6,$A$6:$I$31,9,FALSE)</f>
        <v>85.993988770099762</v>
      </c>
      <c r="AK6" s="160">
        <f>VLOOKUP($Y6,$A$6:$M$31,13,FALSE)</f>
        <v>5</v>
      </c>
    </row>
    <row r="7" spans="1:37" x14ac:dyDescent="0.2">
      <c r="A7" s="62" t="s">
        <v>30</v>
      </c>
      <c r="B7" s="62" t="s">
        <v>56</v>
      </c>
      <c r="C7" s="62" t="s">
        <v>200</v>
      </c>
      <c r="D7" s="62"/>
      <c r="E7" s="62">
        <f t="shared" ref="E7:E31" si="2">RANK(G7,$G$6:$G$31,1)</f>
        <v>6</v>
      </c>
      <c r="F7" s="128" t="s">
        <v>79</v>
      </c>
      <c r="G7" s="129">
        <v>82.124500624600884</v>
      </c>
      <c r="H7" s="129">
        <v>80.512300650093849</v>
      </c>
      <c r="I7" s="129">
        <v>83.73670059910792</v>
      </c>
      <c r="J7" s="129"/>
      <c r="K7" s="129"/>
      <c r="L7" s="129"/>
      <c r="M7" s="60">
        <f t="shared" si="0"/>
        <v>5</v>
      </c>
      <c r="N7" s="61">
        <f t="shared" ref="N7:N31" si="3">MIN($G$6:$G$32)</f>
        <v>77.906537997353666</v>
      </c>
      <c r="O7" s="61">
        <f t="shared" ref="O7:O31" si="4">VLOOKUP(7,$E$5:$G$39,3,FALSE)</f>
        <v>82.305900903132709</v>
      </c>
      <c r="P7" s="129">
        <f t="shared" ref="P7:P31" si="5">$G$32</f>
        <v>83.310312746401536</v>
      </c>
      <c r="Q7" s="129">
        <f t="shared" ref="Q7:Q31" si="6">$H$32</f>
        <v>82.896430808668825</v>
      </c>
      <c r="R7" s="129">
        <f t="shared" ref="R7:R31" si="7">$I$32</f>
        <v>83.724194684134247</v>
      </c>
      <c r="S7" s="61">
        <f t="shared" ref="S7:S31" si="8">VLOOKUP(19,$E$5:$G$39,3,FALSE)</f>
        <v>84.881768733522961</v>
      </c>
      <c r="T7" s="61">
        <f t="shared" si="1"/>
        <v>88.250913297544571</v>
      </c>
      <c r="U7" s="61">
        <f>VLOOKUP(C7,$C$43:$I$46,5,FALSE)</f>
        <v>83.346999062287821</v>
      </c>
      <c r="V7" s="61"/>
      <c r="Y7" s="159" t="s">
        <v>35</v>
      </c>
      <c r="Z7" s="159" t="s">
        <v>60</v>
      </c>
      <c r="AA7" s="159" t="s">
        <v>163</v>
      </c>
      <c r="AB7" s="159">
        <f t="shared" ref="AB7:AB12" si="9">RANK(AH7,$AH$6:$AH$13,1)</f>
        <v>2</v>
      </c>
      <c r="AC7" s="164">
        <f>MIN($AH$6:$AH$13)</f>
        <v>80.71590671018204</v>
      </c>
      <c r="AD7" s="164">
        <f t="shared" ref="AD7:AD13" si="10">MAX($AH$6:$AH$13)</f>
        <v>88.250913297544571</v>
      </c>
      <c r="AE7" s="159"/>
      <c r="AF7" s="159">
        <f t="shared" ref="AF7:AF31" si="11">VLOOKUP($Y7,$A$6:$I$31,5,FALSE)</f>
        <v>4</v>
      </c>
      <c r="AG7" s="160" t="str">
        <f t="shared" ref="AG7:AG31" si="12">VLOOKUP($Y7,$A$6:$I$31,6,FALSE)</f>
        <v>N/A</v>
      </c>
      <c r="AH7" s="161">
        <f t="shared" ref="AH7:AH31" si="13">VLOOKUP($Y7,$A$6:$I$31,7,FALSE)</f>
        <v>81.090021487336827</v>
      </c>
      <c r="AI7" s="161">
        <f t="shared" ref="AI7:AI31" si="14">VLOOKUP($Y7,$A$6:$I$31,8,FALSE)</f>
        <v>79.459395512912181</v>
      </c>
      <c r="AJ7" s="161">
        <f t="shared" ref="AJ7:AJ31" si="15">VLOOKUP($Y7,$A$6:$I$31,9,FALSE)</f>
        <v>82.720647461761473</v>
      </c>
      <c r="AK7" s="160">
        <f t="shared" ref="AK7:AK31" si="16">VLOOKUP($Y7,$A$6:$M$31,13,FALSE)</f>
        <v>1</v>
      </c>
    </row>
    <row r="8" spans="1:37" x14ac:dyDescent="0.2">
      <c r="A8" s="62" t="s">
        <v>31</v>
      </c>
      <c r="B8" s="62" t="s">
        <v>57</v>
      </c>
      <c r="C8" s="62" t="s">
        <v>200</v>
      </c>
      <c r="D8" s="62"/>
      <c r="E8" s="62">
        <f t="shared" si="2"/>
        <v>17</v>
      </c>
      <c r="F8" s="128" t="s">
        <v>79</v>
      </c>
      <c r="G8" s="129">
        <v>84.474089108412414</v>
      </c>
      <c r="H8" s="129">
        <v>82.610399413300001</v>
      </c>
      <c r="I8" s="129">
        <v>86.337778803524827</v>
      </c>
      <c r="J8" s="129"/>
      <c r="K8" s="129"/>
      <c r="L8" s="129"/>
      <c r="M8" s="60">
        <f t="shared" si="0"/>
        <v>5</v>
      </c>
      <c r="N8" s="61">
        <f t="shared" si="3"/>
        <v>77.906537997353666</v>
      </c>
      <c r="O8" s="61">
        <f t="shared" si="4"/>
        <v>82.305900903132709</v>
      </c>
      <c r="P8" s="129">
        <f t="shared" si="5"/>
        <v>83.310312746401536</v>
      </c>
      <c r="Q8" s="129">
        <f t="shared" si="6"/>
        <v>82.896430808668825</v>
      </c>
      <c r="R8" s="129">
        <f t="shared" si="7"/>
        <v>83.724194684134247</v>
      </c>
      <c r="S8" s="61">
        <f t="shared" si="8"/>
        <v>84.881768733522961</v>
      </c>
      <c r="T8" s="61">
        <f t="shared" si="1"/>
        <v>88.250913297544571</v>
      </c>
      <c r="U8" s="61">
        <f t="shared" ref="U8:U31" si="17">VLOOKUP(C8,$C$43:$I$46,5,FALSE)</f>
        <v>83.346999062287821</v>
      </c>
      <c r="V8" s="61"/>
      <c r="Y8" s="159" t="s">
        <v>41</v>
      </c>
      <c r="Z8" s="159" t="s">
        <v>64</v>
      </c>
      <c r="AA8" s="159" t="s">
        <v>163</v>
      </c>
      <c r="AB8" s="159">
        <f t="shared" si="9"/>
        <v>3</v>
      </c>
      <c r="AC8" s="164">
        <f t="shared" ref="AC8:AC13" si="18">MIN($AH$6:$AH$13)</f>
        <v>80.71590671018204</v>
      </c>
      <c r="AD8" s="164">
        <f>MAX($AH$6:$AH$13)</f>
        <v>88.250913297544571</v>
      </c>
      <c r="AE8" s="159"/>
      <c r="AF8" s="159">
        <f t="shared" si="11"/>
        <v>5</v>
      </c>
      <c r="AG8" s="160" t="str">
        <f t="shared" si="12"/>
        <v>N/A</v>
      </c>
      <c r="AH8" s="161">
        <f t="shared" si="13"/>
        <v>82.05250154202119</v>
      </c>
      <c r="AI8" s="161">
        <f t="shared" si="14"/>
        <v>80.054666093951184</v>
      </c>
      <c r="AJ8" s="161">
        <f t="shared" si="15"/>
        <v>84.050336990091196</v>
      </c>
      <c r="AK8" s="160">
        <f t="shared" si="16"/>
        <v>5</v>
      </c>
    </row>
    <row r="9" spans="1:37" x14ac:dyDescent="0.2">
      <c r="A9" s="62" t="s">
        <v>32</v>
      </c>
      <c r="B9" s="62" t="s">
        <v>156</v>
      </c>
      <c r="C9" s="62" t="s">
        <v>201</v>
      </c>
      <c r="D9" s="62"/>
      <c r="E9" s="62">
        <f t="shared" si="2"/>
        <v>14</v>
      </c>
      <c r="F9" s="128" t="s">
        <v>79</v>
      </c>
      <c r="G9" s="129">
        <v>84.219493218600675</v>
      </c>
      <c r="H9" s="129">
        <v>81.96177587583864</v>
      </c>
      <c r="I9" s="129">
        <v>86.47721056136271</v>
      </c>
      <c r="J9" s="129"/>
      <c r="K9" s="129"/>
      <c r="L9" s="129"/>
      <c r="M9" s="60">
        <f t="shared" si="0"/>
        <v>5</v>
      </c>
      <c r="N9" s="61">
        <f t="shared" si="3"/>
        <v>77.906537997353666</v>
      </c>
      <c r="O9" s="61">
        <f t="shared" si="4"/>
        <v>82.305900903132709</v>
      </c>
      <c r="P9" s="129">
        <f t="shared" si="5"/>
        <v>83.310312746401536</v>
      </c>
      <c r="Q9" s="129">
        <f t="shared" si="6"/>
        <v>82.896430808668825</v>
      </c>
      <c r="R9" s="129">
        <f t="shared" si="7"/>
        <v>83.724194684134247</v>
      </c>
      <c r="S9" s="61">
        <f t="shared" si="8"/>
        <v>84.881768733522961</v>
      </c>
      <c r="T9" s="61">
        <f t="shared" si="1"/>
        <v>88.250913297544571</v>
      </c>
      <c r="U9" s="61">
        <f t="shared" si="17"/>
        <v>83.299461907229713</v>
      </c>
      <c r="V9" s="61"/>
      <c r="X9" s="63"/>
      <c r="Y9" s="159" t="s">
        <v>45</v>
      </c>
      <c r="Z9" s="159" t="s">
        <v>67</v>
      </c>
      <c r="AA9" s="159" t="s">
        <v>163</v>
      </c>
      <c r="AB9" s="159">
        <f t="shared" si="9"/>
        <v>6</v>
      </c>
      <c r="AC9" s="164">
        <f t="shared" si="18"/>
        <v>80.71590671018204</v>
      </c>
      <c r="AD9" s="164">
        <f t="shared" si="10"/>
        <v>88.250913297544571</v>
      </c>
      <c r="AE9" s="159"/>
      <c r="AF9" s="159">
        <f t="shared" si="11"/>
        <v>15</v>
      </c>
      <c r="AG9" s="160" t="str">
        <f t="shared" si="12"/>
        <v>N/A</v>
      </c>
      <c r="AH9" s="161">
        <f t="shared" si="13"/>
        <v>84.297751306289214</v>
      </c>
      <c r="AI9" s="161">
        <f t="shared" si="14"/>
        <v>82.362528139766425</v>
      </c>
      <c r="AJ9" s="161">
        <f t="shared" si="15"/>
        <v>86.232974472812003</v>
      </c>
      <c r="AK9" s="160">
        <f t="shared" si="16"/>
        <v>5</v>
      </c>
    </row>
    <row r="10" spans="1:37" x14ac:dyDescent="0.2">
      <c r="A10" s="62" t="s">
        <v>33</v>
      </c>
      <c r="B10" s="62" t="s">
        <v>58</v>
      </c>
      <c r="C10" s="62" t="s">
        <v>163</v>
      </c>
      <c r="D10" s="62"/>
      <c r="E10" s="62">
        <f t="shared" si="2"/>
        <v>13</v>
      </c>
      <c r="F10" s="128" t="s">
        <v>79</v>
      </c>
      <c r="G10" s="129">
        <v>83.947851298851276</v>
      </c>
      <c r="H10" s="129">
        <v>81.901713827602791</v>
      </c>
      <c r="I10" s="129">
        <v>85.993988770099762</v>
      </c>
      <c r="J10" s="129"/>
      <c r="K10" s="129"/>
      <c r="L10" s="129"/>
      <c r="M10" s="60">
        <f t="shared" si="0"/>
        <v>5</v>
      </c>
      <c r="N10" s="61">
        <f t="shared" si="3"/>
        <v>77.906537997353666</v>
      </c>
      <c r="O10" s="61">
        <f t="shared" si="4"/>
        <v>82.305900903132709</v>
      </c>
      <c r="P10" s="129">
        <f t="shared" si="5"/>
        <v>83.310312746401536</v>
      </c>
      <c r="Q10" s="129">
        <f t="shared" si="6"/>
        <v>82.896430808668825</v>
      </c>
      <c r="R10" s="129">
        <f t="shared" si="7"/>
        <v>83.724194684134247</v>
      </c>
      <c r="S10" s="61">
        <f t="shared" si="8"/>
        <v>84.881768733522961</v>
      </c>
      <c r="T10" s="61">
        <f t="shared" si="1"/>
        <v>88.250913297544571</v>
      </c>
      <c r="U10" s="61">
        <f t="shared" si="17"/>
        <v>83.276967942778256</v>
      </c>
      <c r="V10" s="61"/>
      <c r="Y10" s="159" t="s">
        <v>46</v>
      </c>
      <c r="Z10" s="159" t="s">
        <v>68</v>
      </c>
      <c r="AA10" s="159" t="s">
        <v>163</v>
      </c>
      <c r="AB10" s="159">
        <f t="shared" si="9"/>
        <v>7</v>
      </c>
      <c r="AC10" s="164">
        <f t="shared" si="18"/>
        <v>80.71590671018204</v>
      </c>
      <c r="AD10" s="164">
        <f t="shared" si="10"/>
        <v>88.250913297544571</v>
      </c>
      <c r="AE10" s="159"/>
      <c r="AF10" s="159">
        <f t="shared" si="11"/>
        <v>22</v>
      </c>
      <c r="AG10" s="160" t="str">
        <f t="shared" si="12"/>
        <v>N/A</v>
      </c>
      <c r="AH10" s="161">
        <f t="shared" si="13"/>
        <v>87.088288449760967</v>
      </c>
      <c r="AI10" s="161">
        <f t="shared" si="14"/>
        <v>84.696922945126246</v>
      </c>
      <c r="AJ10" s="161">
        <f t="shared" si="15"/>
        <v>89.479653954395687</v>
      </c>
      <c r="AK10" s="160">
        <f t="shared" si="16"/>
        <v>2</v>
      </c>
    </row>
    <row r="11" spans="1:37" x14ac:dyDescent="0.2">
      <c r="A11" s="62" t="s">
        <v>34</v>
      </c>
      <c r="B11" s="62" t="s">
        <v>59</v>
      </c>
      <c r="C11" s="62" t="s">
        <v>200</v>
      </c>
      <c r="D11" s="62"/>
      <c r="E11" s="62">
        <f t="shared" si="2"/>
        <v>18</v>
      </c>
      <c r="F11" s="128" t="s">
        <v>79</v>
      </c>
      <c r="G11" s="129">
        <v>84.645550270539815</v>
      </c>
      <c r="H11" s="129">
        <v>82.587404762262594</v>
      </c>
      <c r="I11" s="129">
        <v>86.703695778817035</v>
      </c>
      <c r="J11" s="129"/>
      <c r="K11" s="129"/>
      <c r="L11" s="129"/>
      <c r="M11" s="60">
        <f t="shared" si="0"/>
        <v>5</v>
      </c>
      <c r="N11" s="61">
        <f t="shared" si="3"/>
        <v>77.906537997353666</v>
      </c>
      <c r="O11" s="61">
        <f t="shared" si="4"/>
        <v>82.305900903132709</v>
      </c>
      <c r="P11" s="129">
        <f t="shared" si="5"/>
        <v>83.310312746401536</v>
      </c>
      <c r="Q11" s="129">
        <f t="shared" si="6"/>
        <v>82.896430808668825</v>
      </c>
      <c r="R11" s="129">
        <f t="shared" si="7"/>
        <v>83.724194684134247</v>
      </c>
      <c r="S11" s="61">
        <f t="shared" si="8"/>
        <v>84.881768733522961</v>
      </c>
      <c r="T11" s="61">
        <f t="shared" si="1"/>
        <v>88.250913297544571</v>
      </c>
      <c r="U11" s="61">
        <f t="shared" si="17"/>
        <v>83.346999062287821</v>
      </c>
      <c r="V11" s="61"/>
      <c r="Y11" s="159" t="s">
        <v>47</v>
      </c>
      <c r="Z11" s="159" t="s">
        <v>69</v>
      </c>
      <c r="AA11" s="159" t="s">
        <v>163</v>
      </c>
      <c r="AB11" s="159">
        <f t="shared" si="9"/>
        <v>8</v>
      </c>
      <c r="AC11" s="164">
        <f t="shared" si="18"/>
        <v>80.71590671018204</v>
      </c>
      <c r="AD11" s="164">
        <f t="shared" si="10"/>
        <v>88.250913297544571</v>
      </c>
      <c r="AE11" s="159"/>
      <c r="AF11" s="159">
        <f t="shared" si="11"/>
        <v>25</v>
      </c>
      <c r="AG11" s="160" t="str">
        <f t="shared" si="12"/>
        <v>N/A</v>
      </c>
      <c r="AH11" s="161">
        <f t="shared" si="13"/>
        <v>88.250913297544571</v>
      </c>
      <c r="AI11" s="161">
        <f t="shared" si="14"/>
        <v>83.839866492513764</v>
      </c>
      <c r="AJ11" s="161">
        <f t="shared" si="15"/>
        <v>92.661960102575378</v>
      </c>
      <c r="AK11" s="160">
        <f t="shared" si="16"/>
        <v>2</v>
      </c>
    </row>
    <row r="12" spans="1:37" x14ac:dyDescent="0.2">
      <c r="A12" s="62" t="s">
        <v>35</v>
      </c>
      <c r="B12" s="62" t="s">
        <v>60</v>
      </c>
      <c r="C12" s="62" t="s">
        <v>163</v>
      </c>
      <c r="D12" s="62"/>
      <c r="E12" s="62">
        <f t="shared" si="2"/>
        <v>4</v>
      </c>
      <c r="F12" s="128" t="s">
        <v>79</v>
      </c>
      <c r="G12" s="129">
        <v>81.090021487336827</v>
      </c>
      <c r="H12" s="129">
        <v>79.459395512912181</v>
      </c>
      <c r="I12" s="129">
        <v>82.720647461761473</v>
      </c>
      <c r="J12" s="129"/>
      <c r="K12" s="129"/>
      <c r="L12" s="129"/>
      <c r="M12" s="60">
        <f t="shared" si="0"/>
        <v>1</v>
      </c>
      <c r="N12" s="61">
        <f t="shared" si="3"/>
        <v>77.906537997353666</v>
      </c>
      <c r="O12" s="61">
        <f t="shared" si="4"/>
        <v>82.305900903132709</v>
      </c>
      <c r="P12" s="129">
        <f t="shared" si="5"/>
        <v>83.310312746401536</v>
      </c>
      <c r="Q12" s="129">
        <f t="shared" si="6"/>
        <v>82.896430808668825</v>
      </c>
      <c r="R12" s="129">
        <f t="shared" si="7"/>
        <v>83.724194684134247</v>
      </c>
      <c r="S12" s="61">
        <f t="shared" si="8"/>
        <v>84.881768733522961</v>
      </c>
      <c r="T12" s="61">
        <f t="shared" si="1"/>
        <v>88.250913297544571</v>
      </c>
      <c r="U12" s="61">
        <f t="shared" si="17"/>
        <v>83.276967942778256</v>
      </c>
      <c r="V12" s="61"/>
      <c r="Y12" s="159" t="s">
        <v>50</v>
      </c>
      <c r="Z12" s="159" t="s">
        <v>161</v>
      </c>
      <c r="AA12" s="159" t="s">
        <v>163</v>
      </c>
      <c r="AB12" s="159">
        <f t="shared" si="9"/>
        <v>1</v>
      </c>
      <c r="AC12" s="164">
        <f t="shared" si="18"/>
        <v>80.71590671018204</v>
      </c>
      <c r="AD12" s="164">
        <f t="shared" si="10"/>
        <v>88.250913297544571</v>
      </c>
      <c r="AE12" s="159"/>
      <c r="AF12" s="159">
        <f t="shared" si="11"/>
        <v>3</v>
      </c>
      <c r="AG12" s="160" t="str">
        <f t="shared" si="12"/>
        <v>N/A</v>
      </c>
      <c r="AH12" s="161">
        <f t="shared" si="13"/>
        <v>80.71590671018204</v>
      </c>
      <c r="AI12" s="161">
        <f t="shared" si="14"/>
        <v>78.31562914921254</v>
      </c>
      <c r="AJ12" s="161">
        <f t="shared" si="15"/>
        <v>83.116184271151539</v>
      </c>
      <c r="AK12" s="160">
        <f t="shared" si="16"/>
        <v>5</v>
      </c>
    </row>
    <row r="13" spans="1:37" x14ac:dyDescent="0.2">
      <c r="A13" s="62" t="s">
        <v>36</v>
      </c>
      <c r="B13" s="62" t="s">
        <v>61</v>
      </c>
      <c r="C13" s="62" t="s">
        <v>201</v>
      </c>
      <c r="D13" s="62"/>
      <c r="E13" s="62" t="e">
        <f t="shared" si="2"/>
        <v>#VALUE!</v>
      </c>
      <c r="F13" s="128" t="s">
        <v>79</v>
      </c>
      <c r="G13" s="129" t="s">
        <v>79</v>
      </c>
      <c r="H13" s="129" t="s">
        <v>79</v>
      </c>
      <c r="I13" s="129" t="s">
        <v>79</v>
      </c>
      <c r="J13" s="129"/>
      <c r="K13" s="129"/>
      <c r="L13" s="129"/>
      <c r="M13" s="60"/>
      <c r="N13" s="61">
        <f t="shared" si="3"/>
        <v>77.906537997353666</v>
      </c>
      <c r="O13" s="61">
        <f t="shared" si="4"/>
        <v>82.305900903132709</v>
      </c>
      <c r="P13" s="129">
        <f t="shared" si="5"/>
        <v>83.310312746401536</v>
      </c>
      <c r="Q13" s="129">
        <f t="shared" si="6"/>
        <v>82.896430808668825</v>
      </c>
      <c r="R13" s="129">
        <f t="shared" si="7"/>
        <v>83.724194684134247</v>
      </c>
      <c r="S13" s="61">
        <f t="shared" si="8"/>
        <v>84.881768733522961</v>
      </c>
      <c r="T13" s="61">
        <f t="shared" si="1"/>
        <v>88.250913297544571</v>
      </c>
      <c r="U13" s="61">
        <f t="shared" si="17"/>
        <v>83.299461907229713</v>
      </c>
      <c r="V13" s="61"/>
      <c r="Y13" s="159" t="s">
        <v>53</v>
      </c>
      <c r="Z13" s="159" t="s">
        <v>162</v>
      </c>
      <c r="AA13" s="159" t="s">
        <v>163</v>
      </c>
      <c r="AB13" s="159">
        <f>RANK(AH13,$AH$6:$AH$13,1)</f>
        <v>4</v>
      </c>
      <c r="AC13" s="164">
        <f t="shared" si="18"/>
        <v>80.71590671018204</v>
      </c>
      <c r="AD13" s="164">
        <f t="shared" si="10"/>
        <v>88.250913297544571</v>
      </c>
      <c r="AE13" s="159"/>
      <c r="AF13" s="159">
        <f t="shared" si="11"/>
        <v>11</v>
      </c>
      <c r="AG13" s="160" t="str">
        <f t="shared" si="12"/>
        <v>N/A</v>
      </c>
      <c r="AH13" s="161">
        <f t="shared" si="13"/>
        <v>83.609735491223077</v>
      </c>
      <c r="AI13" s="161">
        <f t="shared" si="14"/>
        <v>82.153713803426314</v>
      </c>
      <c r="AJ13" s="161">
        <f t="shared" si="15"/>
        <v>85.06575717901984</v>
      </c>
      <c r="AK13" s="160">
        <f t="shared" si="16"/>
        <v>5</v>
      </c>
    </row>
    <row r="14" spans="1:37" x14ac:dyDescent="0.2">
      <c r="A14" s="62" t="s">
        <v>37</v>
      </c>
      <c r="B14" s="62" t="s">
        <v>157</v>
      </c>
      <c r="C14" s="62" t="s">
        <v>201</v>
      </c>
      <c r="D14" s="62"/>
      <c r="E14" s="62">
        <f t="shared" si="2"/>
        <v>23</v>
      </c>
      <c r="F14" s="128" t="s">
        <v>79</v>
      </c>
      <c r="G14" s="129">
        <v>87.87852495654046</v>
      </c>
      <c r="H14" s="129">
        <v>83.64637748258167</v>
      </c>
      <c r="I14" s="129">
        <v>92.11067243049925</v>
      </c>
      <c r="J14" s="129"/>
      <c r="K14" s="129"/>
      <c r="L14" s="129"/>
      <c r="M14" s="60">
        <f t="shared" si="0"/>
        <v>5</v>
      </c>
      <c r="N14" s="61">
        <f t="shared" si="3"/>
        <v>77.906537997353666</v>
      </c>
      <c r="O14" s="61">
        <f t="shared" si="4"/>
        <v>82.305900903132709</v>
      </c>
      <c r="P14" s="129">
        <f t="shared" si="5"/>
        <v>83.310312746401536</v>
      </c>
      <c r="Q14" s="129">
        <f t="shared" si="6"/>
        <v>82.896430808668825</v>
      </c>
      <c r="R14" s="129">
        <f t="shared" si="7"/>
        <v>83.724194684134247</v>
      </c>
      <c r="S14" s="61">
        <f t="shared" si="8"/>
        <v>84.881768733522961</v>
      </c>
      <c r="T14" s="61">
        <f t="shared" si="1"/>
        <v>88.250913297544571</v>
      </c>
      <c r="U14" s="61">
        <f t="shared" si="17"/>
        <v>83.299461907229713</v>
      </c>
      <c r="V14" s="61"/>
      <c r="Y14" s="162" t="s">
        <v>29</v>
      </c>
      <c r="Z14" s="162" t="s">
        <v>55</v>
      </c>
      <c r="AA14" s="162" t="s">
        <v>201</v>
      </c>
      <c r="AB14" s="162">
        <f>RANK(AH14,$AH$14:$AH$22,1)</f>
        <v>3</v>
      </c>
      <c r="AC14" s="165">
        <f t="shared" ref="AC14:AC22" si="19">MIN($AH$14:$AH$22)</f>
        <v>77.906537997353666</v>
      </c>
      <c r="AD14" s="165">
        <f>MAX($AH$14:$AH$22)</f>
        <v>87.890632017867972</v>
      </c>
      <c r="AE14" s="162"/>
      <c r="AF14" s="162">
        <f t="shared" si="11"/>
        <v>8</v>
      </c>
      <c r="AG14" s="167" t="str">
        <f t="shared" si="12"/>
        <v>N/A</v>
      </c>
      <c r="AH14" s="165">
        <f t="shared" si="13"/>
        <v>82.423052143439108</v>
      </c>
      <c r="AI14" s="165">
        <f t="shared" si="14"/>
        <v>79.590318085289326</v>
      </c>
      <c r="AJ14" s="165">
        <f t="shared" si="15"/>
        <v>85.25578620158889</v>
      </c>
      <c r="AK14" s="167">
        <f t="shared" si="16"/>
        <v>5</v>
      </c>
    </row>
    <row r="15" spans="1:37" x14ac:dyDescent="0.2">
      <c r="A15" s="62" t="s">
        <v>38</v>
      </c>
      <c r="B15" s="62" t="s">
        <v>62</v>
      </c>
      <c r="C15" s="62" t="s">
        <v>201</v>
      </c>
      <c r="D15" s="62"/>
      <c r="E15" s="62">
        <f t="shared" si="2"/>
        <v>20</v>
      </c>
      <c r="F15" s="128" t="s">
        <v>79</v>
      </c>
      <c r="G15" s="129">
        <v>85.224396464717969</v>
      </c>
      <c r="H15" s="129">
        <v>82.360834724501331</v>
      </c>
      <c r="I15" s="129">
        <v>88.087958204934608</v>
      </c>
      <c r="J15" s="129"/>
      <c r="K15" s="129"/>
      <c r="L15" s="129"/>
      <c r="M15" s="60">
        <f t="shared" si="0"/>
        <v>5</v>
      </c>
      <c r="N15" s="61">
        <f t="shared" si="3"/>
        <v>77.906537997353666</v>
      </c>
      <c r="O15" s="61">
        <f t="shared" si="4"/>
        <v>82.305900903132709</v>
      </c>
      <c r="P15" s="129">
        <f t="shared" si="5"/>
        <v>83.310312746401536</v>
      </c>
      <c r="Q15" s="129">
        <f t="shared" si="6"/>
        <v>82.896430808668825</v>
      </c>
      <c r="R15" s="129">
        <f t="shared" si="7"/>
        <v>83.724194684134247</v>
      </c>
      <c r="S15" s="61">
        <f t="shared" si="8"/>
        <v>84.881768733522961</v>
      </c>
      <c r="T15" s="61">
        <f t="shared" si="1"/>
        <v>88.250913297544571</v>
      </c>
      <c r="U15" s="61">
        <f t="shared" si="17"/>
        <v>83.299461907229713</v>
      </c>
      <c r="V15" s="61"/>
      <c r="Y15" s="162" t="s">
        <v>32</v>
      </c>
      <c r="Z15" s="162" t="s">
        <v>156</v>
      </c>
      <c r="AA15" s="162" t="s">
        <v>201</v>
      </c>
      <c r="AB15" s="162">
        <f>RANK(AH15,$AH$14:$AH$22,1)</f>
        <v>5</v>
      </c>
      <c r="AC15" s="165">
        <f t="shared" si="19"/>
        <v>77.906537997353666</v>
      </c>
      <c r="AD15" s="165">
        <f t="shared" ref="AD15:AD22" si="20">MAX($AH$14:$AH$22)</f>
        <v>87.890632017867972</v>
      </c>
      <c r="AE15" s="162"/>
      <c r="AF15" s="162">
        <f t="shared" si="11"/>
        <v>14</v>
      </c>
      <c r="AG15" s="167" t="str">
        <f t="shared" si="12"/>
        <v>N/A</v>
      </c>
      <c r="AH15" s="165">
        <f t="shared" si="13"/>
        <v>84.219493218600675</v>
      </c>
      <c r="AI15" s="165">
        <f t="shared" si="14"/>
        <v>81.96177587583864</v>
      </c>
      <c r="AJ15" s="165">
        <f t="shared" si="15"/>
        <v>86.47721056136271</v>
      </c>
      <c r="AK15" s="167">
        <f t="shared" si="16"/>
        <v>5</v>
      </c>
    </row>
    <row r="16" spans="1:37" x14ac:dyDescent="0.2">
      <c r="A16" s="62" t="s">
        <v>39</v>
      </c>
      <c r="B16" s="62" t="s">
        <v>158</v>
      </c>
      <c r="C16" s="62" t="s">
        <v>200</v>
      </c>
      <c r="D16" s="62"/>
      <c r="E16" s="62">
        <f t="shared" si="2"/>
        <v>10</v>
      </c>
      <c r="F16" s="128" t="s">
        <v>79</v>
      </c>
      <c r="G16" s="129">
        <v>83.457407118944715</v>
      </c>
      <c r="H16" s="129">
        <v>81.495834091742964</v>
      </c>
      <c r="I16" s="129">
        <v>85.418980146146467</v>
      </c>
      <c r="J16" s="129"/>
      <c r="K16" s="129"/>
      <c r="L16" s="129"/>
      <c r="M16" s="60">
        <f t="shared" si="0"/>
        <v>5</v>
      </c>
      <c r="N16" s="61">
        <f t="shared" si="3"/>
        <v>77.906537997353666</v>
      </c>
      <c r="O16" s="61">
        <f t="shared" si="4"/>
        <v>82.305900903132709</v>
      </c>
      <c r="P16" s="129">
        <f t="shared" si="5"/>
        <v>83.310312746401536</v>
      </c>
      <c r="Q16" s="129">
        <f t="shared" si="6"/>
        <v>82.896430808668825</v>
      </c>
      <c r="R16" s="129">
        <f t="shared" si="7"/>
        <v>83.724194684134247</v>
      </c>
      <c r="S16" s="61">
        <f t="shared" si="8"/>
        <v>84.881768733522961</v>
      </c>
      <c r="T16" s="61">
        <f t="shared" si="1"/>
        <v>88.250913297544571</v>
      </c>
      <c r="U16" s="61">
        <f t="shared" si="17"/>
        <v>83.346999062287821</v>
      </c>
      <c r="V16" s="61"/>
      <c r="Y16" s="162" t="s">
        <v>36</v>
      </c>
      <c r="Z16" s="162" t="s">
        <v>61</v>
      </c>
      <c r="AA16" s="162" t="s">
        <v>201</v>
      </c>
      <c r="AB16" s="162" t="e">
        <f>RANK(AH16,$AH$14:$AH$22,1)</f>
        <v>#VALUE!</v>
      </c>
      <c r="AC16" s="165">
        <f t="shared" si="19"/>
        <v>77.906537997353666</v>
      </c>
      <c r="AD16" s="165">
        <f t="shared" si="20"/>
        <v>87.890632017867972</v>
      </c>
      <c r="AE16" s="162"/>
      <c r="AF16" s="162" t="e">
        <f t="shared" si="11"/>
        <v>#VALUE!</v>
      </c>
      <c r="AG16" s="167" t="str">
        <f t="shared" si="12"/>
        <v>N/A</v>
      </c>
      <c r="AH16" s="165" t="str">
        <f>VLOOKUP($Y16,$A$6:$I$31,7,FALSE)</f>
        <v>N/A</v>
      </c>
      <c r="AI16" s="165" t="str">
        <f t="shared" si="14"/>
        <v>N/A</v>
      </c>
      <c r="AJ16" s="165" t="str">
        <f t="shared" si="15"/>
        <v>N/A</v>
      </c>
      <c r="AK16" s="167">
        <f t="shared" si="16"/>
        <v>0</v>
      </c>
    </row>
    <row r="17" spans="1:37" x14ac:dyDescent="0.2">
      <c r="A17" s="62" t="s">
        <v>40</v>
      </c>
      <c r="B17" s="62" t="s">
        <v>63</v>
      </c>
      <c r="C17" s="62" t="s">
        <v>200</v>
      </c>
      <c r="D17" s="62"/>
      <c r="E17" s="62">
        <f t="shared" si="2"/>
        <v>12</v>
      </c>
      <c r="F17" s="128" t="s">
        <v>79</v>
      </c>
      <c r="G17" s="129">
        <v>83.876327124981827</v>
      </c>
      <c r="H17" s="129">
        <v>81.584142505246518</v>
      </c>
      <c r="I17" s="129">
        <v>86.168511744717136</v>
      </c>
      <c r="J17" s="129"/>
      <c r="K17" s="129"/>
      <c r="L17" s="129"/>
      <c r="M17" s="60">
        <f t="shared" si="0"/>
        <v>5</v>
      </c>
      <c r="N17" s="61">
        <f t="shared" si="3"/>
        <v>77.906537997353666</v>
      </c>
      <c r="O17" s="61">
        <f t="shared" si="4"/>
        <v>82.305900903132709</v>
      </c>
      <c r="P17" s="129">
        <f t="shared" si="5"/>
        <v>83.310312746401536</v>
      </c>
      <c r="Q17" s="129">
        <f t="shared" si="6"/>
        <v>82.896430808668825</v>
      </c>
      <c r="R17" s="129">
        <f t="shared" si="7"/>
        <v>83.724194684134247</v>
      </c>
      <c r="S17" s="61">
        <f t="shared" si="8"/>
        <v>84.881768733522961</v>
      </c>
      <c r="T17" s="61">
        <f t="shared" si="1"/>
        <v>88.250913297544571</v>
      </c>
      <c r="U17" s="61">
        <f t="shared" si="17"/>
        <v>83.346999062287821</v>
      </c>
      <c r="V17" s="61"/>
      <c r="Y17" s="162" t="s">
        <v>37</v>
      </c>
      <c r="Z17" s="162" t="s">
        <v>157</v>
      </c>
      <c r="AA17" s="162" t="s">
        <v>201</v>
      </c>
      <c r="AB17" s="162">
        <f t="shared" ref="AB17:AB22" si="21">RANK(AH17,$AH$14:$AH$22,1)</f>
        <v>7</v>
      </c>
      <c r="AC17" s="165">
        <f t="shared" si="19"/>
        <v>77.906537997353666</v>
      </c>
      <c r="AD17" s="165">
        <f>MAX($AH$14:$AH$22)</f>
        <v>87.890632017867972</v>
      </c>
      <c r="AE17" s="162"/>
      <c r="AF17" s="162">
        <f t="shared" si="11"/>
        <v>23</v>
      </c>
      <c r="AG17" s="167" t="str">
        <f>VLOOKUP($Y17,$A$6:$I$31,6,FALSE)</f>
        <v>N/A</v>
      </c>
      <c r="AH17" s="165">
        <f t="shared" si="13"/>
        <v>87.87852495654046</v>
      </c>
      <c r="AI17" s="165">
        <f t="shared" si="14"/>
        <v>83.64637748258167</v>
      </c>
      <c r="AJ17" s="165">
        <f t="shared" si="15"/>
        <v>92.11067243049925</v>
      </c>
      <c r="AK17" s="167">
        <f t="shared" si="16"/>
        <v>5</v>
      </c>
    </row>
    <row r="18" spans="1:37" x14ac:dyDescent="0.2">
      <c r="A18" s="62" t="s">
        <v>41</v>
      </c>
      <c r="B18" s="62" t="s">
        <v>64</v>
      </c>
      <c r="C18" s="62" t="s">
        <v>163</v>
      </c>
      <c r="D18" s="62"/>
      <c r="E18" s="62">
        <f t="shared" si="2"/>
        <v>5</v>
      </c>
      <c r="F18" s="128" t="s">
        <v>79</v>
      </c>
      <c r="G18" s="129">
        <v>82.05250154202119</v>
      </c>
      <c r="H18" s="129">
        <v>80.054666093951184</v>
      </c>
      <c r="I18" s="129">
        <v>84.050336990091196</v>
      </c>
      <c r="J18" s="129"/>
      <c r="K18" s="129"/>
      <c r="L18" s="129"/>
      <c r="M18" s="60">
        <f t="shared" si="0"/>
        <v>5</v>
      </c>
      <c r="N18" s="61">
        <f t="shared" si="3"/>
        <v>77.906537997353666</v>
      </c>
      <c r="O18" s="61">
        <f t="shared" si="4"/>
        <v>82.305900903132709</v>
      </c>
      <c r="P18" s="129">
        <f t="shared" si="5"/>
        <v>83.310312746401536</v>
      </c>
      <c r="Q18" s="129">
        <f t="shared" si="6"/>
        <v>82.896430808668825</v>
      </c>
      <c r="R18" s="129">
        <f t="shared" si="7"/>
        <v>83.724194684134247</v>
      </c>
      <c r="S18" s="61">
        <f t="shared" si="8"/>
        <v>84.881768733522961</v>
      </c>
      <c r="T18" s="61">
        <f t="shared" si="1"/>
        <v>88.250913297544571</v>
      </c>
      <c r="U18" s="61">
        <f t="shared" si="17"/>
        <v>83.276967942778256</v>
      </c>
      <c r="V18" s="61"/>
      <c r="Y18" s="162" t="s">
        <v>38</v>
      </c>
      <c r="Z18" s="162" t="s">
        <v>62</v>
      </c>
      <c r="AA18" s="162" t="s">
        <v>201</v>
      </c>
      <c r="AB18" s="162">
        <f t="shared" si="21"/>
        <v>6</v>
      </c>
      <c r="AC18" s="165">
        <f t="shared" si="19"/>
        <v>77.906537997353666</v>
      </c>
      <c r="AD18" s="165">
        <f t="shared" si="20"/>
        <v>87.890632017867972</v>
      </c>
      <c r="AE18" s="162"/>
      <c r="AF18" s="162">
        <f t="shared" si="11"/>
        <v>20</v>
      </c>
      <c r="AG18" s="167" t="str">
        <f t="shared" si="12"/>
        <v>N/A</v>
      </c>
      <c r="AH18" s="165">
        <f t="shared" si="13"/>
        <v>85.224396464717969</v>
      </c>
      <c r="AI18" s="165">
        <f t="shared" si="14"/>
        <v>82.360834724501331</v>
      </c>
      <c r="AJ18" s="165">
        <f t="shared" si="15"/>
        <v>88.087958204934608</v>
      </c>
      <c r="AK18" s="167">
        <f t="shared" si="16"/>
        <v>5</v>
      </c>
    </row>
    <row r="19" spans="1:37" x14ac:dyDescent="0.2">
      <c r="A19" s="62" t="s">
        <v>42</v>
      </c>
      <c r="B19" s="62" t="s">
        <v>65</v>
      </c>
      <c r="C19" s="62" t="s">
        <v>200</v>
      </c>
      <c r="D19" s="62"/>
      <c r="E19" s="62">
        <f t="shared" si="2"/>
        <v>21</v>
      </c>
      <c r="F19" s="128" t="s">
        <v>79</v>
      </c>
      <c r="G19" s="129">
        <v>85.573310759665858</v>
      </c>
      <c r="H19" s="129">
        <v>81.544363999099417</v>
      </c>
      <c r="I19" s="129">
        <v>89.6022575202323</v>
      </c>
      <c r="J19" s="129"/>
      <c r="K19" s="129"/>
      <c r="L19" s="129"/>
      <c r="M19" s="60">
        <f t="shared" si="0"/>
        <v>5</v>
      </c>
      <c r="N19" s="61">
        <f t="shared" si="3"/>
        <v>77.906537997353666</v>
      </c>
      <c r="O19" s="61">
        <f t="shared" si="4"/>
        <v>82.305900903132709</v>
      </c>
      <c r="P19" s="129">
        <f t="shared" si="5"/>
        <v>83.310312746401536</v>
      </c>
      <c r="Q19" s="129">
        <f t="shared" si="6"/>
        <v>82.896430808668825</v>
      </c>
      <c r="R19" s="129">
        <f t="shared" si="7"/>
        <v>83.724194684134247</v>
      </c>
      <c r="S19" s="61">
        <f t="shared" si="8"/>
        <v>84.881768733522961</v>
      </c>
      <c r="T19" s="61">
        <f t="shared" si="1"/>
        <v>88.250913297544571</v>
      </c>
      <c r="U19" s="61">
        <f t="shared" si="17"/>
        <v>83.346999062287821</v>
      </c>
      <c r="V19" s="61"/>
      <c r="Y19" s="162" t="s">
        <v>43</v>
      </c>
      <c r="Z19" s="162" t="s">
        <v>159</v>
      </c>
      <c r="AA19" s="162" t="s">
        <v>201</v>
      </c>
      <c r="AB19" s="162">
        <f t="shared" si="21"/>
        <v>2</v>
      </c>
      <c r="AC19" s="165">
        <f t="shared" si="19"/>
        <v>77.906537997353666</v>
      </c>
      <c r="AD19" s="165">
        <f t="shared" si="20"/>
        <v>87.890632017867972</v>
      </c>
      <c r="AE19" s="162"/>
      <c r="AF19" s="162">
        <f t="shared" si="11"/>
        <v>7</v>
      </c>
      <c r="AG19" s="167" t="str">
        <f t="shared" si="12"/>
        <v>N/A</v>
      </c>
      <c r="AH19" s="165">
        <f t="shared" si="13"/>
        <v>82.305900903132709</v>
      </c>
      <c r="AI19" s="165">
        <f t="shared" si="14"/>
        <v>80.506221751447924</v>
      </c>
      <c r="AJ19" s="165">
        <f t="shared" si="15"/>
        <v>84.105580054817494</v>
      </c>
      <c r="AK19" s="167">
        <f t="shared" si="16"/>
        <v>5</v>
      </c>
    </row>
    <row r="20" spans="1:37" x14ac:dyDescent="0.2">
      <c r="A20" s="62" t="s">
        <v>43</v>
      </c>
      <c r="B20" s="62" t="s">
        <v>159</v>
      </c>
      <c r="C20" s="62" t="s">
        <v>201</v>
      </c>
      <c r="D20" s="62"/>
      <c r="E20" s="62">
        <f t="shared" si="2"/>
        <v>7</v>
      </c>
      <c r="F20" s="128" t="s">
        <v>79</v>
      </c>
      <c r="G20" s="129">
        <v>82.305900903132709</v>
      </c>
      <c r="H20" s="129">
        <v>80.506221751447924</v>
      </c>
      <c r="I20" s="129">
        <v>84.105580054817494</v>
      </c>
      <c r="J20" s="129"/>
      <c r="K20" s="129"/>
      <c r="L20" s="129"/>
      <c r="M20" s="60">
        <f t="shared" si="0"/>
        <v>5</v>
      </c>
      <c r="N20" s="61">
        <f t="shared" si="3"/>
        <v>77.906537997353666</v>
      </c>
      <c r="O20" s="61">
        <f t="shared" si="4"/>
        <v>82.305900903132709</v>
      </c>
      <c r="P20" s="129">
        <f t="shared" si="5"/>
        <v>83.310312746401536</v>
      </c>
      <c r="Q20" s="129">
        <f t="shared" si="6"/>
        <v>82.896430808668825</v>
      </c>
      <c r="R20" s="129">
        <f t="shared" si="7"/>
        <v>83.724194684134247</v>
      </c>
      <c r="S20" s="61">
        <f t="shared" si="8"/>
        <v>84.881768733522961</v>
      </c>
      <c r="T20" s="61">
        <f t="shared" si="1"/>
        <v>88.250913297544571</v>
      </c>
      <c r="U20" s="61">
        <f t="shared" si="17"/>
        <v>83.299461907229713</v>
      </c>
      <c r="V20" s="61"/>
      <c r="Y20" s="162" t="s">
        <v>48</v>
      </c>
      <c r="Z20" s="162" t="s">
        <v>160</v>
      </c>
      <c r="AA20" s="162" t="s">
        <v>201</v>
      </c>
      <c r="AB20" s="162">
        <f t="shared" si="21"/>
        <v>8</v>
      </c>
      <c r="AC20" s="165">
        <f t="shared" si="19"/>
        <v>77.906537997353666</v>
      </c>
      <c r="AD20" s="165">
        <f t="shared" si="20"/>
        <v>87.890632017867972</v>
      </c>
      <c r="AE20" s="162"/>
      <c r="AF20" s="162">
        <f t="shared" si="11"/>
        <v>24</v>
      </c>
      <c r="AG20" s="167" t="str">
        <f t="shared" si="12"/>
        <v>N/A</v>
      </c>
      <c r="AH20" s="165">
        <f t="shared" si="13"/>
        <v>87.890632017867972</v>
      </c>
      <c r="AI20" s="165">
        <f t="shared" si="14"/>
        <v>84.452862884539925</v>
      </c>
      <c r="AJ20" s="165">
        <f t="shared" si="15"/>
        <v>91.328401151196019</v>
      </c>
      <c r="AK20" s="167">
        <f t="shared" si="16"/>
        <v>2</v>
      </c>
    </row>
    <row r="21" spans="1:37" x14ac:dyDescent="0.2">
      <c r="A21" s="62" t="s">
        <v>44</v>
      </c>
      <c r="B21" s="62" t="s">
        <v>66</v>
      </c>
      <c r="C21" s="62" t="s">
        <v>200</v>
      </c>
      <c r="D21" s="62"/>
      <c r="E21" s="62">
        <f t="shared" si="2"/>
        <v>2</v>
      </c>
      <c r="F21" s="128" t="s">
        <v>79</v>
      </c>
      <c r="G21" s="129">
        <v>80.040209933267761</v>
      </c>
      <c r="H21" s="129">
        <v>77.602148749101417</v>
      </c>
      <c r="I21" s="129">
        <v>82.478271117434105</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1</v>
      </c>
      <c r="N21" s="61">
        <f t="shared" si="3"/>
        <v>77.906537997353666</v>
      </c>
      <c r="O21" s="61">
        <f t="shared" si="4"/>
        <v>82.305900903132709</v>
      </c>
      <c r="P21" s="129">
        <f t="shared" si="5"/>
        <v>83.310312746401536</v>
      </c>
      <c r="Q21" s="129">
        <f t="shared" si="6"/>
        <v>82.896430808668825</v>
      </c>
      <c r="R21" s="129">
        <f t="shared" si="7"/>
        <v>83.724194684134247</v>
      </c>
      <c r="S21" s="61">
        <f t="shared" si="8"/>
        <v>84.881768733522961</v>
      </c>
      <c r="T21" s="61">
        <f t="shared" si="1"/>
        <v>88.250913297544571</v>
      </c>
      <c r="U21" s="61">
        <f t="shared" si="17"/>
        <v>83.346999062287821</v>
      </c>
      <c r="V21" s="61"/>
      <c r="Y21" s="162" t="s">
        <v>52</v>
      </c>
      <c r="Z21" s="162" t="s">
        <v>72</v>
      </c>
      <c r="AA21" s="162" t="s">
        <v>201</v>
      </c>
      <c r="AB21" s="162">
        <f t="shared" si="21"/>
        <v>1</v>
      </c>
      <c r="AC21" s="165">
        <f t="shared" si="19"/>
        <v>77.906537997353666</v>
      </c>
      <c r="AD21" s="165">
        <f t="shared" si="20"/>
        <v>87.890632017867972</v>
      </c>
      <c r="AE21" s="162"/>
      <c r="AF21" s="162">
        <f t="shared" si="11"/>
        <v>1</v>
      </c>
      <c r="AG21" s="167" t="str">
        <f t="shared" si="12"/>
        <v>N/A</v>
      </c>
      <c r="AH21" s="165">
        <f t="shared" si="13"/>
        <v>77.906537997353666</v>
      </c>
      <c r="AI21" s="165">
        <f t="shared" si="14"/>
        <v>74.899139965797033</v>
      </c>
      <c r="AJ21" s="165">
        <f t="shared" si="15"/>
        <v>80.9139360289103</v>
      </c>
      <c r="AK21" s="167">
        <f t="shared" si="16"/>
        <v>1</v>
      </c>
    </row>
    <row r="22" spans="1:37" x14ac:dyDescent="0.2">
      <c r="A22" s="62" t="s">
        <v>45</v>
      </c>
      <c r="B22" s="62" t="s">
        <v>67</v>
      </c>
      <c r="C22" s="62" t="s">
        <v>163</v>
      </c>
      <c r="D22" s="62"/>
      <c r="E22" s="62">
        <f t="shared" si="2"/>
        <v>15</v>
      </c>
      <c r="F22" s="128" t="s">
        <v>79</v>
      </c>
      <c r="G22" s="129">
        <v>84.297751306289214</v>
      </c>
      <c r="H22" s="129">
        <v>82.362528139766425</v>
      </c>
      <c r="I22" s="129">
        <v>86.232974472812003</v>
      </c>
      <c r="J22" s="129"/>
      <c r="K22" s="129"/>
      <c r="L22" s="129"/>
      <c r="M22" s="60">
        <f t="shared" si="0"/>
        <v>5</v>
      </c>
      <c r="N22" s="61">
        <f t="shared" si="3"/>
        <v>77.906537997353666</v>
      </c>
      <c r="O22" s="61">
        <f t="shared" si="4"/>
        <v>82.305900903132709</v>
      </c>
      <c r="P22" s="129">
        <f t="shared" si="5"/>
        <v>83.310312746401536</v>
      </c>
      <c r="Q22" s="129">
        <f t="shared" si="6"/>
        <v>82.896430808668825</v>
      </c>
      <c r="R22" s="129">
        <f t="shared" si="7"/>
        <v>83.724194684134247</v>
      </c>
      <c r="S22" s="61">
        <f t="shared" si="8"/>
        <v>84.881768733522961</v>
      </c>
      <c r="T22" s="61">
        <f t="shared" si="1"/>
        <v>88.250913297544571</v>
      </c>
      <c r="U22" s="61">
        <f>VLOOKUP(C22,$C$43:$I$46,5,FALSE)</f>
        <v>83.276967942778256</v>
      </c>
      <c r="V22" s="61"/>
      <c r="Y22" s="162" t="s">
        <v>54</v>
      </c>
      <c r="Z22" s="162" t="s">
        <v>73</v>
      </c>
      <c r="AA22" s="162" t="s">
        <v>201</v>
      </c>
      <c r="AB22" s="162">
        <f t="shared" si="21"/>
        <v>4</v>
      </c>
      <c r="AC22" s="165">
        <f t="shared" si="19"/>
        <v>77.906537997353666</v>
      </c>
      <c r="AD22" s="165">
        <f t="shared" si="20"/>
        <v>87.890632017867972</v>
      </c>
      <c r="AE22" s="162"/>
      <c r="AF22" s="162">
        <f t="shared" si="11"/>
        <v>9</v>
      </c>
      <c r="AG22" s="167" t="str">
        <f t="shared" si="12"/>
        <v>N/A</v>
      </c>
      <c r="AH22" s="165">
        <f t="shared" si="13"/>
        <v>83.030817645758816</v>
      </c>
      <c r="AI22" s="165">
        <f t="shared" si="14"/>
        <v>80.525369715232344</v>
      </c>
      <c r="AJ22" s="165">
        <f t="shared" si="15"/>
        <v>85.536265576285288</v>
      </c>
      <c r="AK22" s="167">
        <f t="shared" si="16"/>
        <v>5</v>
      </c>
    </row>
    <row r="23" spans="1:37" x14ac:dyDescent="0.2">
      <c r="A23" s="62" t="s">
        <v>46</v>
      </c>
      <c r="B23" s="62" t="s">
        <v>68</v>
      </c>
      <c r="C23" s="62" t="s">
        <v>163</v>
      </c>
      <c r="D23" s="62"/>
      <c r="E23" s="62">
        <f t="shared" si="2"/>
        <v>22</v>
      </c>
      <c r="F23" s="128" t="s">
        <v>79</v>
      </c>
      <c r="G23" s="129">
        <v>87.088288449760967</v>
      </c>
      <c r="H23" s="129">
        <v>84.696922945126246</v>
      </c>
      <c r="I23" s="129">
        <v>89.479653954395687</v>
      </c>
      <c r="J23" s="129"/>
      <c r="K23" s="129"/>
      <c r="L23" s="129"/>
      <c r="M23" s="60">
        <f t="shared" si="0"/>
        <v>2</v>
      </c>
      <c r="N23" s="61">
        <f t="shared" si="3"/>
        <v>77.906537997353666</v>
      </c>
      <c r="O23" s="61">
        <f t="shared" si="4"/>
        <v>82.305900903132709</v>
      </c>
      <c r="P23" s="129">
        <f t="shared" si="5"/>
        <v>83.310312746401536</v>
      </c>
      <c r="Q23" s="129">
        <f t="shared" si="6"/>
        <v>82.896430808668825</v>
      </c>
      <c r="R23" s="129">
        <f t="shared" si="7"/>
        <v>83.724194684134247</v>
      </c>
      <c r="S23" s="61">
        <f t="shared" si="8"/>
        <v>84.881768733522961</v>
      </c>
      <c r="T23" s="61">
        <f t="shared" si="1"/>
        <v>88.250913297544571</v>
      </c>
      <c r="U23" s="61">
        <f t="shared" si="17"/>
        <v>83.276967942778256</v>
      </c>
      <c r="V23" s="61"/>
      <c r="Y23" s="163" t="s">
        <v>30</v>
      </c>
      <c r="Z23" s="163" t="s">
        <v>56</v>
      </c>
      <c r="AA23" s="163" t="s">
        <v>200</v>
      </c>
      <c r="AB23" s="163">
        <f>RANK(AH23,$AH$23:$AH$31,1)</f>
        <v>2</v>
      </c>
      <c r="AC23" s="166">
        <f>MIN($AH$23:$AH$31)</f>
        <v>80.040209933267761</v>
      </c>
      <c r="AD23" s="166">
        <f>MAX($AH$23:$AH$31)</f>
        <v>85.573310759665858</v>
      </c>
      <c r="AE23" s="163"/>
      <c r="AF23" s="163">
        <f t="shared" si="11"/>
        <v>6</v>
      </c>
      <c r="AG23" s="168" t="str">
        <f t="shared" si="12"/>
        <v>N/A</v>
      </c>
      <c r="AH23" s="166">
        <f t="shared" si="13"/>
        <v>82.124500624600884</v>
      </c>
      <c r="AI23" s="166">
        <f t="shared" si="14"/>
        <v>80.512300650093849</v>
      </c>
      <c r="AJ23" s="166">
        <f t="shared" si="15"/>
        <v>83.73670059910792</v>
      </c>
      <c r="AK23" s="168">
        <f t="shared" si="16"/>
        <v>5</v>
      </c>
    </row>
    <row r="24" spans="1:37" x14ac:dyDescent="0.2">
      <c r="A24" s="62" t="s">
        <v>47</v>
      </c>
      <c r="B24" s="62" t="s">
        <v>69</v>
      </c>
      <c r="C24" s="62" t="s">
        <v>163</v>
      </c>
      <c r="D24" s="62"/>
      <c r="E24" s="62">
        <f t="shared" si="2"/>
        <v>25</v>
      </c>
      <c r="F24" s="128" t="s">
        <v>79</v>
      </c>
      <c r="G24" s="129">
        <v>88.250913297544571</v>
      </c>
      <c r="H24" s="129">
        <v>83.839866492513764</v>
      </c>
      <c r="I24" s="129">
        <v>92.661960102575378</v>
      </c>
      <c r="J24" s="129"/>
      <c r="K24" s="129"/>
      <c r="L24" s="129"/>
      <c r="M24" s="60">
        <f t="shared" si="0"/>
        <v>2</v>
      </c>
      <c r="N24" s="61">
        <f t="shared" si="3"/>
        <v>77.906537997353666</v>
      </c>
      <c r="O24" s="61">
        <f t="shared" si="4"/>
        <v>82.305900903132709</v>
      </c>
      <c r="P24" s="129">
        <f t="shared" si="5"/>
        <v>83.310312746401536</v>
      </c>
      <c r="Q24" s="129">
        <f t="shared" si="6"/>
        <v>82.896430808668825</v>
      </c>
      <c r="R24" s="129">
        <f t="shared" si="7"/>
        <v>83.724194684134247</v>
      </c>
      <c r="S24" s="61">
        <f t="shared" si="8"/>
        <v>84.881768733522961</v>
      </c>
      <c r="T24" s="61">
        <f t="shared" si="1"/>
        <v>88.250913297544571</v>
      </c>
      <c r="U24" s="61">
        <f t="shared" si="17"/>
        <v>83.276967942778256</v>
      </c>
      <c r="V24" s="61"/>
      <c r="Y24" s="163" t="s">
        <v>31</v>
      </c>
      <c r="Z24" s="163" t="s">
        <v>57</v>
      </c>
      <c r="AA24" s="163" t="s">
        <v>200</v>
      </c>
      <c r="AB24" s="163">
        <f t="shared" ref="AB24:AB31" si="22">RANK(AH24,$AH$23:$AH$31,1)</f>
        <v>6</v>
      </c>
      <c r="AC24" s="166">
        <f t="shared" ref="AC24:AC31" si="23">MIN($AH$23:$AH$31)</f>
        <v>80.040209933267761</v>
      </c>
      <c r="AD24" s="166">
        <f t="shared" ref="AD24:AD31" si="24">MAX($AH$23:$AH$31)</f>
        <v>85.573310759665858</v>
      </c>
      <c r="AE24" s="163"/>
      <c r="AF24" s="163">
        <f t="shared" si="11"/>
        <v>17</v>
      </c>
      <c r="AG24" s="168" t="str">
        <f t="shared" si="12"/>
        <v>N/A</v>
      </c>
      <c r="AH24" s="166">
        <f t="shared" si="13"/>
        <v>84.474089108412414</v>
      </c>
      <c r="AI24" s="166">
        <f t="shared" si="14"/>
        <v>82.610399413300001</v>
      </c>
      <c r="AJ24" s="166">
        <f t="shared" si="15"/>
        <v>86.337778803524827</v>
      </c>
      <c r="AK24" s="168">
        <f t="shared" si="16"/>
        <v>5</v>
      </c>
    </row>
    <row r="25" spans="1:37" x14ac:dyDescent="0.2">
      <c r="A25" s="62" t="s">
        <v>48</v>
      </c>
      <c r="B25" s="62" t="s">
        <v>160</v>
      </c>
      <c r="C25" s="62" t="s">
        <v>201</v>
      </c>
      <c r="D25" s="62"/>
      <c r="E25" s="62">
        <f t="shared" si="2"/>
        <v>24</v>
      </c>
      <c r="F25" s="128" t="s">
        <v>79</v>
      </c>
      <c r="G25" s="129">
        <v>87.890632017867972</v>
      </c>
      <c r="H25" s="129">
        <v>84.452862884539925</v>
      </c>
      <c r="I25" s="129">
        <v>91.328401151196019</v>
      </c>
      <c r="J25" s="129"/>
      <c r="K25" s="129"/>
      <c r="L25" s="129"/>
      <c r="M25" s="60">
        <f t="shared" si="0"/>
        <v>2</v>
      </c>
      <c r="N25" s="61">
        <f t="shared" si="3"/>
        <v>77.906537997353666</v>
      </c>
      <c r="O25" s="61">
        <f t="shared" si="4"/>
        <v>82.305900903132709</v>
      </c>
      <c r="P25" s="129">
        <f t="shared" si="5"/>
        <v>83.310312746401536</v>
      </c>
      <c r="Q25" s="129">
        <f t="shared" si="6"/>
        <v>82.896430808668825</v>
      </c>
      <c r="R25" s="129">
        <f t="shared" si="7"/>
        <v>83.724194684134247</v>
      </c>
      <c r="S25" s="61">
        <f t="shared" si="8"/>
        <v>84.881768733522961</v>
      </c>
      <c r="T25" s="61">
        <f t="shared" si="1"/>
        <v>88.250913297544571</v>
      </c>
      <c r="U25" s="61">
        <f t="shared" si="17"/>
        <v>83.299461907229713</v>
      </c>
      <c r="V25" s="61"/>
      <c r="Y25" s="163" t="s">
        <v>34</v>
      </c>
      <c r="Z25" s="163" t="s">
        <v>59</v>
      </c>
      <c r="AA25" s="163" t="s">
        <v>200</v>
      </c>
      <c r="AB25" s="163">
        <f t="shared" si="22"/>
        <v>7</v>
      </c>
      <c r="AC25" s="166">
        <f t="shared" si="23"/>
        <v>80.040209933267761</v>
      </c>
      <c r="AD25" s="166">
        <f t="shared" si="24"/>
        <v>85.573310759665858</v>
      </c>
      <c r="AE25" s="163"/>
      <c r="AF25" s="163">
        <f t="shared" si="11"/>
        <v>18</v>
      </c>
      <c r="AG25" s="168" t="str">
        <f t="shared" si="12"/>
        <v>N/A</v>
      </c>
      <c r="AH25" s="166">
        <f t="shared" si="13"/>
        <v>84.645550270539815</v>
      </c>
      <c r="AI25" s="166">
        <f t="shared" si="14"/>
        <v>82.587404762262594</v>
      </c>
      <c r="AJ25" s="166">
        <f t="shared" si="15"/>
        <v>86.703695778817035</v>
      </c>
      <c r="AK25" s="168">
        <f t="shared" si="16"/>
        <v>5</v>
      </c>
    </row>
    <row r="26" spans="1:37" x14ac:dyDescent="0.2">
      <c r="A26" s="62" t="s">
        <v>49</v>
      </c>
      <c r="B26" s="62" t="s">
        <v>70</v>
      </c>
      <c r="C26" s="62" t="s">
        <v>200</v>
      </c>
      <c r="D26" s="62"/>
      <c r="E26" s="62">
        <f t="shared" si="2"/>
        <v>19</v>
      </c>
      <c r="F26" s="128" t="s">
        <v>79</v>
      </c>
      <c r="G26" s="129">
        <v>84.881768733522961</v>
      </c>
      <c r="H26" s="129">
        <v>82.810792722300647</v>
      </c>
      <c r="I26" s="129">
        <v>86.952744744745274</v>
      </c>
      <c r="J26" s="129"/>
      <c r="K26" s="129"/>
      <c r="L26" s="129"/>
      <c r="M26" s="60">
        <f t="shared" si="0"/>
        <v>5</v>
      </c>
      <c r="N26" s="61">
        <f t="shared" si="3"/>
        <v>77.906537997353666</v>
      </c>
      <c r="O26" s="61">
        <f t="shared" si="4"/>
        <v>82.305900903132709</v>
      </c>
      <c r="P26" s="129">
        <f t="shared" si="5"/>
        <v>83.310312746401536</v>
      </c>
      <c r="Q26" s="129">
        <f t="shared" si="6"/>
        <v>82.896430808668825</v>
      </c>
      <c r="R26" s="129">
        <f t="shared" si="7"/>
        <v>83.724194684134247</v>
      </c>
      <c r="S26" s="61">
        <f t="shared" si="8"/>
        <v>84.881768733522961</v>
      </c>
      <c r="T26" s="61">
        <f t="shared" si="1"/>
        <v>88.250913297544571</v>
      </c>
      <c r="U26" s="61">
        <f t="shared" si="17"/>
        <v>83.346999062287821</v>
      </c>
      <c r="V26" s="61"/>
      <c r="Y26" s="163" t="s">
        <v>39</v>
      </c>
      <c r="Z26" s="163" t="s">
        <v>158</v>
      </c>
      <c r="AA26" s="163" t="s">
        <v>200</v>
      </c>
      <c r="AB26" s="163">
        <f t="shared" si="22"/>
        <v>3</v>
      </c>
      <c r="AC26" s="166">
        <f t="shared" si="23"/>
        <v>80.040209933267761</v>
      </c>
      <c r="AD26" s="166">
        <f t="shared" si="24"/>
        <v>85.573310759665858</v>
      </c>
      <c r="AE26" s="163"/>
      <c r="AF26" s="163">
        <f t="shared" si="11"/>
        <v>10</v>
      </c>
      <c r="AG26" s="168" t="str">
        <f t="shared" si="12"/>
        <v>N/A</v>
      </c>
      <c r="AH26" s="166">
        <f t="shared" si="13"/>
        <v>83.457407118944715</v>
      </c>
      <c r="AI26" s="166">
        <f t="shared" si="14"/>
        <v>81.495834091742964</v>
      </c>
      <c r="AJ26" s="166">
        <f t="shared" si="15"/>
        <v>85.418980146146467</v>
      </c>
      <c r="AK26" s="168">
        <f t="shared" si="16"/>
        <v>5</v>
      </c>
    </row>
    <row r="27" spans="1:37" x14ac:dyDescent="0.2">
      <c r="A27" s="62" t="s">
        <v>50</v>
      </c>
      <c r="B27" s="62" t="s">
        <v>161</v>
      </c>
      <c r="C27" s="62" t="s">
        <v>163</v>
      </c>
      <c r="D27" s="62"/>
      <c r="E27" s="62">
        <f t="shared" si="2"/>
        <v>3</v>
      </c>
      <c r="F27" s="128" t="s">
        <v>79</v>
      </c>
      <c r="G27" s="129">
        <v>80.71590671018204</v>
      </c>
      <c r="H27" s="129">
        <v>78.31562914921254</v>
      </c>
      <c r="I27" s="129">
        <v>83.116184271151539</v>
      </c>
      <c r="J27" s="129"/>
      <c r="K27" s="129"/>
      <c r="L27" s="129"/>
      <c r="M27" s="60">
        <f t="shared" si="0"/>
        <v>5</v>
      </c>
      <c r="N27" s="61">
        <f t="shared" si="3"/>
        <v>77.906537997353666</v>
      </c>
      <c r="O27" s="61">
        <f t="shared" si="4"/>
        <v>82.305900903132709</v>
      </c>
      <c r="P27" s="129">
        <f t="shared" si="5"/>
        <v>83.310312746401536</v>
      </c>
      <c r="Q27" s="129">
        <f t="shared" si="6"/>
        <v>82.896430808668825</v>
      </c>
      <c r="R27" s="129">
        <f t="shared" si="7"/>
        <v>83.724194684134247</v>
      </c>
      <c r="S27" s="61">
        <f t="shared" si="8"/>
        <v>84.881768733522961</v>
      </c>
      <c r="T27" s="61">
        <f t="shared" si="1"/>
        <v>88.250913297544571</v>
      </c>
      <c r="U27" s="61">
        <f t="shared" si="17"/>
        <v>83.276967942778256</v>
      </c>
      <c r="V27" s="61"/>
      <c r="Y27" s="163" t="s">
        <v>40</v>
      </c>
      <c r="Z27" s="163" t="s">
        <v>63</v>
      </c>
      <c r="AA27" s="163" t="s">
        <v>200</v>
      </c>
      <c r="AB27" s="163">
        <f t="shared" si="22"/>
        <v>4</v>
      </c>
      <c r="AC27" s="166">
        <f t="shared" si="23"/>
        <v>80.040209933267761</v>
      </c>
      <c r="AD27" s="166">
        <f t="shared" si="24"/>
        <v>85.573310759665858</v>
      </c>
      <c r="AE27" s="163"/>
      <c r="AF27" s="163">
        <f t="shared" si="11"/>
        <v>12</v>
      </c>
      <c r="AG27" s="168" t="str">
        <f t="shared" si="12"/>
        <v>N/A</v>
      </c>
      <c r="AH27" s="166">
        <f t="shared" si="13"/>
        <v>83.876327124981827</v>
      </c>
      <c r="AI27" s="166">
        <f t="shared" si="14"/>
        <v>81.584142505246518</v>
      </c>
      <c r="AJ27" s="166">
        <f t="shared" si="15"/>
        <v>86.168511744717136</v>
      </c>
      <c r="AK27" s="168">
        <f t="shared" si="16"/>
        <v>5</v>
      </c>
    </row>
    <row r="28" spans="1:37" x14ac:dyDescent="0.2">
      <c r="A28" s="62" t="s">
        <v>51</v>
      </c>
      <c r="B28" s="62" t="s">
        <v>71</v>
      </c>
      <c r="C28" s="62" t="s">
        <v>200</v>
      </c>
      <c r="D28" s="62"/>
      <c r="E28" s="62">
        <f t="shared" si="2"/>
        <v>16</v>
      </c>
      <c r="F28" s="128" t="s">
        <v>79</v>
      </c>
      <c r="G28" s="129">
        <v>84.467778574714828</v>
      </c>
      <c r="H28" s="129">
        <v>80.368639946994989</v>
      </c>
      <c r="I28" s="129">
        <v>88.566917202434666</v>
      </c>
      <c r="J28" s="129"/>
      <c r="K28" s="129"/>
      <c r="L28" s="129"/>
      <c r="M28" s="60">
        <f t="shared" si="0"/>
        <v>5</v>
      </c>
      <c r="N28" s="61">
        <f t="shared" si="3"/>
        <v>77.906537997353666</v>
      </c>
      <c r="O28" s="61">
        <f t="shared" si="4"/>
        <v>82.305900903132709</v>
      </c>
      <c r="P28" s="129">
        <f t="shared" si="5"/>
        <v>83.310312746401536</v>
      </c>
      <c r="Q28" s="129">
        <f t="shared" si="6"/>
        <v>82.896430808668825</v>
      </c>
      <c r="R28" s="129">
        <f t="shared" si="7"/>
        <v>83.724194684134247</v>
      </c>
      <c r="S28" s="61">
        <f t="shared" si="8"/>
        <v>84.881768733522961</v>
      </c>
      <c r="T28" s="61">
        <f t="shared" si="1"/>
        <v>88.250913297544571</v>
      </c>
      <c r="U28" s="61">
        <f t="shared" si="17"/>
        <v>83.346999062287821</v>
      </c>
      <c r="V28" s="61"/>
      <c r="Y28" s="163" t="s">
        <v>42</v>
      </c>
      <c r="Z28" s="163" t="s">
        <v>65</v>
      </c>
      <c r="AA28" s="163" t="s">
        <v>200</v>
      </c>
      <c r="AB28" s="163">
        <f t="shared" si="22"/>
        <v>9</v>
      </c>
      <c r="AC28" s="166">
        <f t="shared" si="23"/>
        <v>80.040209933267761</v>
      </c>
      <c r="AD28" s="166">
        <f t="shared" si="24"/>
        <v>85.573310759665858</v>
      </c>
      <c r="AE28" s="163"/>
      <c r="AF28" s="163">
        <f t="shared" si="11"/>
        <v>21</v>
      </c>
      <c r="AG28" s="168" t="str">
        <f t="shared" si="12"/>
        <v>N/A</v>
      </c>
      <c r="AH28" s="166">
        <f t="shared" si="13"/>
        <v>85.573310759665858</v>
      </c>
      <c r="AI28" s="166">
        <f t="shared" si="14"/>
        <v>81.544363999099417</v>
      </c>
      <c r="AJ28" s="166">
        <f t="shared" si="15"/>
        <v>89.6022575202323</v>
      </c>
      <c r="AK28" s="168">
        <f t="shared" si="16"/>
        <v>5</v>
      </c>
    </row>
    <row r="29" spans="1:37" x14ac:dyDescent="0.2">
      <c r="A29" s="62" t="s">
        <v>52</v>
      </c>
      <c r="B29" s="62" t="s">
        <v>72</v>
      </c>
      <c r="C29" s="62" t="s">
        <v>201</v>
      </c>
      <c r="D29" s="62"/>
      <c r="E29" s="62">
        <f t="shared" si="2"/>
        <v>1</v>
      </c>
      <c r="F29" s="128" t="s">
        <v>79</v>
      </c>
      <c r="G29" s="129">
        <v>77.906537997353666</v>
      </c>
      <c r="H29" s="129">
        <v>74.899139965797033</v>
      </c>
      <c r="I29" s="129">
        <v>80.9139360289103</v>
      </c>
      <c r="J29" s="129"/>
      <c r="K29" s="129"/>
      <c r="L29" s="129"/>
      <c r="M29" s="60">
        <f t="shared" si="0"/>
        <v>1</v>
      </c>
      <c r="N29" s="61">
        <f t="shared" si="3"/>
        <v>77.906537997353666</v>
      </c>
      <c r="O29" s="61">
        <f t="shared" si="4"/>
        <v>82.305900903132709</v>
      </c>
      <c r="P29" s="129">
        <f t="shared" si="5"/>
        <v>83.310312746401536</v>
      </c>
      <c r="Q29" s="129">
        <f t="shared" si="6"/>
        <v>82.896430808668825</v>
      </c>
      <c r="R29" s="129">
        <f t="shared" si="7"/>
        <v>83.724194684134247</v>
      </c>
      <c r="S29" s="61">
        <f t="shared" si="8"/>
        <v>84.881768733522961</v>
      </c>
      <c r="T29" s="61">
        <f t="shared" si="1"/>
        <v>88.250913297544571</v>
      </c>
      <c r="U29" s="61">
        <f t="shared" si="17"/>
        <v>83.299461907229713</v>
      </c>
      <c r="V29" s="61"/>
      <c r="Y29" s="163" t="s">
        <v>44</v>
      </c>
      <c r="Z29" s="163" t="s">
        <v>66</v>
      </c>
      <c r="AA29" s="163" t="s">
        <v>200</v>
      </c>
      <c r="AB29" s="163">
        <f t="shared" si="22"/>
        <v>1</v>
      </c>
      <c r="AC29" s="166">
        <f t="shared" si="23"/>
        <v>80.040209933267761</v>
      </c>
      <c r="AD29" s="166">
        <f t="shared" si="24"/>
        <v>85.573310759665858</v>
      </c>
      <c r="AE29" s="163"/>
      <c r="AF29" s="163">
        <f t="shared" si="11"/>
        <v>2</v>
      </c>
      <c r="AG29" s="168" t="str">
        <f t="shared" si="12"/>
        <v>N/A</v>
      </c>
      <c r="AH29" s="166">
        <f t="shared" si="13"/>
        <v>80.040209933267761</v>
      </c>
      <c r="AI29" s="166">
        <f t="shared" si="14"/>
        <v>77.602148749101417</v>
      </c>
      <c r="AJ29" s="166">
        <f t="shared" si="15"/>
        <v>82.478271117434105</v>
      </c>
      <c r="AK29" s="168">
        <f t="shared" si="16"/>
        <v>1</v>
      </c>
    </row>
    <row r="30" spans="1:37" x14ac:dyDescent="0.2">
      <c r="A30" s="62" t="s">
        <v>53</v>
      </c>
      <c r="B30" s="62" t="s">
        <v>162</v>
      </c>
      <c r="C30" s="62" t="s">
        <v>163</v>
      </c>
      <c r="D30" s="62"/>
      <c r="E30" s="62">
        <f t="shared" si="2"/>
        <v>11</v>
      </c>
      <c r="F30" s="128" t="s">
        <v>79</v>
      </c>
      <c r="G30" s="129">
        <v>83.609735491223077</v>
      </c>
      <c r="H30" s="129">
        <v>82.153713803426314</v>
      </c>
      <c r="I30" s="129">
        <v>85.06575717901984</v>
      </c>
      <c r="J30" s="129"/>
      <c r="K30" s="129"/>
      <c r="L30" s="129"/>
      <c r="M30" s="60">
        <f t="shared" si="0"/>
        <v>5</v>
      </c>
      <c r="N30" s="61">
        <f t="shared" si="3"/>
        <v>77.906537997353666</v>
      </c>
      <c r="O30" s="61">
        <f t="shared" si="4"/>
        <v>82.305900903132709</v>
      </c>
      <c r="P30" s="129">
        <f>$G$32</f>
        <v>83.310312746401536</v>
      </c>
      <c r="Q30" s="129">
        <f t="shared" si="6"/>
        <v>82.896430808668825</v>
      </c>
      <c r="R30" s="129">
        <f t="shared" si="7"/>
        <v>83.724194684134247</v>
      </c>
      <c r="S30" s="61">
        <f t="shared" si="8"/>
        <v>84.881768733522961</v>
      </c>
      <c r="T30" s="61">
        <f t="shared" si="1"/>
        <v>88.250913297544571</v>
      </c>
      <c r="U30" s="61">
        <f t="shared" si="17"/>
        <v>83.276967942778256</v>
      </c>
      <c r="V30" s="61"/>
      <c r="Y30" s="163" t="s">
        <v>49</v>
      </c>
      <c r="Z30" s="163" t="s">
        <v>70</v>
      </c>
      <c r="AA30" s="163" t="s">
        <v>200</v>
      </c>
      <c r="AB30" s="163">
        <f t="shared" si="22"/>
        <v>8</v>
      </c>
      <c r="AC30" s="166">
        <f t="shared" si="23"/>
        <v>80.040209933267761</v>
      </c>
      <c r="AD30" s="166">
        <f t="shared" si="24"/>
        <v>85.573310759665858</v>
      </c>
      <c r="AE30" s="163"/>
      <c r="AF30" s="163">
        <f t="shared" si="11"/>
        <v>19</v>
      </c>
      <c r="AG30" s="168" t="str">
        <f t="shared" si="12"/>
        <v>N/A</v>
      </c>
      <c r="AH30" s="166">
        <f t="shared" si="13"/>
        <v>84.881768733522961</v>
      </c>
      <c r="AI30" s="166">
        <f t="shared" si="14"/>
        <v>82.810792722300647</v>
      </c>
      <c r="AJ30" s="166">
        <f t="shared" si="15"/>
        <v>86.952744744745274</v>
      </c>
      <c r="AK30" s="168">
        <f t="shared" si="16"/>
        <v>5</v>
      </c>
    </row>
    <row r="31" spans="1:37" x14ac:dyDescent="0.2">
      <c r="A31" s="62" t="s">
        <v>54</v>
      </c>
      <c r="B31" s="62" t="s">
        <v>73</v>
      </c>
      <c r="C31" s="62" t="s">
        <v>201</v>
      </c>
      <c r="D31" s="62"/>
      <c r="E31" s="62">
        <f t="shared" si="2"/>
        <v>9</v>
      </c>
      <c r="F31" s="128" t="s">
        <v>79</v>
      </c>
      <c r="G31" s="129">
        <v>83.030817645758816</v>
      </c>
      <c r="H31" s="129">
        <v>80.525369715232344</v>
      </c>
      <c r="I31" s="129">
        <v>85.536265576285288</v>
      </c>
      <c r="J31" s="129"/>
      <c r="K31" s="129"/>
      <c r="L31" s="129"/>
      <c r="M31" s="60">
        <f t="shared" si="0"/>
        <v>5</v>
      </c>
      <c r="N31" s="61">
        <f t="shared" si="3"/>
        <v>77.906537997353666</v>
      </c>
      <c r="O31" s="61">
        <f t="shared" si="4"/>
        <v>82.305900903132709</v>
      </c>
      <c r="P31" s="129">
        <f t="shared" si="5"/>
        <v>83.310312746401536</v>
      </c>
      <c r="Q31" s="129">
        <f t="shared" si="6"/>
        <v>82.896430808668825</v>
      </c>
      <c r="R31" s="129">
        <f t="shared" si="7"/>
        <v>83.724194684134247</v>
      </c>
      <c r="S31" s="61">
        <f t="shared" si="8"/>
        <v>84.881768733522961</v>
      </c>
      <c r="T31" s="61">
        <f t="shared" si="1"/>
        <v>88.250913297544571</v>
      </c>
      <c r="U31" s="61">
        <f t="shared" si="17"/>
        <v>83.299461907229713</v>
      </c>
      <c r="V31" s="61"/>
      <c r="Y31" s="163" t="s">
        <v>51</v>
      </c>
      <c r="Z31" s="163" t="s">
        <v>71</v>
      </c>
      <c r="AA31" s="163" t="s">
        <v>200</v>
      </c>
      <c r="AB31" s="163">
        <f t="shared" si="22"/>
        <v>5</v>
      </c>
      <c r="AC31" s="166">
        <f t="shared" si="23"/>
        <v>80.040209933267761</v>
      </c>
      <c r="AD31" s="166">
        <f t="shared" si="24"/>
        <v>85.573310759665858</v>
      </c>
      <c r="AE31" s="163"/>
      <c r="AF31" s="163">
        <f t="shared" si="11"/>
        <v>16</v>
      </c>
      <c r="AG31" s="168" t="str">
        <f t="shared" si="12"/>
        <v>N/A</v>
      </c>
      <c r="AH31" s="166">
        <f t="shared" si="13"/>
        <v>84.467778574714828</v>
      </c>
      <c r="AI31" s="166">
        <f t="shared" si="14"/>
        <v>80.368639946994989</v>
      </c>
      <c r="AJ31" s="166">
        <f t="shared" si="15"/>
        <v>88.566917202434666</v>
      </c>
      <c r="AK31" s="168">
        <f t="shared" si="16"/>
        <v>5</v>
      </c>
    </row>
    <row r="32" spans="1:37" x14ac:dyDescent="0.2">
      <c r="A32" s="62"/>
      <c r="B32" s="62" t="s">
        <v>171</v>
      </c>
      <c r="C32" s="62"/>
      <c r="D32" s="62"/>
      <c r="E32" s="62"/>
      <c r="F32" s="128" t="s">
        <v>79</v>
      </c>
      <c r="G32" s="129">
        <v>83.310312746401536</v>
      </c>
      <c r="H32" s="129">
        <v>82.896430808668825</v>
      </c>
      <c r="I32" s="129">
        <v>83.724194684134247</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t="s">
        <v>79</v>
      </c>
      <c r="G44" s="129">
        <v>83.276967942778256</v>
      </c>
      <c r="H44" s="129">
        <v>82.606994713741429</v>
      </c>
      <c r="I44" s="129">
        <v>83.946941171815084</v>
      </c>
      <c r="J44" s="129">
        <f>VLOOKUP($C44,$AA$6:$AD$13,3,FALSE)</f>
        <v>80.71590671018204</v>
      </c>
      <c r="K44" s="129">
        <f>VLOOKUP($C44,$AA$6:$AD$13,4,FALSE)</f>
        <v>88.250913297544571</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5</v>
      </c>
      <c r="N44" s="61">
        <f>MIN($G$6:$G$31)</f>
        <v>77.906537997353666</v>
      </c>
      <c r="O44" s="61">
        <f>VLOOKUP(7,$E$5:$G$39,3,FALSE)</f>
        <v>82.305900903132709</v>
      </c>
      <c r="P44" s="129">
        <f>$G$32</f>
        <v>83.310312746401536</v>
      </c>
      <c r="Q44" s="129">
        <f>$H$32</f>
        <v>82.896430808668825</v>
      </c>
      <c r="R44" s="129">
        <f>$I$32</f>
        <v>83.724194684134247</v>
      </c>
      <c r="S44" s="61">
        <f>VLOOKUP(20,$E$5:$G$39,3,FALSE)</f>
        <v>85.224396464717969</v>
      </c>
      <c r="T44" s="61">
        <f>MAX($G$6:$G$31)</f>
        <v>88.250913297544571</v>
      </c>
    </row>
    <row r="45" spans="1:22" x14ac:dyDescent="0.2">
      <c r="C45" s="62" t="s">
        <v>201</v>
      </c>
      <c r="D45" s="62"/>
      <c r="E45" s="62"/>
      <c r="F45" s="128" t="s">
        <v>79</v>
      </c>
      <c r="G45" s="129">
        <v>83.299461907229713</v>
      </c>
      <c r="H45" s="129">
        <v>82.484445601124591</v>
      </c>
      <c r="I45" s="129">
        <v>84.114478213334834</v>
      </c>
      <c r="J45" s="129">
        <f>VLOOKUP($C45,$AA$14:$AD$22,3,FALSE)</f>
        <v>77.906537997353666</v>
      </c>
      <c r="K45" s="129">
        <f>VLOOKUP($C45,$AA$14:$AD$22,4,FALSE)</f>
        <v>87.890632017867972</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5</v>
      </c>
      <c r="N45" s="61">
        <f>MIN($G$6:$G$31)</f>
        <v>77.906537997353666</v>
      </c>
      <c r="O45" s="61">
        <f>VLOOKUP(7,$E$5:$G$39,3,FALSE)</f>
        <v>82.305900903132709</v>
      </c>
      <c r="P45" s="129">
        <f>$G$32</f>
        <v>83.310312746401536</v>
      </c>
      <c r="Q45" s="129">
        <f t="shared" ref="Q45:Q46" si="25">$H$32</f>
        <v>82.896430808668825</v>
      </c>
      <c r="R45" s="129">
        <f t="shared" ref="R45:R46" si="26">$I$32</f>
        <v>83.724194684134247</v>
      </c>
      <c r="S45" s="61">
        <f>VLOOKUP(20,$E$5:$G$39,3,FALSE)</f>
        <v>85.224396464717969</v>
      </c>
      <c r="T45" s="61">
        <f t="shared" ref="T45:T46" si="27">MAX($G$6:$G$31)</f>
        <v>88.250913297544571</v>
      </c>
    </row>
    <row r="46" spans="1:22" x14ac:dyDescent="0.2">
      <c r="C46" s="62" t="s">
        <v>200</v>
      </c>
      <c r="D46" s="62"/>
      <c r="E46" s="62"/>
      <c r="F46" s="128" t="s">
        <v>79</v>
      </c>
      <c r="G46" s="129">
        <v>83.346999062287821</v>
      </c>
      <c r="H46" s="129">
        <v>82.646054483870259</v>
      </c>
      <c r="I46" s="129">
        <v>84.047943640705384</v>
      </c>
      <c r="J46" s="129">
        <f>VLOOKUP($C46,$AA$23:$AD$31,3,FALSE)</f>
        <v>80.040209933267761</v>
      </c>
      <c r="K46" s="129">
        <f>VLOOKUP($C46,$AA$23:$AD$31,4,FALSE)</f>
        <v>85.573310759665858</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5</v>
      </c>
      <c r="N46" s="61">
        <f>MIN($G$6:$G$31)</f>
        <v>77.906537997353666</v>
      </c>
      <c r="O46" s="61">
        <f>VLOOKUP(7,$E$5:$G$39,3,FALSE)</f>
        <v>82.305900903132709</v>
      </c>
      <c r="P46" s="129">
        <f t="shared" ref="P46" si="28">$G$32</f>
        <v>83.310312746401536</v>
      </c>
      <c r="Q46" s="129">
        <f t="shared" si="25"/>
        <v>82.896430808668825</v>
      </c>
      <c r="R46" s="129">
        <f t="shared" si="26"/>
        <v>83.724194684134247</v>
      </c>
      <c r="S46" s="61">
        <f>VLOOKUP(20,$E$5:$G$39,3,FALSE)</f>
        <v>85.224396464717969</v>
      </c>
      <c r="T46" s="61">
        <f t="shared" si="27"/>
        <v>88.250913297544571</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K2:N2" xr:uid="{00000000-0002-0000-0E00-000000000000}">
      <formula1>"High = Worst,Low = Worst"</formula1>
    </dataValidation>
    <dataValidation type="list" allowBlank="1" showInputMessage="1" showErrorMessage="1" sqref="C2:D2" xr:uid="{00000000-0002-0000-0E00-000001000000}">
      <formula1>"Better / Worse,Higher / Lower,Significance not measured"</formula1>
    </dataValidation>
  </dataValidations>
  <pageMargins left="0.75" right="0.75" top="1" bottom="1"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theme="6" tint="0.39997558519241921"/>
  </sheetPr>
  <dimension ref="A1:AK55"/>
  <sheetViews>
    <sheetView workbookViewId="0">
      <selection activeCell="F6" sqref="F6:F32"/>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7" style="21" customWidth="1"/>
    <col min="8" max="8" width="6.6640625" style="21" customWidth="1"/>
    <col min="9" max="9" width="7.33203125" style="21" customWidth="1"/>
    <col min="10" max="10" width="9.109375" style="21" customWidth="1"/>
    <col min="11" max="11" width="6.5546875" style="21" bestFit="1" customWidth="1"/>
    <col min="12" max="12" width="6.109375" style="21" customWidth="1"/>
    <col min="13" max="13" width="4.88671875" style="21" bestFit="1" customWidth="1"/>
    <col min="14" max="14" width="7.88671875" style="21" customWidth="1"/>
    <col min="15" max="15" width="7" style="21" bestFit="1" customWidth="1"/>
    <col min="16" max="16" width="6.5546875" style="21" customWidth="1"/>
    <col min="17" max="17" width="6.44140625" style="21" customWidth="1"/>
    <col min="18" max="18" width="6.6640625" style="21" customWidth="1"/>
    <col min="19" max="19" width="7" style="21" bestFit="1" customWidth="1"/>
    <col min="20" max="20" width="7"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13</v>
      </c>
      <c r="F6" s="128">
        <v>125</v>
      </c>
      <c r="G6" s="129">
        <v>905.03950982076196</v>
      </c>
      <c r="H6" s="129">
        <v>750.80077049783836</v>
      </c>
      <c r="I6" s="129">
        <v>1081.2160032879774</v>
      </c>
      <c r="J6" s="129"/>
      <c r="K6" s="129"/>
      <c r="L6" s="129"/>
      <c r="M6" s="60">
        <f>IF($C$2="Significance not measured",6,IF(AND($C$2="Better / Worse",$K$2="Low = Worst",I6&lt;Q6),1,IF(AND($C$2="Better / Worse",$K$2="Low = Worst",H6&gt;R6),2,IF(AND($C$2="Better / Worse",$K$2="High = Worst",I6&lt;Q6),2,IF(AND($C$2="Better / Worse",$K$2="High = Worst",H6&gt;R6),1,IF(AND($C$2="Higher / Lower",I6&lt;Q6),3,IF(AND($C$2="Higher / Lower",H6&gt;R6),4,5)))))))</f>
        <v>5</v>
      </c>
      <c r="N6" s="61">
        <f>MIN($G$6:$G$32)</f>
        <v>401.4376879031974</v>
      </c>
      <c r="O6" s="61">
        <f>VLOOKUP(7,$E$5:$G$39,3,FALSE)</f>
        <v>809.80787116797467</v>
      </c>
      <c r="P6" s="129">
        <f>$G$32</f>
        <v>961.24571079814052</v>
      </c>
      <c r="Q6" s="129">
        <f>$H$32</f>
        <v>935.99906819313139</v>
      </c>
      <c r="R6" s="129">
        <f>$I$32</f>
        <v>986.99647324559169</v>
      </c>
      <c r="S6" s="61">
        <f>VLOOKUP(20,$E$5:$G$39,3,FALSE)</f>
        <v>1122.435537489102</v>
      </c>
      <c r="T6" s="61">
        <f t="shared" ref="T6:T31" si="0">MAX($G$6:$G$31)</f>
        <v>2189.1405588611224</v>
      </c>
      <c r="U6" s="61">
        <f>VLOOKUP(C6,$C$43:$I$46,5,FALSE)</f>
        <v>971.34644990647291</v>
      </c>
      <c r="V6" s="61"/>
      <c r="Y6" s="159" t="s">
        <v>33</v>
      </c>
      <c r="Z6" s="159" t="s">
        <v>58</v>
      </c>
      <c r="AA6" s="159" t="s">
        <v>163</v>
      </c>
      <c r="AB6" s="159">
        <f>RANK(AH6,$AH$6:$AH$13,1)</f>
        <v>6</v>
      </c>
      <c r="AC6" s="164">
        <f>MIN($AH$6:$AH$13)</f>
        <v>692.32839359773629</v>
      </c>
      <c r="AD6" s="164">
        <f>MAX($AH$6:$AH$13)</f>
        <v>1319.7442060069284</v>
      </c>
      <c r="AE6" s="159"/>
      <c r="AF6" s="159">
        <f>VLOOKUP($Y6,$A$6:$I$31,5,FALSE)</f>
        <v>19</v>
      </c>
      <c r="AG6" s="160">
        <f>VLOOKUP($Y6,$A$6:$I$31,6,FALSE)</f>
        <v>276</v>
      </c>
      <c r="AH6" s="161">
        <f>VLOOKUP($Y6,$A$6:$I$31,7,FALSE)</f>
        <v>1024.1198220016763</v>
      </c>
      <c r="AI6" s="161">
        <f>VLOOKUP($Y6,$A$6:$I$31,8,FALSE)</f>
        <v>905.27777988477999</v>
      </c>
      <c r="AJ6" s="161">
        <f>VLOOKUP($Y6,$A$6:$I$31,9,FALSE)</f>
        <v>1154.0638672548687</v>
      </c>
      <c r="AK6" s="160">
        <f>VLOOKUP($Y6,$A$6:$M$31,13,FALSE)</f>
        <v>5</v>
      </c>
    </row>
    <row r="7" spans="1:37" x14ac:dyDescent="0.2">
      <c r="A7" s="62" t="s">
        <v>30</v>
      </c>
      <c r="B7" s="62" t="s">
        <v>56</v>
      </c>
      <c r="C7" s="62" t="s">
        <v>200</v>
      </c>
      <c r="D7" s="62"/>
      <c r="E7" s="62">
        <f t="shared" ref="E7:E31" si="1">RANK(G7,$G$6:$G$31,1)</f>
        <v>20</v>
      </c>
      <c r="F7" s="128">
        <v>303</v>
      </c>
      <c r="G7" s="129">
        <v>1122.435537489102</v>
      </c>
      <c r="H7" s="129">
        <v>997.81770516803726</v>
      </c>
      <c r="I7" s="129">
        <v>1258.1388804155213</v>
      </c>
      <c r="J7" s="129"/>
      <c r="K7" s="129"/>
      <c r="L7" s="129"/>
      <c r="M7" s="60">
        <f t="shared" ref="M7:M10" si="2">IF($C$2="Significance not measured",6,IF(AND($C$2="Better / Worse",$K$2="Low = Worst",I7&lt;Q7),1,IF(AND($C$2="Better / Worse",$K$2="Low = Worst",H7&gt;R7),2,IF(AND($C$2="Better / Worse",$K$2="High = Worst",I7&lt;Q7),2,IF(AND($C$2="Better / Worse",$K$2="High = Worst",H7&gt;R7),1,IF(AND($C$2="Higher / Lower",I7&lt;Q7),3,IF(AND($C$2="Higher / Lower",H7&gt;R7),4,5)))))))</f>
        <v>1</v>
      </c>
      <c r="N7" s="61">
        <f t="shared" ref="N7:N31" si="3">MIN($G$6:$G$32)</f>
        <v>401.4376879031974</v>
      </c>
      <c r="O7" s="61">
        <f>VLOOKUP(7,$E$5:$G$39,3,FALSE)</f>
        <v>809.80787116797467</v>
      </c>
      <c r="P7" s="129">
        <f t="shared" ref="P7:P31" si="4">$G$32</f>
        <v>961.24571079814052</v>
      </c>
      <c r="Q7" s="129">
        <f t="shared" ref="Q7:Q31" si="5">$H$32</f>
        <v>935.99906819313139</v>
      </c>
      <c r="R7" s="129">
        <f t="shared" ref="R7:R31" si="6">$I$32</f>
        <v>986.99647324559169</v>
      </c>
      <c r="S7" s="61">
        <f t="shared" ref="S7:S31" si="7">VLOOKUP(20,$E$5:$G$39,3,FALSE)</f>
        <v>1122.435537489102</v>
      </c>
      <c r="T7" s="61">
        <f t="shared" si="0"/>
        <v>2189.1405588611224</v>
      </c>
      <c r="U7" s="61">
        <f>VLOOKUP(C7,$C$43:$I$46,5,FALSE)</f>
        <v>956.82849521728804</v>
      </c>
      <c r="V7" s="61"/>
      <c r="Y7" s="159" t="s">
        <v>35</v>
      </c>
      <c r="Z7" s="159" t="s">
        <v>60</v>
      </c>
      <c r="AA7" s="159" t="s">
        <v>163</v>
      </c>
      <c r="AB7" s="159">
        <f t="shared" ref="AB7:AB12" si="8">RANK(AH7,$AH$6:$AH$13,1)</f>
        <v>7</v>
      </c>
      <c r="AC7" s="164">
        <f>MIN($AH$6:$AH$13)</f>
        <v>692.32839359773629</v>
      </c>
      <c r="AD7" s="164">
        <f t="shared" ref="AD7:AD13" si="9">MAX($AH$6:$AH$13)</f>
        <v>1319.7442060069284</v>
      </c>
      <c r="AE7" s="159"/>
      <c r="AF7" s="159">
        <f t="shared" ref="AF7:AF31" si="10">VLOOKUP($Y7,$A$6:$I$31,5,FALSE)</f>
        <v>21</v>
      </c>
      <c r="AG7" s="160">
        <f t="shared" ref="AG7:AG31" si="11">VLOOKUP($Y7,$A$6:$I$31,6,FALSE)</f>
        <v>429</v>
      </c>
      <c r="AH7" s="161">
        <f t="shared" ref="AH7:AH31" si="12">VLOOKUP($Y7,$A$6:$I$31,7,FALSE)</f>
        <v>1137.2433376777235</v>
      </c>
      <c r="AI7" s="161">
        <f t="shared" ref="AI7:AI31" si="13">VLOOKUP($Y7,$A$6:$I$31,8,FALSE)</f>
        <v>1031.8693715421364</v>
      </c>
      <c r="AJ7" s="161">
        <f t="shared" ref="AJ7:AJ31" si="14">VLOOKUP($Y7,$A$6:$I$31,9,FALSE)</f>
        <v>1250.435399892554</v>
      </c>
      <c r="AK7" s="160">
        <f t="shared" ref="AK7:AK31" si="15">VLOOKUP($Y7,$A$6:$M$31,13,FALSE)</f>
        <v>1</v>
      </c>
    </row>
    <row r="8" spans="1:37" x14ac:dyDescent="0.2">
      <c r="A8" s="62" t="s">
        <v>31</v>
      </c>
      <c r="B8" s="62" t="s">
        <v>57</v>
      </c>
      <c r="C8" s="62" t="s">
        <v>200</v>
      </c>
      <c r="D8" s="62"/>
      <c r="E8" s="62">
        <f t="shared" si="1"/>
        <v>7</v>
      </c>
      <c r="F8" s="128">
        <v>309</v>
      </c>
      <c r="G8" s="129">
        <v>809.80787116797467</v>
      </c>
      <c r="H8" s="129">
        <v>721.58596263055347</v>
      </c>
      <c r="I8" s="129">
        <v>905.79747382156427</v>
      </c>
      <c r="J8" s="129"/>
      <c r="K8" s="129"/>
      <c r="L8" s="129"/>
      <c r="M8" s="60">
        <f t="shared" si="2"/>
        <v>2</v>
      </c>
      <c r="N8" s="61">
        <f t="shared" si="3"/>
        <v>401.4376879031974</v>
      </c>
      <c r="O8" s="61">
        <f t="shared" ref="O8:O31" si="16">VLOOKUP(7,$E$5:$G$39,3,FALSE)</f>
        <v>809.80787116797467</v>
      </c>
      <c r="P8" s="129">
        <f t="shared" si="4"/>
        <v>961.24571079814052</v>
      </c>
      <c r="Q8" s="129">
        <f t="shared" si="5"/>
        <v>935.99906819313139</v>
      </c>
      <c r="R8" s="129">
        <f t="shared" si="6"/>
        <v>986.99647324559169</v>
      </c>
      <c r="S8" s="61">
        <f t="shared" si="7"/>
        <v>1122.435537489102</v>
      </c>
      <c r="T8" s="61">
        <f t="shared" si="0"/>
        <v>2189.1405588611224</v>
      </c>
      <c r="U8" s="61">
        <f t="shared" ref="U8:U31" si="17">VLOOKUP(C8,$C$43:$I$46,5,FALSE)</f>
        <v>956.82849521728804</v>
      </c>
      <c r="V8" s="61"/>
      <c r="Y8" s="159" t="s">
        <v>41</v>
      </c>
      <c r="Z8" s="159" t="s">
        <v>64</v>
      </c>
      <c r="AA8" s="159" t="s">
        <v>163</v>
      </c>
      <c r="AB8" s="159">
        <f t="shared" si="8"/>
        <v>5</v>
      </c>
      <c r="AC8" s="164">
        <f t="shared" ref="AC8:AC13" si="18">MIN($AH$6:$AH$13)</f>
        <v>692.32839359773629</v>
      </c>
      <c r="AD8" s="164">
        <f>MAX($AH$6:$AH$13)</f>
        <v>1319.7442060069284</v>
      </c>
      <c r="AE8" s="159"/>
      <c r="AF8" s="159">
        <f t="shared" si="10"/>
        <v>18</v>
      </c>
      <c r="AG8" s="160">
        <f t="shared" si="11"/>
        <v>351</v>
      </c>
      <c r="AH8" s="161">
        <f t="shared" si="12"/>
        <v>998.95972859016831</v>
      </c>
      <c r="AI8" s="161">
        <f t="shared" si="13"/>
        <v>896.87586751302092</v>
      </c>
      <c r="AJ8" s="161">
        <f t="shared" si="14"/>
        <v>1109.4523826318491</v>
      </c>
      <c r="AK8" s="160">
        <f t="shared" si="15"/>
        <v>5</v>
      </c>
    </row>
    <row r="9" spans="1:37" x14ac:dyDescent="0.2">
      <c r="A9" s="62" t="s">
        <v>32</v>
      </c>
      <c r="B9" s="62" t="s">
        <v>156</v>
      </c>
      <c r="C9" s="62" t="s">
        <v>201</v>
      </c>
      <c r="D9" s="62"/>
      <c r="E9" s="62">
        <f t="shared" si="1"/>
        <v>15</v>
      </c>
      <c r="F9" s="128">
        <v>217</v>
      </c>
      <c r="G9" s="129">
        <v>949.97316507153153</v>
      </c>
      <c r="H9" s="129">
        <v>824.76954876649665</v>
      </c>
      <c r="I9" s="129">
        <v>1088.452156301779</v>
      </c>
      <c r="J9" s="129"/>
      <c r="K9" s="129"/>
      <c r="L9" s="129"/>
      <c r="M9" s="60">
        <f t="shared" si="2"/>
        <v>5</v>
      </c>
      <c r="N9" s="61">
        <f t="shared" si="3"/>
        <v>401.4376879031974</v>
      </c>
      <c r="O9" s="61">
        <f t="shared" si="16"/>
        <v>809.80787116797467</v>
      </c>
      <c r="P9" s="129">
        <f t="shared" si="4"/>
        <v>961.24571079814052</v>
      </c>
      <c r="Q9" s="129">
        <f t="shared" si="5"/>
        <v>935.99906819313139</v>
      </c>
      <c r="R9" s="129">
        <f t="shared" si="6"/>
        <v>986.99647324559169</v>
      </c>
      <c r="S9" s="61">
        <f t="shared" si="7"/>
        <v>1122.435537489102</v>
      </c>
      <c r="T9" s="61">
        <f t="shared" si="0"/>
        <v>2189.1405588611224</v>
      </c>
      <c r="U9" s="61">
        <f t="shared" si="17"/>
        <v>971.34644990647291</v>
      </c>
      <c r="V9" s="61"/>
      <c r="X9" s="63"/>
      <c r="Y9" s="159" t="s">
        <v>45</v>
      </c>
      <c r="Z9" s="159" t="s">
        <v>67</v>
      </c>
      <c r="AA9" s="159" t="s">
        <v>163</v>
      </c>
      <c r="AB9" s="159">
        <f t="shared" si="8"/>
        <v>4</v>
      </c>
      <c r="AC9" s="164">
        <f t="shared" si="18"/>
        <v>692.32839359773629</v>
      </c>
      <c r="AD9" s="164">
        <f t="shared" si="9"/>
        <v>1319.7442060069284</v>
      </c>
      <c r="AE9" s="159"/>
      <c r="AF9" s="159">
        <f t="shared" si="10"/>
        <v>16</v>
      </c>
      <c r="AG9" s="160">
        <f t="shared" si="11"/>
        <v>212</v>
      </c>
      <c r="AH9" s="161">
        <f t="shared" si="12"/>
        <v>953.6458752953439</v>
      </c>
      <c r="AI9" s="161">
        <f t="shared" si="13"/>
        <v>828.86284434682887</v>
      </c>
      <c r="AJ9" s="161">
        <f t="shared" si="14"/>
        <v>1091.8236565610039</v>
      </c>
      <c r="AK9" s="160">
        <f t="shared" si="15"/>
        <v>5</v>
      </c>
    </row>
    <row r="10" spans="1:37" x14ac:dyDescent="0.2">
      <c r="A10" s="62" t="s">
        <v>33</v>
      </c>
      <c r="B10" s="62" t="s">
        <v>58</v>
      </c>
      <c r="C10" s="62" t="s">
        <v>163</v>
      </c>
      <c r="D10" s="62"/>
      <c r="E10" s="62">
        <f t="shared" si="1"/>
        <v>19</v>
      </c>
      <c r="F10" s="128">
        <v>276</v>
      </c>
      <c r="G10" s="129">
        <v>1024.1198220016763</v>
      </c>
      <c r="H10" s="129">
        <v>905.27777988477999</v>
      </c>
      <c r="I10" s="129">
        <v>1154.0638672548687</v>
      </c>
      <c r="J10" s="129"/>
      <c r="K10" s="129"/>
      <c r="L10" s="129"/>
      <c r="M10" s="60">
        <f t="shared" si="2"/>
        <v>5</v>
      </c>
      <c r="N10" s="61">
        <f t="shared" si="3"/>
        <v>401.4376879031974</v>
      </c>
      <c r="O10" s="61">
        <f t="shared" si="16"/>
        <v>809.80787116797467</v>
      </c>
      <c r="P10" s="129">
        <f t="shared" si="4"/>
        <v>961.24571079814052</v>
      </c>
      <c r="Q10" s="129">
        <f t="shared" si="5"/>
        <v>935.99906819313139</v>
      </c>
      <c r="R10" s="129">
        <f t="shared" si="6"/>
        <v>986.99647324559169</v>
      </c>
      <c r="S10" s="61">
        <f t="shared" si="7"/>
        <v>1122.435537489102</v>
      </c>
      <c r="T10" s="61">
        <f t="shared" si="0"/>
        <v>2189.1405588611224</v>
      </c>
      <c r="U10" s="61">
        <f t="shared" si="17"/>
        <v>957.62634385360479</v>
      </c>
      <c r="V10" s="61"/>
      <c r="Y10" s="159" t="s">
        <v>46</v>
      </c>
      <c r="Z10" s="159" t="s">
        <v>68</v>
      </c>
      <c r="AA10" s="159" t="s">
        <v>163</v>
      </c>
      <c r="AB10" s="159">
        <f t="shared" si="8"/>
        <v>2</v>
      </c>
      <c r="AC10" s="164">
        <f t="shared" si="18"/>
        <v>692.32839359773629</v>
      </c>
      <c r="AD10" s="164">
        <f t="shared" si="9"/>
        <v>1319.7442060069284</v>
      </c>
      <c r="AE10" s="159"/>
      <c r="AF10" s="159">
        <f t="shared" si="10"/>
        <v>5</v>
      </c>
      <c r="AG10" s="160">
        <f t="shared" si="11"/>
        <v>298</v>
      </c>
      <c r="AH10" s="161">
        <f t="shared" si="12"/>
        <v>781.74665006861062</v>
      </c>
      <c r="AI10" s="161">
        <f t="shared" si="13"/>
        <v>694.51010090617808</v>
      </c>
      <c r="AJ10" s="161">
        <f t="shared" si="14"/>
        <v>876.81136630436731</v>
      </c>
      <c r="AK10" s="160">
        <f t="shared" si="15"/>
        <v>2</v>
      </c>
    </row>
    <row r="11" spans="1:37" x14ac:dyDescent="0.2">
      <c r="A11" s="62" t="s">
        <v>34</v>
      </c>
      <c r="B11" s="62" t="s">
        <v>59</v>
      </c>
      <c r="C11" s="62" t="s">
        <v>200</v>
      </c>
      <c r="D11" s="62"/>
      <c r="E11" s="62">
        <f t="shared" si="1"/>
        <v>14</v>
      </c>
      <c r="F11" s="128">
        <v>293</v>
      </c>
      <c r="G11" s="129">
        <v>914.98676585999692</v>
      </c>
      <c r="H11" s="129">
        <v>811.68802392437135</v>
      </c>
      <c r="I11" s="129">
        <v>1027.6375896859997</v>
      </c>
      <c r="J11" s="129"/>
      <c r="K11" s="129"/>
      <c r="L11" s="129"/>
      <c r="M11" s="60">
        <f t="shared" ref="M11:M31" si="19">IF($C$2="Significance not measured",6,IF(AND($C$2="Better / Worse",$K$2="Low = Worst",I11&lt;Q11),1,IF(AND($C$2="Better / Worse",$K$2="Low = Worst",H11&gt;R11),2,IF(AND($C$2="Better / Worse",$K$2="High = Worst",I11&lt;Q11),2,IF(AND($C$2="Better / Worse",$K$2="High = Worst",H11&gt;R11),1,IF(AND($C$2="Higher / Lower",I11&lt;Q11),3,IF(AND($C$2="Higher / Lower",H11&gt;R11),4,5)))))))</f>
        <v>5</v>
      </c>
      <c r="N11" s="61">
        <f t="shared" si="3"/>
        <v>401.4376879031974</v>
      </c>
      <c r="O11" s="61">
        <f t="shared" si="16"/>
        <v>809.80787116797467</v>
      </c>
      <c r="P11" s="129">
        <f t="shared" si="4"/>
        <v>961.24571079814052</v>
      </c>
      <c r="Q11" s="129">
        <f t="shared" si="5"/>
        <v>935.99906819313139</v>
      </c>
      <c r="R11" s="129">
        <f t="shared" si="6"/>
        <v>986.99647324559169</v>
      </c>
      <c r="S11" s="61">
        <f t="shared" si="7"/>
        <v>1122.435537489102</v>
      </c>
      <c r="T11" s="61">
        <f t="shared" si="0"/>
        <v>2189.1405588611224</v>
      </c>
      <c r="U11" s="61">
        <f t="shared" si="17"/>
        <v>956.82849521728804</v>
      </c>
      <c r="V11" s="61"/>
      <c r="Y11" s="159" t="s">
        <v>47</v>
      </c>
      <c r="Z11" s="159" t="s">
        <v>69</v>
      </c>
      <c r="AA11" s="159" t="s">
        <v>163</v>
      </c>
      <c r="AB11" s="159">
        <f t="shared" si="8"/>
        <v>1</v>
      </c>
      <c r="AC11" s="164">
        <f t="shared" si="18"/>
        <v>692.32839359773629</v>
      </c>
      <c r="AD11" s="164">
        <f t="shared" si="9"/>
        <v>1319.7442060069284</v>
      </c>
      <c r="AE11" s="159"/>
      <c r="AF11" s="159">
        <f t="shared" si="10"/>
        <v>4</v>
      </c>
      <c r="AG11" s="160">
        <f t="shared" si="11"/>
        <v>86</v>
      </c>
      <c r="AH11" s="161">
        <f t="shared" si="12"/>
        <v>692.32839359773629</v>
      </c>
      <c r="AI11" s="161">
        <f t="shared" si="13"/>
        <v>546.57976523697437</v>
      </c>
      <c r="AJ11" s="161">
        <f t="shared" si="14"/>
        <v>863.4563126287062</v>
      </c>
      <c r="AK11" s="160">
        <f t="shared" si="15"/>
        <v>2</v>
      </c>
    </row>
    <row r="12" spans="1:37" x14ac:dyDescent="0.2">
      <c r="A12" s="62" t="s">
        <v>35</v>
      </c>
      <c r="B12" s="62" t="s">
        <v>60</v>
      </c>
      <c r="C12" s="62" t="s">
        <v>163</v>
      </c>
      <c r="D12" s="62"/>
      <c r="E12" s="62">
        <f t="shared" si="1"/>
        <v>21</v>
      </c>
      <c r="F12" s="128">
        <v>429</v>
      </c>
      <c r="G12" s="129">
        <v>1137.2433376777235</v>
      </c>
      <c r="H12" s="129">
        <v>1031.8693715421364</v>
      </c>
      <c r="I12" s="129">
        <v>1250.435399892554</v>
      </c>
      <c r="J12" s="129"/>
      <c r="K12" s="129"/>
      <c r="L12" s="129"/>
      <c r="M12" s="60">
        <f t="shared" si="19"/>
        <v>1</v>
      </c>
      <c r="N12" s="61">
        <f t="shared" si="3"/>
        <v>401.4376879031974</v>
      </c>
      <c r="O12" s="61">
        <f t="shared" si="16"/>
        <v>809.80787116797467</v>
      </c>
      <c r="P12" s="129">
        <f t="shared" si="4"/>
        <v>961.24571079814052</v>
      </c>
      <c r="Q12" s="129">
        <f t="shared" si="5"/>
        <v>935.99906819313139</v>
      </c>
      <c r="R12" s="129">
        <f t="shared" si="6"/>
        <v>986.99647324559169</v>
      </c>
      <c r="S12" s="61">
        <f t="shared" si="7"/>
        <v>1122.435537489102</v>
      </c>
      <c r="T12" s="61">
        <f t="shared" si="0"/>
        <v>2189.1405588611224</v>
      </c>
      <c r="U12" s="61">
        <f t="shared" si="17"/>
        <v>957.62634385360479</v>
      </c>
      <c r="V12" s="61"/>
      <c r="Y12" s="159" t="s">
        <v>50</v>
      </c>
      <c r="Z12" s="159" t="s">
        <v>161</v>
      </c>
      <c r="AA12" s="159" t="s">
        <v>163</v>
      </c>
      <c r="AB12" s="159">
        <f t="shared" si="8"/>
        <v>8</v>
      </c>
      <c r="AC12" s="164">
        <f t="shared" si="18"/>
        <v>692.32839359773629</v>
      </c>
      <c r="AD12" s="164">
        <f t="shared" si="9"/>
        <v>1319.7442060069284</v>
      </c>
      <c r="AE12" s="159"/>
      <c r="AF12" s="159">
        <f t="shared" si="10"/>
        <v>24</v>
      </c>
      <c r="AG12" s="160">
        <f t="shared" si="11"/>
        <v>181</v>
      </c>
      <c r="AH12" s="161">
        <f t="shared" si="12"/>
        <v>1319.7442060069284</v>
      </c>
      <c r="AI12" s="161">
        <f t="shared" si="13"/>
        <v>1133.9557734849534</v>
      </c>
      <c r="AJ12" s="161">
        <f t="shared" si="14"/>
        <v>1527.2179824652476</v>
      </c>
      <c r="AK12" s="160">
        <f t="shared" si="15"/>
        <v>1</v>
      </c>
    </row>
    <row r="13" spans="1:37" x14ac:dyDescent="0.2">
      <c r="A13" s="62" t="s">
        <v>36</v>
      </c>
      <c r="B13" s="62" t="s">
        <v>61</v>
      </c>
      <c r="C13" s="62" t="s">
        <v>201</v>
      </c>
      <c r="D13" s="62"/>
      <c r="E13" s="62">
        <f t="shared" si="1"/>
        <v>1</v>
      </c>
      <c r="F13" s="128">
        <v>21</v>
      </c>
      <c r="G13" s="129">
        <v>401.4376879031974</v>
      </c>
      <c r="H13" s="129">
        <v>209.46636150230742</v>
      </c>
      <c r="I13" s="129">
        <v>667.66518648792533</v>
      </c>
      <c r="J13" s="129"/>
      <c r="K13" s="129"/>
      <c r="L13" s="129"/>
      <c r="M13" s="60">
        <f t="shared" si="19"/>
        <v>2</v>
      </c>
      <c r="N13" s="61">
        <f t="shared" si="3"/>
        <v>401.4376879031974</v>
      </c>
      <c r="O13" s="61">
        <f t="shared" si="16"/>
        <v>809.80787116797467</v>
      </c>
      <c r="P13" s="129">
        <f t="shared" si="4"/>
        <v>961.24571079814052</v>
      </c>
      <c r="Q13" s="129">
        <f t="shared" si="5"/>
        <v>935.99906819313139</v>
      </c>
      <c r="R13" s="129">
        <f t="shared" si="6"/>
        <v>986.99647324559169</v>
      </c>
      <c r="S13" s="61">
        <f t="shared" si="7"/>
        <v>1122.435537489102</v>
      </c>
      <c r="T13" s="61">
        <f t="shared" si="0"/>
        <v>2189.1405588611224</v>
      </c>
      <c r="U13" s="61">
        <f t="shared" si="17"/>
        <v>971.34644990647291</v>
      </c>
      <c r="V13" s="61"/>
      <c r="Y13" s="159" t="s">
        <v>53</v>
      </c>
      <c r="Z13" s="159" t="s">
        <v>162</v>
      </c>
      <c r="AA13" s="159" t="s">
        <v>163</v>
      </c>
      <c r="AB13" s="159">
        <f>RANK(AH13,$AH$6:$AH$13,1)</f>
        <v>3</v>
      </c>
      <c r="AC13" s="164">
        <f t="shared" si="18"/>
        <v>692.32839359773629</v>
      </c>
      <c r="AD13" s="164">
        <f t="shared" si="9"/>
        <v>1319.7442060069284</v>
      </c>
      <c r="AE13" s="159"/>
      <c r="AF13" s="159">
        <f t="shared" si="10"/>
        <v>12</v>
      </c>
      <c r="AG13" s="160">
        <f t="shared" si="11"/>
        <v>572</v>
      </c>
      <c r="AH13" s="161">
        <f t="shared" si="12"/>
        <v>880.11122328553472</v>
      </c>
      <c r="AI13" s="161">
        <f t="shared" si="13"/>
        <v>808.86599325486441</v>
      </c>
      <c r="AJ13" s="161">
        <f t="shared" si="14"/>
        <v>955.90977631241219</v>
      </c>
      <c r="AK13" s="160">
        <f t="shared" si="15"/>
        <v>5</v>
      </c>
    </row>
    <row r="14" spans="1:37" x14ac:dyDescent="0.2">
      <c r="A14" s="62" t="s">
        <v>37</v>
      </c>
      <c r="B14" s="62" t="s">
        <v>157</v>
      </c>
      <c r="C14" s="62" t="s">
        <v>201</v>
      </c>
      <c r="D14" s="62"/>
      <c r="E14" s="62">
        <f t="shared" si="1"/>
        <v>3</v>
      </c>
      <c r="F14" s="128">
        <v>145</v>
      </c>
      <c r="G14" s="129">
        <v>655.16871832699906</v>
      </c>
      <c r="H14" s="129">
        <v>544.82314070074722</v>
      </c>
      <c r="I14" s="129">
        <v>780.00898713565823</v>
      </c>
      <c r="J14" s="129"/>
      <c r="K14" s="129"/>
      <c r="L14" s="129"/>
      <c r="M14" s="60">
        <f t="shared" si="19"/>
        <v>2</v>
      </c>
      <c r="N14" s="61">
        <f t="shared" si="3"/>
        <v>401.4376879031974</v>
      </c>
      <c r="O14" s="61">
        <f t="shared" si="16"/>
        <v>809.80787116797467</v>
      </c>
      <c r="P14" s="129">
        <f t="shared" si="4"/>
        <v>961.24571079814052</v>
      </c>
      <c r="Q14" s="129">
        <f t="shared" si="5"/>
        <v>935.99906819313139</v>
      </c>
      <c r="R14" s="129">
        <f t="shared" si="6"/>
        <v>986.99647324559169</v>
      </c>
      <c r="S14" s="61">
        <f t="shared" si="7"/>
        <v>1122.435537489102</v>
      </c>
      <c r="T14" s="61">
        <f t="shared" si="0"/>
        <v>2189.1405588611224</v>
      </c>
      <c r="U14" s="61">
        <f t="shared" si="17"/>
        <v>971.34644990647291</v>
      </c>
      <c r="V14" s="61"/>
      <c r="Y14" s="162" t="s">
        <v>29</v>
      </c>
      <c r="Z14" s="162" t="s">
        <v>55</v>
      </c>
      <c r="AA14" s="162" t="s">
        <v>201</v>
      </c>
      <c r="AB14" s="162">
        <f>RANK(AH14,$AH$14:$AH$22,1)</f>
        <v>5</v>
      </c>
      <c r="AC14" s="165">
        <f t="shared" ref="AC14:AC22" si="20">MIN($AH$14:$AH$22)</f>
        <v>401.4376879031974</v>
      </c>
      <c r="AD14" s="165">
        <f>MAX($AH$14:$AH$22)</f>
        <v>2189.1405588611224</v>
      </c>
      <c r="AE14" s="162"/>
      <c r="AF14" s="162">
        <f t="shared" si="10"/>
        <v>13</v>
      </c>
      <c r="AG14" s="167">
        <f t="shared" si="11"/>
        <v>125</v>
      </c>
      <c r="AH14" s="165">
        <f t="shared" si="12"/>
        <v>905.03950982076196</v>
      </c>
      <c r="AI14" s="165">
        <f t="shared" si="13"/>
        <v>750.80077049783836</v>
      </c>
      <c r="AJ14" s="165">
        <f t="shared" si="14"/>
        <v>1081.2160032879774</v>
      </c>
      <c r="AK14" s="167">
        <f t="shared" si="15"/>
        <v>5</v>
      </c>
    </row>
    <row r="15" spans="1:37" x14ac:dyDescent="0.2">
      <c r="A15" s="62" t="s">
        <v>38</v>
      </c>
      <c r="B15" s="62" t="s">
        <v>62</v>
      </c>
      <c r="C15" s="62" t="s">
        <v>201</v>
      </c>
      <c r="D15" s="62"/>
      <c r="E15" s="62">
        <f t="shared" si="1"/>
        <v>11</v>
      </c>
      <c r="F15" s="128">
        <v>178</v>
      </c>
      <c r="G15" s="129">
        <v>874.46132637336098</v>
      </c>
      <c r="H15" s="129">
        <v>749.30869143114546</v>
      </c>
      <c r="I15" s="129">
        <v>1014.3520879026323</v>
      </c>
      <c r="J15" s="129"/>
      <c r="K15" s="129"/>
      <c r="L15" s="129"/>
      <c r="M15" s="60">
        <f t="shared" si="19"/>
        <v>5</v>
      </c>
      <c r="N15" s="61">
        <f t="shared" si="3"/>
        <v>401.4376879031974</v>
      </c>
      <c r="O15" s="61">
        <f t="shared" si="16"/>
        <v>809.80787116797467</v>
      </c>
      <c r="P15" s="129">
        <f t="shared" si="4"/>
        <v>961.24571079814052</v>
      </c>
      <c r="Q15" s="129">
        <f t="shared" si="5"/>
        <v>935.99906819313139</v>
      </c>
      <c r="R15" s="129">
        <f t="shared" si="6"/>
        <v>986.99647324559169</v>
      </c>
      <c r="S15" s="61">
        <f t="shared" si="7"/>
        <v>1122.435537489102</v>
      </c>
      <c r="T15" s="61">
        <f t="shared" si="0"/>
        <v>2189.1405588611224</v>
      </c>
      <c r="U15" s="61">
        <f t="shared" si="17"/>
        <v>971.34644990647291</v>
      </c>
      <c r="V15" s="61"/>
      <c r="Y15" s="162" t="s">
        <v>32</v>
      </c>
      <c r="Z15" s="162" t="s">
        <v>156</v>
      </c>
      <c r="AA15" s="162" t="s">
        <v>201</v>
      </c>
      <c r="AB15" s="162">
        <f>RANK(AH15,$AH$14:$AH$22,1)</f>
        <v>6</v>
      </c>
      <c r="AC15" s="165">
        <f t="shared" si="20"/>
        <v>401.4376879031974</v>
      </c>
      <c r="AD15" s="165">
        <f t="shared" ref="AD15:AD22" si="21">MAX($AH$14:$AH$22)</f>
        <v>2189.1405588611224</v>
      </c>
      <c r="AE15" s="162"/>
      <c r="AF15" s="162">
        <f t="shared" si="10"/>
        <v>15</v>
      </c>
      <c r="AG15" s="167">
        <f t="shared" si="11"/>
        <v>217</v>
      </c>
      <c r="AH15" s="165">
        <f t="shared" si="12"/>
        <v>949.97316507153153</v>
      </c>
      <c r="AI15" s="165">
        <f t="shared" si="13"/>
        <v>824.76954876649665</v>
      </c>
      <c r="AJ15" s="165">
        <f t="shared" si="14"/>
        <v>1088.452156301779</v>
      </c>
      <c r="AK15" s="167">
        <f t="shared" si="15"/>
        <v>5</v>
      </c>
    </row>
    <row r="16" spans="1:37" x14ac:dyDescent="0.2">
      <c r="A16" s="62" t="s">
        <v>39</v>
      </c>
      <c r="B16" s="62" t="s">
        <v>158</v>
      </c>
      <c r="C16" s="62" t="s">
        <v>200</v>
      </c>
      <c r="D16" s="62"/>
      <c r="E16" s="62">
        <f t="shared" si="1"/>
        <v>10</v>
      </c>
      <c r="F16" s="128">
        <v>227</v>
      </c>
      <c r="G16" s="129">
        <v>863.09933439105839</v>
      </c>
      <c r="H16" s="129">
        <v>753.17885643909017</v>
      </c>
      <c r="I16" s="129">
        <v>984.40079712836143</v>
      </c>
      <c r="J16" s="129"/>
      <c r="K16" s="129"/>
      <c r="L16" s="129"/>
      <c r="M16" s="60">
        <f t="shared" si="19"/>
        <v>5</v>
      </c>
      <c r="N16" s="61">
        <f t="shared" si="3"/>
        <v>401.4376879031974</v>
      </c>
      <c r="O16" s="61">
        <f t="shared" si="16"/>
        <v>809.80787116797467</v>
      </c>
      <c r="P16" s="129">
        <f t="shared" si="4"/>
        <v>961.24571079814052</v>
      </c>
      <c r="Q16" s="129">
        <f t="shared" si="5"/>
        <v>935.99906819313139</v>
      </c>
      <c r="R16" s="129">
        <f t="shared" si="6"/>
        <v>986.99647324559169</v>
      </c>
      <c r="S16" s="61">
        <f t="shared" si="7"/>
        <v>1122.435537489102</v>
      </c>
      <c r="T16" s="61">
        <f t="shared" si="0"/>
        <v>2189.1405588611224</v>
      </c>
      <c r="U16" s="61">
        <f t="shared" si="17"/>
        <v>956.82849521728804</v>
      </c>
      <c r="V16" s="61"/>
      <c r="Y16" s="162" t="s">
        <v>36</v>
      </c>
      <c r="Z16" s="162" t="s">
        <v>61</v>
      </c>
      <c r="AA16" s="162" t="s">
        <v>201</v>
      </c>
      <c r="AB16" s="162">
        <f>RANK(AH16,$AH$14:$AH$22,1)</f>
        <v>1</v>
      </c>
      <c r="AC16" s="165">
        <f t="shared" si="20"/>
        <v>401.4376879031974</v>
      </c>
      <c r="AD16" s="165">
        <f t="shared" si="21"/>
        <v>2189.1405588611224</v>
      </c>
      <c r="AE16" s="162"/>
      <c r="AF16" s="162">
        <f t="shared" si="10"/>
        <v>1</v>
      </c>
      <c r="AG16" s="167">
        <f t="shared" si="11"/>
        <v>21</v>
      </c>
      <c r="AH16" s="165">
        <f t="shared" si="12"/>
        <v>401.4376879031974</v>
      </c>
      <c r="AI16" s="165">
        <f t="shared" si="13"/>
        <v>209.46636150230742</v>
      </c>
      <c r="AJ16" s="165">
        <f t="shared" si="14"/>
        <v>667.66518648792533</v>
      </c>
      <c r="AK16" s="167">
        <f t="shared" si="15"/>
        <v>2</v>
      </c>
    </row>
    <row r="17" spans="1:37" x14ac:dyDescent="0.2">
      <c r="A17" s="62" t="s">
        <v>40</v>
      </c>
      <c r="B17" s="62" t="s">
        <v>63</v>
      </c>
      <c r="C17" s="62" t="s">
        <v>200</v>
      </c>
      <c r="D17" s="62"/>
      <c r="E17" s="62">
        <f t="shared" si="1"/>
        <v>17</v>
      </c>
      <c r="F17" s="128">
        <v>165</v>
      </c>
      <c r="G17" s="129">
        <v>959.42268072571096</v>
      </c>
      <c r="H17" s="129">
        <v>813.80270582051344</v>
      </c>
      <c r="I17" s="129">
        <v>1122.8967620667158</v>
      </c>
      <c r="J17" s="129"/>
      <c r="K17" s="129"/>
      <c r="L17" s="129"/>
      <c r="M17" s="60">
        <f t="shared" si="19"/>
        <v>5</v>
      </c>
      <c r="N17" s="61">
        <f t="shared" si="3"/>
        <v>401.4376879031974</v>
      </c>
      <c r="O17" s="61">
        <f t="shared" si="16"/>
        <v>809.80787116797467</v>
      </c>
      <c r="P17" s="129">
        <f t="shared" si="4"/>
        <v>961.24571079814052</v>
      </c>
      <c r="Q17" s="129">
        <f t="shared" si="5"/>
        <v>935.99906819313139</v>
      </c>
      <c r="R17" s="129">
        <f t="shared" si="6"/>
        <v>986.99647324559169</v>
      </c>
      <c r="S17" s="61">
        <f t="shared" si="7"/>
        <v>1122.435537489102</v>
      </c>
      <c r="T17" s="61">
        <f t="shared" si="0"/>
        <v>2189.1405588611224</v>
      </c>
      <c r="U17" s="61">
        <f t="shared" si="17"/>
        <v>956.82849521728804</v>
      </c>
      <c r="V17" s="61"/>
      <c r="Y17" s="162" t="s">
        <v>37</v>
      </c>
      <c r="Z17" s="162" t="s">
        <v>157</v>
      </c>
      <c r="AA17" s="162" t="s">
        <v>201</v>
      </c>
      <c r="AB17" s="162">
        <f t="shared" ref="AB17:AB22" si="22">RANK(AH17,$AH$14:$AH$22,1)</f>
        <v>3</v>
      </c>
      <c r="AC17" s="165">
        <f t="shared" si="20"/>
        <v>401.4376879031974</v>
      </c>
      <c r="AD17" s="165">
        <f>MAX($AH$14:$AH$22)</f>
        <v>2189.1405588611224</v>
      </c>
      <c r="AE17" s="162"/>
      <c r="AF17" s="162">
        <f t="shared" si="10"/>
        <v>3</v>
      </c>
      <c r="AG17" s="167">
        <f t="shared" si="11"/>
        <v>145</v>
      </c>
      <c r="AH17" s="165">
        <f t="shared" si="12"/>
        <v>655.16871832699906</v>
      </c>
      <c r="AI17" s="165">
        <f t="shared" si="13"/>
        <v>544.82314070074722</v>
      </c>
      <c r="AJ17" s="165">
        <f t="shared" si="14"/>
        <v>780.00898713565823</v>
      </c>
      <c r="AK17" s="167">
        <f t="shared" si="15"/>
        <v>2</v>
      </c>
    </row>
    <row r="18" spans="1:37" x14ac:dyDescent="0.2">
      <c r="A18" s="62" t="s">
        <v>41</v>
      </c>
      <c r="B18" s="62" t="s">
        <v>64</v>
      </c>
      <c r="C18" s="62" t="s">
        <v>163</v>
      </c>
      <c r="D18" s="62"/>
      <c r="E18" s="62">
        <f t="shared" si="1"/>
        <v>18</v>
      </c>
      <c r="F18" s="128">
        <v>351</v>
      </c>
      <c r="G18" s="129">
        <v>998.95972859016831</v>
      </c>
      <c r="H18" s="129">
        <v>896.87586751302092</v>
      </c>
      <c r="I18" s="129">
        <v>1109.4523826318491</v>
      </c>
      <c r="J18" s="129"/>
      <c r="K18" s="129"/>
      <c r="L18" s="129"/>
      <c r="M18" s="60">
        <f t="shared" si="19"/>
        <v>5</v>
      </c>
      <c r="N18" s="61">
        <f t="shared" si="3"/>
        <v>401.4376879031974</v>
      </c>
      <c r="O18" s="61">
        <f t="shared" si="16"/>
        <v>809.80787116797467</v>
      </c>
      <c r="P18" s="129">
        <f t="shared" si="4"/>
        <v>961.24571079814052</v>
      </c>
      <c r="Q18" s="129">
        <f t="shared" si="5"/>
        <v>935.99906819313139</v>
      </c>
      <c r="R18" s="129">
        <f t="shared" si="6"/>
        <v>986.99647324559169</v>
      </c>
      <c r="S18" s="61">
        <f t="shared" si="7"/>
        <v>1122.435537489102</v>
      </c>
      <c r="T18" s="61">
        <f t="shared" si="0"/>
        <v>2189.1405588611224</v>
      </c>
      <c r="U18" s="61">
        <f t="shared" si="17"/>
        <v>957.62634385360479</v>
      </c>
      <c r="V18" s="61"/>
      <c r="Y18" s="162" t="s">
        <v>38</v>
      </c>
      <c r="Z18" s="162" t="s">
        <v>62</v>
      </c>
      <c r="AA18" s="162" t="s">
        <v>201</v>
      </c>
      <c r="AB18" s="162">
        <f t="shared" si="22"/>
        <v>4</v>
      </c>
      <c r="AC18" s="165">
        <f t="shared" si="20"/>
        <v>401.4376879031974</v>
      </c>
      <c r="AD18" s="165">
        <f t="shared" si="21"/>
        <v>2189.1405588611224</v>
      </c>
      <c r="AE18" s="162"/>
      <c r="AF18" s="162">
        <f t="shared" si="10"/>
        <v>11</v>
      </c>
      <c r="AG18" s="167">
        <f t="shared" si="11"/>
        <v>178</v>
      </c>
      <c r="AH18" s="165">
        <f t="shared" si="12"/>
        <v>874.46132637336098</v>
      </c>
      <c r="AI18" s="165">
        <f t="shared" si="13"/>
        <v>749.30869143114546</v>
      </c>
      <c r="AJ18" s="165">
        <f t="shared" si="14"/>
        <v>1014.3520879026323</v>
      </c>
      <c r="AK18" s="167">
        <f t="shared" si="15"/>
        <v>5</v>
      </c>
    </row>
    <row r="19" spans="1:37" x14ac:dyDescent="0.2">
      <c r="A19" s="62" t="s">
        <v>42</v>
      </c>
      <c r="B19" s="62" t="s">
        <v>65</v>
      </c>
      <c r="C19" s="62" t="s">
        <v>200</v>
      </c>
      <c r="D19" s="62"/>
      <c r="E19" s="62">
        <f t="shared" si="1"/>
        <v>8</v>
      </c>
      <c r="F19" s="128">
        <v>66</v>
      </c>
      <c r="G19" s="129">
        <v>827.71700280478478</v>
      </c>
      <c r="H19" s="129">
        <v>636.30061693423124</v>
      </c>
      <c r="I19" s="129">
        <v>1057.6707220415663</v>
      </c>
      <c r="J19" s="129"/>
      <c r="K19" s="129"/>
      <c r="L19" s="129"/>
      <c r="M19" s="60">
        <f t="shared" si="19"/>
        <v>5</v>
      </c>
      <c r="N19" s="61">
        <f t="shared" si="3"/>
        <v>401.4376879031974</v>
      </c>
      <c r="O19" s="61">
        <f t="shared" si="16"/>
        <v>809.80787116797467</v>
      </c>
      <c r="P19" s="129">
        <f t="shared" si="4"/>
        <v>961.24571079814052</v>
      </c>
      <c r="Q19" s="129">
        <f t="shared" si="5"/>
        <v>935.99906819313139</v>
      </c>
      <c r="R19" s="129">
        <f t="shared" si="6"/>
        <v>986.99647324559169</v>
      </c>
      <c r="S19" s="61">
        <f t="shared" si="7"/>
        <v>1122.435537489102</v>
      </c>
      <c r="T19" s="61">
        <f t="shared" si="0"/>
        <v>2189.1405588611224</v>
      </c>
      <c r="U19" s="61">
        <f t="shared" si="17"/>
        <v>956.82849521728804</v>
      </c>
      <c r="V19" s="61"/>
      <c r="Y19" s="162" t="s">
        <v>43</v>
      </c>
      <c r="Z19" s="162" t="s">
        <v>159</v>
      </c>
      <c r="AA19" s="162" t="s">
        <v>201</v>
      </c>
      <c r="AB19" s="162">
        <f t="shared" si="22"/>
        <v>7</v>
      </c>
      <c r="AC19" s="165">
        <f t="shared" si="20"/>
        <v>401.4376879031974</v>
      </c>
      <c r="AD19" s="165">
        <f t="shared" si="21"/>
        <v>2189.1405588611224</v>
      </c>
      <c r="AE19" s="162"/>
      <c r="AF19" s="162">
        <f t="shared" si="10"/>
        <v>22</v>
      </c>
      <c r="AG19" s="167">
        <f t="shared" si="11"/>
        <v>321</v>
      </c>
      <c r="AH19" s="165">
        <f t="shared" si="12"/>
        <v>1171.9086365138558</v>
      </c>
      <c r="AI19" s="165">
        <f t="shared" si="13"/>
        <v>1042.177052657737</v>
      </c>
      <c r="AJ19" s="165">
        <f t="shared" si="14"/>
        <v>1312.8372143737572</v>
      </c>
      <c r="AK19" s="167">
        <f t="shared" si="15"/>
        <v>1</v>
      </c>
    </row>
    <row r="20" spans="1:37" x14ac:dyDescent="0.2">
      <c r="A20" s="62" t="s">
        <v>43</v>
      </c>
      <c r="B20" s="62" t="s">
        <v>159</v>
      </c>
      <c r="C20" s="62" t="s">
        <v>201</v>
      </c>
      <c r="D20" s="62"/>
      <c r="E20" s="62">
        <f t="shared" si="1"/>
        <v>22</v>
      </c>
      <c r="F20" s="128">
        <v>321</v>
      </c>
      <c r="G20" s="129">
        <v>1171.9086365138558</v>
      </c>
      <c r="H20" s="129">
        <v>1042.177052657737</v>
      </c>
      <c r="I20" s="129">
        <v>1312.8372143737572</v>
      </c>
      <c r="J20" s="129"/>
      <c r="K20" s="129"/>
      <c r="L20" s="129"/>
      <c r="M20" s="60">
        <f t="shared" si="19"/>
        <v>1</v>
      </c>
      <c r="N20" s="61">
        <f t="shared" si="3"/>
        <v>401.4376879031974</v>
      </c>
      <c r="O20" s="61">
        <f t="shared" si="16"/>
        <v>809.80787116797467</v>
      </c>
      <c r="P20" s="129">
        <f t="shared" si="4"/>
        <v>961.24571079814052</v>
      </c>
      <c r="Q20" s="129">
        <f t="shared" si="5"/>
        <v>935.99906819313139</v>
      </c>
      <c r="R20" s="129">
        <f t="shared" si="6"/>
        <v>986.99647324559169</v>
      </c>
      <c r="S20" s="61">
        <f t="shared" si="7"/>
        <v>1122.435537489102</v>
      </c>
      <c r="T20" s="61">
        <f t="shared" si="0"/>
        <v>2189.1405588611224</v>
      </c>
      <c r="U20" s="61">
        <f t="shared" si="17"/>
        <v>971.34644990647291</v>
      </c>
      <c r="V20" s="61"/>
      <c r="Y20" s="162" t="s">
        <v>48</v>
      </c>
      <c r="Z20" s="162" t="s">
        <v>160</v>
      </c>
      <c r="AA20" s="162" t="s">
        <v>201</v>
      </c>
      <c r="AB20" s="162">
        <f t="shared" si="22"/>
        <v>2</v>
      </c>
      <c r="AC20" s="165">
        <f t="shared" si="20"/>
        <v>401.4376879031974</v>
      </c>
      <c r="AD20" s="165">
        <f t="shared" si="21"/>
        <v>2189.1405588611224</v>
      </c>
      <c r="AE20" s="162"/>
      <c r="AF20" s="162">
        <f t="shared" si="10"/>
        <v>2</v>
      </c>
      <c r="AG20" s="167">
        <f t="shared" si="11"/>
        <v>91</v>
      </c>
      <c r="AH20" s="165">
        <f t="shared" si="12"/>
        <v>503.24626588146174</v>
      </c>
      <c r="AI20" s="165">
        <f t="shared" si="13"/>
        <v>403.83576597025575</v>
      </c>
      <c r="AJ20" s="165">
        <f t="shared" si="14"/>
        <v>619.44266708238649</v>
      </c>
      <c r="AK20" s="167">
        <f t="shared" si="15"/>
        <v>2</v>
      </c>
    </row>
    <row r="21" spans="1:37" x14ac:dyDescent="0.2">
      <c r="A21" s="62" t="s">
        <v>44</v>
      </c>
      <c r="B21" s="62" t="s">
        <v>66</v>
      </c>
      <c r="C21" s="62" t="s">
        <v>200</v>
      </c>
      <c r="D21" s="62"/>
      <c r="E21" s="62">
        <f t="shared" si="1"/>
        <v>25</v>
      </c>
      <c r="F21" s="128">
        <v>218</v>
      </c>
      <c r="G21" s="129">
        <v>1612.9671202215948</v>
      </c>
      <c r="H21" s="129">
        <v>1393.6544194277628</v>
      </c>
      <c r="I21" s="129">
        <v>1855.4772082601471</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1</v>
      </c>
      <c r="N21" s="61">
        <f t="shared" si="3"/>
        <v>401.4376879031974</v>
      </c>
      <c r="O21" s="61">
        <f t="shared" si="16"/>
        <v>809.80787116797467</v>
      </c>
      <c r="P21" s="129">
        <f t="shared" si="4"/>
        <v>961.24571079814052</v>
      </c>
      <c r="Q21" s="129">
        <f t="shared" si="5"/>
        <v>935.99906819313139</v>
      </c>
      <c r="R21" s="129">
        <f t="shared" si="6"/>
        <v>986.99647324559169</v>
      </c>
      <c r="S21" s="61">
        <f t="shared" si="7"/>
        <v>1122.435537489102</v>
      </c>
      <c r="T21" s="61">
        <f t="shared" si="0"/>
        <v>2189.1405588611224</v>
      </c>
      <c r="U21" s="61">
        <f t="shared" si="17"/>
        <v>956.82849521728804</v>
      </c>
      <c r="V21" s="61"/>
      <c r="Y21" s="162" t="s">
        <v>52</v>
      </c>
      <c r="Z21" s="162" t="s">
        <v>72</v>
      </c>
      <c r="AA21" s="162" t="s">
        <v>201</v>
      </c>
      <c r="AB21" s="162">
        <f t="shared" si="22"/>
        <v>9</v>
      </c>
      <c r="AC21" s="165">
        <f t="shared" si="20"/>
        <v>401.4376879031974</v>
      </c>
      <c r="AD21" s="165">
        <f t="shared" si="21"/>
        <v>2189.1405588611224</v>
      </c>
      <c r="AE21" s="162"/>
      <c r="AF21" s="162">
        <f t="shared" si="10"/>
        <v>26</v>
      </c>
      <c r="AG21" s="167">
        <f t="shared" si="11"/>
        <v>165</v>
      </c>
      <c r="AH21" s="165">
        <f t="shared" si="12"/>
        <v>2189.1405588611224</v>
      </c>
      <c r="AI21" s="165">
        <f t="shared" si="13"/>
        <v>1811.4908865081923</v>
      </c>
      <c r="AJ21" s="165">
        <f t="shared" si="14"/>
        <v>2613.092927324436</v>
      </c>
      <c r="AK21" s="167">
        <f t="shared" si="15"/>
        <v>1</v>
      </c>
    </row>
    <row r="22" spans="1:37" x14ac:dyDescent="0.2">
      <c r="A22" s="62" t="s">
        <v>45</v>
      </c>
      <c r="B22" s="62" t="s">
        <v>67</v>
      </c>
      <c r="C22" s="62" t="s">
        <v>163</v>
      </c>
      <c r="D22" s="62"/>
      <c r="E22" s="62">
        <f t="shared" si="1"/>
        <v>16</v>
      </c>
      <c r="F22" s="128">
        <v>212</v>
      </c>
      <c r="G22" s="129">
        <v>953.6458752953439</v>
      </c>
      <c r="H22" s="129">
        <v>828.86284434682887</v>
      </c>
      <c r="I22" s="129">
        <v>1091.8236565610039</v>
      </c>
      <c r="J22" s="129"/>
      <c r="K22" s="129"/>
      <c r="L22" s="129"/>
      <c r="M22" s="60">
        <f t="shared" si="19"/>
        <v>5</v>
      </c>
      <c r="N22" s="61">
        <f t="shared" si="3"/>
        <v>401.4376879031974</v>
      </c>
      <c r="O22" s="61">
        <f t="shared" si="16"/>
        <v>809.80787116797467</v>
      </c>
      <c r="P22" s="129">
        <f t="shared" si="4"/>
        <v>961.24571079814052</v>
      </c>
      <c r="Q22" s="129">
        <f t="shared" si="5"/>
        <v>935.99906819313139</v>
      </c>
      <c r="R22" s="129">
        <f t="shared" si="6"/>
        <v>986.99647324559169</v>
      </c>
      <c r="S22" s="61">
        <f t="shared" si="7"/>
        <v>1122.435537489102</v>
      </c>
      <c r="T22" s="61">
        <f t="shared" si="0"/>
        <v>2189.1405588611224</v>
      </c>
      <c r="U22" s="61">
        <f>VLOOKUP(C22,$C$43:$I$46,5,FALSE)</f>
        <v>957.62634385360479</v>
      </c>
      <c r="V22" s="61"/>
      <c r="Y22" s="162" t="s">
        <v>54</v>
      </c>
      <c r="Z22" s="162" t="s">
        <v>73</v>
      </c>
      <c r="AA22" s="162" t="s">
        <v>201</v>
      </c>
      <c r="AB22" s="162">
        <f t="shared" si="22"/>
        <v>8</v>
      </c>
      <c r="AC22" s="165">
        <f t="shared" si="20"/>
        <v>401.4376879031974</v>
      </c>
      <c r="AD22" s="165">
        <f t="shared" si="21"/>
        <v>2189.1405588611224</v>
      </c>
      <c r="AE22" s="162"/>
      <c r="AF22" s="162">
        <f t="shared" si="10"/>
        <v>23</v>
      </c>
      <c r="AG22" s="167">
        <f t="shared" si="11"/>
        <v>98</v>
      </c>
      <c r="AH22" s="165">
        <f t="shared" si="12"/>
        <v>1293.2424812455884</v>
      </c>
      <c r="AI22" s="165">
        <f t="shared" si="13"/>
        <v>1017.9605927813261</v>
      </c>
      <c r="AJ22" s="165">
        <f t="shared" si="14"/>
        <v>1613.1735579696569</v>
      </c>
      <c r="AK22" s="167">
        <f t="shared" si="15"/>
        <v>1</v>
      </c>
    </row>
    <row r="23" spans="1:37" x14ac:dyDescent="0.2">
      <c r="A23" s="62" t="s">
        <v>46</v>
      </c>
      <c r="B23" s="62" t="s">
        <v>68</v>
      </c>
      <c r="C23" s="62" t="s">
        <v>163</v>
      </c>
      <c r="D23" s="62"/>
      <c r="E23" s="62">
        <f t="shared" si="1"/>
        <v>5</v>
      </c>
      <c r="F23" s="128">
        <v>298</v>
      </c>
      <c r="G23" s="129">
        <v>781.74665006861062</v>
      </c>
      <c r="H23" s="129">
        <v>694.51010090617808</v>
      </c>
      <c r="I23" s="129">
        <v>876.81136630436731</v>
      </c>
      <c r="J23" s="129"/>
      <c r="K23" s="129"/>
      <c r="L23" s="129"/>
      <c r="M23" s="60">
        <f t="shared" si="19"/>
        <v>2</v>
      </c>
      <c r="N23" s="61">
        <f t="shared" si="3"/>
        <v>401.4376879031974</v>
      </c>
      <c r="O23" s="61">
        <f t="shared" si="16"/>
        <v>809.80787116797467</v>
      </c>
      <c r="P23" s="129">
        <f t="shared" si="4"/>
        <v>961.24571079814052</v>
      </c>
      <c r="Q23" s="129">
        <f t="shared" si="5"/>
        <v>935.99906819313139</v>
      </c>
      <c r="R23" s="129">
        <f t="shared" si="6"/>
        <v>986.99647324559169</v>
      </c>
      <c r="S23" s="61">
        <f t="shared" si="7"/>
        <v>1122.435537489102</v>
      </c>
      <c r="T23" s="61">
        <f t="shared" si="0"/>
        <v>2189.1405588611224</v>
      </c>
      <c r="U23" s="61">
        <f t="shared" si="17"/>
        <v>957.62634385360479</v>
      </c>
      <c r="V23" s="61"/>
      <c r="Y23" s="163" t="s">
        <v>30</v>
      </c>
      <c r="Z23" s="163" t="s">
        <v>56</v>
      </c>
      <c r="AA23" s="163" t="s">
        <v>200</v>
      </c>
      <c r="AB23" s="163">
        <f>RANK(AH23,$AH$23:$AH$31,1)</f>
        <v>8</v>
      </c>
      <c r="AC23" s="166">
        <f>MIN($AH$23:$AH$31)</f>
        <v>788.8477288885166</v>
      </c>
      <c r="AD23" s="166">
        <f>MAX($AH$23:$AH$31)</f>
        <v>1612.9671202215948</v>
      </c>
      <c r="AE23" s="163"/>
      <c r="AF23" s="163">
        <f t="shared" si="10"/>
        <v>20</v>
      </c>
      <c r="AG23" s="168">
        <f t="shared" si="11"/>
        <v>303</v>
      </c>
      <c r="AH23" s="166">
        <f t="shared" si="12"/>
        <v>1122.435537489102</v>
      </c>
      <c r="AI23" s="166">
        <f t="shared" si="13"/>
        <v>997.81770516803726</v>
      </c>
      <c r="AJ23" s="166">
        <f t="shared" si="14"/>
        <v>1258.1388804155213</v>
      </c>
      <c r="AK23" s="168">
        <f t="shared" si="15"/>
        <v>1</v>
      </c>
    </row>
    <row r="24" spans="1:37" x14ac:dyDescent="0.2">
      <c r="A24" s="62" t="s">
        <v>47</v>
      </c>
      <c r="B24" s="62" t="s">
        <v>69</v>
      </c>
      <c r="C24" s="62" t="s">
        <v>163</v>
      </c>
      <c r="D24" s="62"/>
      <c r="E24" s="62">
        <f t="shared" si="1"/>
        <v>4</v>
      </c>
      <c r="F24" s="128">
        <v>86</v>
      </c>
      <c r="G24" s="129">
        <v>692.32839359773629</v>
      </c>
      <c r="H24" s="129">
        <v>546.57976523697437</v>
      </c>
      <c r="I24" s="129">
        <v>863.4563126287062</v>
      </c>
      <c r="J24" s="129"/>
      <c r="K24" s="129"/>
      <c r="L24" s="129"/>
      <c r="M24" s="60">
        <f t="shared" si="19"/>
        <v>2</v>
      </c>
      <c r="N24" s="61">
        <f t="shared" si="3"/>
        <v>401.4376879031974</v>
      </c>
      <c r="O24" s="61">
        <f t="shared" si="16"/>
        <v>809.80787116797467</v>
      </c>
      <c r="P24" s="129">
        <f t="shared" si="4"/>
        <v>961.24571079814052</v>
      </c>
      <c r="Q24" s="129">
        <f t="shared" si="5"/>
        <v>935.99906819313139</v>
      </c>
      <c r="R24" s="129">
        <f t="shared" si="6"/>
        <v>986.99647324559169</v>
      </c>
      <c r="S24" s="61">
        <f t="shared" si="7"/>
        <v>1122.435537489102</v>
      </c>
      <c r="T24" s="61">
        <f t="shared" si="0"/>
        <v>2189.1405588611224</v>
      </c>
      <c r="U24" s="61">
        <f t="shared" si="17"/>
        <v>957.62634385360479</v>
      </c>
      <c r="V24" s="61"/>
      <c r="Y24" s="163" t="s">
        <v>31</v>
      </c>
      <c r="Z24" s="163" t="s">
        <v>57</v>
      </c>
      <c r="AA24" s="163" t="s">
        <v>200</v>
      </c>
      <c r="AB24" s="163">
        <f t="shared" ref="AB24:AB31" si="23">RANK(AH24,$AH$23:$AH$31,1)</f>
        <v>2</v>
      </c>
      <c r="AC24" s="166">
        <f t="shared" ref="AC24:AC31" si="24">MIN($AH$23:$AH$31)</f>
        <v>788.8477288885166</v>
      </c>
      <c r="AD24" s="166">
        <f t="shared" ref="AD24:AD31" si="25">MAX($AH$23:$AH$31)</f>
        <v>1612.9671202215948</v>
      </c>
      <c r="AE24" s="163"/>
      <c r="AF24" s="163">
        <f t="shared" si="10"/>
        <v>7</v>
      </c>
      <c r="AG24" s="168">
        <f t="shared" si="11"/>
        <v>309</v>
      </c>
      <c r="AH24" s="166">
        <f t="shared" si="12"/>
        <v>809.80787116797467</v>
      </c>
      <c r="AI24" s="166">
        <f t="shared" si="13"/>
        <v>721.58596263055347</v>
      </c>
      <c r="AJ24" s="166">
        <f t="shared" si="14"/>
        <v>905.79747382156427</v>
      </c>
      <c r="AK24" s="168">
        <f t="shared" si="15"/>
        <v>2</v>
      </c>
    </row>
    <row r="25" spans="1:37" x14ac:dyDescent="0.2">
      <c r="A25" s="62" t="s">
        <v>48</v>
      </c>
      <c r="B25" s="62" t="s">
        <v>160</v>
      </c>
      <c r="C25" s="62" t="s">
        <v>201</v>
      </c>
      <c r="D25" s="62"/>
      <c r="E25" s="62">
        <f t="shared" si="1"/>
        <v>2</v>
      </c>
      <c r="F25" s="128">
        <v>91</v>
      </c>
      <c r="G25" s="129">
        <v>503.24626588146174</v>
      </c>
      <c r="H25" s="129">
        <v>403.83576597025575</v>
      </c>
      <c r="I25" s="129">
        <v>619.44266708238649</v>
      </c>
      <c r="J25" s="129"/>
      <c r="K25" s="129"/>
      <c r="L25" s="129"/>
      <c r="M25" s="60">
        <f t="shared" si="19"/>
        <v>2</v>
      </c>
      <c r="N25" s="61">
        <f t="shared" si="3"/>
        <v>401.4376879031974</v>
      </c>
      <c r="O25" s="61">
        <f t="shared" si="16"/>
        <v>809.80787116797467</v>
      </c>
      <c r="P25" s="129">
        <f t="shared" si="4"/>
        <v>961.24571079814052</v>
      </c>
      <c r="Q25" s="129">
        <f t="shared" si="5"/>
        <v>935.99906819313139</v>
      </c>
      <c r="R25" s="129">
        <f t="shared" si="6"/>
        <v>986.99647324559169</v>
      </c>
      <c r="S25" s="61">
        <f t="shared" si="7"/>
        <v>1122.435537489102</v>
      </c>
      <c r="T25" s="61">
        <f t="shared" si="0"/>
        <v>2189.1405588611224</v>
      </c>
      <c r="U25" s="61">
        <f t="shared" si="17"/>
        <v>971.34644990647291</v>
      </c>
      <c r="V25" s="61"/>
      <c r="Y25" s="163" t="s">
        <v>34</v>
      </c>
      <c r="Z25" s="163" t="s">
        <v>59</v>
      </c>
      <c r="AA25" s="163" t="s">
        <v>200</v>
      </c>
      <c r="AB25" s="163">
        <f t="shared" si="23"/>
        <v>6</v>
      </c>
      <c r="AC25" s="166">
        <f t="shared" si="24"/>
        <v>788.8477288885166</v>
      </c>
      <c r="AD25" s="166">
        <f t="shared" si="25"/>
        <v>1612.9671202215948</v>
      </c>
      <c r="AE25" s="163"/>
      <c r="AF25" s="163">
        <f t="shared" si="10"/>
        <v>14</v>
      </c>
      <c r="AG25" s="168">
        <f t="shared" si="11"/>
        <v>293</v>
      </c>
      <c r="AH25" s="166">
        <f t="shared" si="12"/>
        <v>914.98676585999692</v>
      </c>
      <c r="AI25" s="166">
        <f t="shared" si="13"/>
        <v>811.68802392437135</v>
      </c>
      <c r="AJ25" s="166">
        <f t="shared" si="14"/>
        <v>1027.6375896859997</v>
      </c>
      <c r="AK25" s="168">
        <f t="shared" si="15"/>
        <v>5</v>
      </c>
    </row>
    <row r="26" spans="1:37" x14ac:dyDescent="0.2">
      <c r="A26" s="62" t="s">
        <v>49</v>
      </c>
      <c r="B26" s="62" t="s">
        <v>70</v>
      </c>
      <c r="C26" s="62" t="s">
        <v>200</v>
      </c>
      <c r="D26" s="62"/>
      <c r="E26" s="62">
        <f t="shared" si="1"/>
        <v>9</v>
      </c>
      <c r="F26" s="128">
        <v>151</v>
      </c>
      <c r="G26" s="129">
        <v>833.95267501754768</v>
      </c>
      <c r="H26" s="129">
        <v>702.45606091837499</v>
      </c>
      <c r="I26" s="129">
        <v>982.35219007709702</v>
      </c>
      <c r="J26" s="129"/>
      <c r="K26" s="129"/>
      <c r="L26" s="129"/>
      <c r="M26" s="60">
        <f t="shared" si="19"/>
        <v>5</v>
      </c>
      <c r="N26" s="61">
        <f t="shared" si="3"/>
        <v>401.4376879031974</v>
      </c>
      <c r="O26" s="61">
        <f t="shared" si="16"/>
        <v>809.80787116797467</v>
      </c>
      <c r="P26" s="129">
        <f t="shared" si="4"/>
        <v>961.24571079814052</v>
      </c>
      <c r="Q26" s="129">
        <f t="shared" si="5"/>
        <v>935.99906819313139</v>
      </c>
      <c r="R26" s="129">
        <f t="shared" si="6"/>
        <v>986.99647324559169</v>
      </c>
      <c r="S26" s="61">
        <f t="shared" si="7"/>
        <v>1122.435537489102</v>
      </c>
      <c r="T26" s="61">
        <f t="shared" si="0"/>
        <v>2189.1405588611224</v>
      </c>
      <c r="U26" s="61">
        <f t="shared" si="17"/>
        <v>956.82849521728804</v>
      </c>
      <c r="V26" s="61"/>
      <c r="Y26" s="163" t="s">
        <v>39</v>
      </c>
      <c r="Z26" s="163" t="s">
        <v>158</v>
      </c>
      <c r="AA26" s="163" t="s">
        <v>200</v>
      </c>
      <c r="AB26" s="163">
        <f t="shared" si="23"/>
        <v>5</v>
      </c>
      <c r="AC26" s="166">
        <f t="shared" si="24"/>
        <v>788.8477288885166</v>
      </c>
      <c r="AD26" s="166">
        <f t="shared" si="25"/>
        <v>1612.9671202215948</v>
      </c>
      <c r="AE26" s="163"/>
      <c r="AF26" s="163">
        <f t="shared" si="10"/>
        <v>10</v>
      </c>
      <c r="AG26" s="168">
        <f t="shared" si="11"/>
        <v>227</v>
      </c>
      <c r="AH26" s="166">
        <f t="shared" si="12"/>
        <v>863.09933439105839</v>
      </c>
      <c r="AI26" s="166">
        <f t="shared" si="13"/>
        <v>753.17885643909017</v>
      </c>
      <c r="AJ26" s="166">
        <f t="shared" si="14"/>
        <v>984.40079712836143</v>
      </c>
      <c r="AK26" s="168">
        <f t="shared" si="15"/>
        <v>5</v>
      </c>
    </row>
    <row r="27" spans="1:37" x14ac:dyDescent="0.2">
      <c r="A27" s="62" t="s">
        <v>50</v>
      </c>
      <c r="B27" s="62" t="s">
        <v>161</v>
      </c>
      <c r="C27" s="62" t="s">
        <v>163</v>
      </c>
      <c r="D27" s="62"/>
      <c r="E27" s="62">
        <f t="shared" si="1"/>
        <v>24</v>
      </c>
      <c r="F27" s="128">
        <v>181</v>
      </c>
      <c r="G27" s="129">
        <v>1319.7442060069284</v>
      </c>
      <c r="H27" s="129">
        <v>1133.9557734849534</v>
      </c>
      <c r="I27" s="129">
        <v>1527.2179824652476</v>
      </c>
      <c r="J27" s="129"/>
      <c r="K27" s="129"/>
      <c r="L27" s="129"/>
      <c r="M27" s="60">
        <f t="shared" si="19"/>
        <v>1</v>
      </c>
      <c r="N27" s="61">
        <f t="shared" si="3"/>
        <v>401.4376879031974</v>
      </c>
      <c r="O27" s="61">
        <f t="shared" si="16"/>
        <v>809.80787116797467</v>
      </c>
      <c r="P27" s="129">
        <f t="shared" si="4"/>
        <v>961.24571079814052</v>
      </c>
      <c r="Q27" s="129">
        <f t="shared" si="5"/>
        <v>935.99906819313139</v>
      </c>
      <c r="R27" s="129">
        <f t="shared" si="6"/>
        <v>986.99647324559169</v>
      </c>
      <c r="S27" s="61">
        <f t="shared" si="7"/>
        <v>1122.435537489102</v>
      </c>
      <c r="T27" s="61">
        <f t="shared" si="0"/>
        <v>2189.1405588611224</v>
      </c>
      <c r="U27" s="61">
        <f t="shared" si="17"/>
        <v>957.62634385360479</v>
      </c>
      <c r="V27" s="61"/>
      <c r="Y27" s="163" t="s">
        <v>40</v>
      </c>
      <c r="Z27" s="163" t="s">
        <v>63</v>
      </c>
      <c r="AA27" s="163" t="s">
        <v>200</v>
      </c>
      <c r="AB27" s="163">
        <f t="shared" si="23"/>
        <v>7</v>
      </c>
      <c r="AC27" s="166">
        <f t="shared" si="24"/>
        <v>788.8477288885166</v>
      </c>
      <c r="AD27" s="166">
        <f t="shared" si="25"/>
        <v>1612.9671202215948</v>
      </c>
      <c r="AE27" s="163"/>
      <c r="AF27" s="163">
        <f t="shared" si="10"/>
        <v>17</v>
      </c>
      <c r="AG27" s="168">
        <f t="shared" si="11"/>
        <v>165</v>
      </c>
      <c r="AH27" s="166">
        <f t="shared" si="12"/>
        <v>959.42268072571096</v>
      </c>
      <c r="AI27" s="166">
        <f t="shared" si="13"/>
        <v>813.80270582051344</v>
      </c>
      <c r="AJ27" s="166">
        <f t="shared" si="14"/>
        <v>1122.8967620667158</v>
      </c>
      <c r="AK27" s="168">
        <f t="shared" si="15"/>
        <v>5</v>
      </c>
    </row>
    <row r="28" spans="1:37" x14ac:dyDescent="0.2">
      <c r="A28" s="62" t="s">
        <v>51</v>
      </c>
      <c r="B28" s="62" t="s">
        <v>71</v>
      </c>
      <c r="C28" s="62" t="s">
        <v>200</v>
      </c>
      <c r="D28" s="62"/>
      <c r="E28" s="62">
        <f t="shared" si="1"/>
        <v>6</v>
      </c>
      <c r="F28" s="128">
        <v>67</v>
      </c>
      <c r="G28" s="129">
        <v>788.8477288885166</v>
      </c>
      <c r="H28" s="129">
        <v>605.72919941070961</v>
      </c>
      <c r="I28" s="129">
        <v>1008.5285671470853</v>
      </c>
      <c r="J28" s="129"/>
      <c r="K28" s="129"/>
      <c r="L28" s="129"/>
      <c r="M28" s="60">
        <f t="shared" si="19"/>
        <v>5</v>
      </c>
      <c r="N28" s="61">
        <f t="shared" si="3"/>
        <v>401.4376879031974</v>
      </c>
      <c r="O28" s="61">
        <f t="shared" si="16"/>
        <v>809.80787116797467</v>
      </c>
      <c r="P28" s="129">
        <f t="shared" si="4"/>
        <v>961.24571079814052</v>
      </c>
      <c r="Q28" s="129">
        <f t="shared" si="5"/>
        <v>935.99906819313139</v>
      </c>
      <c r="R28" s="129">
        <f t="shared" si="6"/>
        <v>986.99647324559169</v>
      </c>
      <c r="S28" s="61">
        <f t="shared" si="7"/>
        <v>1122.435537489102</v>
      </c>
      <c r="T28" s="61">
        <f t="shared" si="0"/>
        <v>2189.1405588611224</v>
      </c>
      <c r="U28" s="61">
        <f t="shared" si="17"/>
        <v>956.82849521728804</v>
      </c>
      <c r="V28" s="61"/>
      <c r="Y28" s="163" t="s">
        <v>42</v>
      </c>
      <c r="Z28" s="163" t="s">
        <v>65</v>
      </c>
      <c r="AA28" s="163" t="s">
        <v>200</v>
      </c>
      <c r="AB28" s="163">
        <f t="shared" si="23"/>
        <v>3</v>
      </c>
      <c r="AC28" s="166">
        <f t="shared" si="24"/>
        <v>788.8477288885166</v>
      </c>
      <c r="AD28" s="166">
        <f t="shared" si="25"/>
        <v>1612.9671202215948</v>
      </c>
      <c r="AE28" s="163"/>
      <c r="AF28" s="163">
        <f t="shared" si="10"/>
        <v>8</v>
      </c>
      <c r="AG28" s="168">
        <f t="shared" si="11"/>
        <v>66</v>
      </c>
      <c r="AH28" s="166">
        <f t="shared" si="12"/>
        <v>827.71700280478478</v>
      </c>
      <c r="AI28" s="166">
        <f t="shared" si="13"/>
        <v>636.30061693423124</v>
      </c>
      <c r="AJ28" s="166">
        <f t="shared" si="14"/>
        <v>1057.6707220415663</v>
      </c>
      <c r="AK28" s="168">
        <f t="shared" si="15"/>
        <v>5</v>
      </c>
    </row>
    <row r="29" spans="1:37" x14ac:dyDescent="0.2">
      <c r="A29" s="62" t="s">
        <v>52</v>
      </c>
      <c r="B29" s="62" t="s">
        <v>72</v>
      </c>
      <c r="C29" s="62" t="s">
        <v>201</v>
      </c>
      <c r="D29" s="62"/>
      <c r="E29" s="62">
        <f t="shared" si="1"/>
        <v>26</v>
      </c>
      <c r="F29" s="128">
        <v>165</v>
      </c>
      <c r="G29" s="129">
        <v>2189.1405588611224</v>
      </c>
      <c r="H29" s="129">
        <v>1811.4908865081923</v>
      </c>
      <c r="I29" s="129">
        <v>2613.092927324436</v>
      </c>
      <c r="J29" s="129"/>
      <c r="K29" s="129"/>
      <c r="L29" s="129"/>
      <c r="M29" s="60">
        <f t="shared" si="19"/>
        <v>1</v>
      </c>
      <c r="N29" s="61">
        <f t="shared" si="3"/>
        <v>401.4376879031974</v>
      </c>
      <c r="O29" s="61">
        <f t="shared" si="16"/>
        <v>809.80787116797467</v>
      </c>
      <c r="P29" s="129">
        <f t="shared" si="4"/>
        <v>961.24571079814052</v>
      </c>
      <c r="Q29" s="129">
        <f t="shared" si="5"/>
        <v>935.99906819313139</v>
      </c>
      <c r="R29" s="129">
        <f t="shared" si="6"/>
        <v>986.99647324559169</v>
      </c>
      <c r="S29" s="61">
        <f t="shared" si="7"/>
        <v>1122.435537489102</v>
      </c>
      <c r="T29" s="61">
        <f t="shared" si="0"/>
        <v>2189.1405588611224</v>
      </c>
      <c r="U29" s="61">
        <f t="shared" si="17"/>
        <v>971.34644990647291</v>
      </c>
      <c r="V29" s="61"/>
      <c r="Y29" s="163" t="s">
        <v>44</v>
      </c>
      <c r="Z29" s="163" t="s">
        <v>66</v>
      </c>
      <c r="AA29" s="163" t="s">
        <v>200</v>
      </c>
      <c r="AB29" s="163">
        <f t="shared" si="23"/>
        <v>9</v>
      </c>
      <c r="AC29" s="166">
        <f t="shared" si="24"/>
        <v>788.8477288885166</v>
      </c>
      <c r="AD29" s="166">
        <f t="shared" si="25"/>
        <v>1612.9671202215948</v>
      </c>
      <c r="AE29" s="163"/>
      <c r="AF29" s="163">
        <f t="shared" si="10"/>
        <v>25</v>
      </c>
      <c r="AG29" s="168">
        <f t="shared" si="11"/>
        <v>218</v>
      </c>
      <c r="AH29" s="166">
        <f t="shared" si="12"/>
        <v>1612.9671202215948</v>
      </c>
      <c r="AI29" s="166">
        <f t="shared" si="13"/>
        <v>1393.6544194277628</v>
      </c>
      <c r="AJ29" s="166">
        <f t="shared" si="14"/>
        <v>1855.4772082601471</v>
      </c>
      <c r="AK29" s="168">
        <f t="shared" si="15"/>
        <v>1</v>
      </c>
    </row>
    <row r="30" spans="1:37" x14ac:dyDescent="0.2">
      <c r="A30" s="62" t="s">
        <v>53</v>
      </c>
      <c r="B30" s="62" t="s">
        <v>162</v>
      </c>
      <c r="C30" s="62" t="s">
        <v>163</v>
      </c>
      <c r="D30" s="62"/>
      <c r="E30" s="62">
        <f t="shared" si="1"/>
        <v>12</v>
      </c>
      <c r="F30" s="128">
        <v>572</v>
      </c>
      <c r="G30" s="129">
        <v>880.11122328553472</v>
      </c>
      <c r="H30" s="129">
        <v>808.86599325486441</v>
      </c>
      <c r="I30" s="129">
        <v>955.90977631241219</v>
      </c>
      <c r="J30" s="129"/>
      <c r="K30" s="129"/>
      <c r="L30" s="129"/>
      <c r="M30" s="60">
        <f t="shared" si="19"/>
        <v>5</v>
      </c>
      <c r="N30" s="61">
        <f t="shared" si="3"/>
        <v>401.4376879031974</v>
      </c>
      <c r="O30" s="61">
        <f t="shared" si="16"/>
        <v>809.80787116797467</v>
      </c>
      <c r="P30" s="129">
        <f>$G$32</f>
        <v>961.24571079814052</v>
      </c>
      <c r="Q30" s="129">
        <f t="shared" si="5"/>
        <v>935.99906819313139</v>
      </c>
      <c r="R30" s="129">
        <f t="shared" si="6"/>
        <v>986.99647324559169</v>
      </c>
      <c r="S30" s="61">
        <f t="shared" si="7"/>
        <v>1122.435537489102</v>
      </c>
      <c r="T30" s="61">
        <f t="shared" si="0"/>
        <v>2189.1405588611224</v>
      </c>
      <c r="U30" s="61">
        <f t="shared" si="17"/>
        <v>957.62634385360479</v>
      </c>
      <c r="V30" s="61"/>
      <c r="Y30" s="163" t="s">
        <v>49</v>
      </c>
      <c r="Z30" s="163" t="s">
        <v>70</v>
      </c>
      <c r="AA30" s="163" t="s">
        <v>200</v>
      </c>
      <c r="AB30" s="163">
        <f t="shared" si="23"/>
        <v>4</v>
      </c>
      <c r="AC30" s="166">
        <f t="shared" si="24"/>
        <v>788.8477288885166</v>
      </c>
      <c r="AD30" s="166">
        <f t="shared" si="25"/>
        <v>1612.9671202215948</v>
      </c>
      <c r="AE30" s="163"/>
      <c r="AF30" s="163">
        <f t="shared" si="10"/>
        <v>9</v>
      </c>
      <c r="AG30" s="168">
        <f t="shared" si="11"/>
        <v>151</v>
      </c>
      <c r="AH30" s="166">
        <f t="shared" si="12"/>
        <v>833.95267501754768</v>
      </c>
      <c r="AI30" s="166">
        <f t="shared" si="13"/>
        <v>702.45606091837499</v>
      </c>
      <c r="AJ30" s="166">
        <f t="shared" si="14"/>
        <v>982.35219007709702</v>
      </c>
      <c r="AK30" s="168">
        <f t="shared" si="15"/>
        <v>5</v>
      </c>
    </row>
    <row r="31" spans="1:37" x14ac:dyDescent="0.2">
      <c r="A31" s="62" t="s">
        <v>54</v>
      </c>
      <c r="B31" s="62" t="s">
        <v>73</v>
      </c>
      <c r="C31" s="62" t="s">
        <v>201</v>
      </c>
      <c r="D31" s="62"/>
      <c r="E31" s="62">
        <f t="shared" si="1"/>
        <v>23</v>
      </c>
      <c r="F31" s="128">
        <v>98</v>
      </c>
      <c r="G31" s="129">
        <v>1293.2424812455884</v>
      </c>
      <c r="H31" s="129">
        <v>1017.9605927813261</v>
      </c>
      <c r="I31" s="129">
        <v>1613.1735579696569</v>
      </c>
      <c r="J31" s="129"/>
      <c r="K31" s="129"/>
      <c r="L31" s="129"/>
      <c r="M31" s="60">
        <f t="shared" si="19"/>
        <v>1</v>
      </c>
      <c r="N31" s="61">
        <f t="shared" si="3"/>
        <v>401.4376879031974</v>
      </c>
      <c r="O31" s="61">
        <f t="shared" si="16"/>
        <v>809.80787116797467</v>
      </c>
      <c r="P31" s="129">
        <f t="shared" si="4"/>
        <v>961.24571079814052</v>
      </c>
      <c r="Q31" s="129">
        <f t="shared" si="5"/>
        <v>935.99906819313139</v>
      </c>
      <c r="R31" s="129">
        <f t="shared" si="6"/>
        <v>986.99647324559169</v>
      </c>
      <c r="S31" s="61">
        <f t="shared" si="7"/>
        <v>1122.435537489102</v>
      </c>
      <c r="T31" s="61">
        <f t="shared" si="0"/>
        <v>2189.1405588611224</v>
      </c>
      <c r="U31" s="61">
        <f t="shared" si="17"/>
        <v>971.34644990647291</v>
      </c>
      <c r="V31" s="61"/>
      <c r="Y31" s="163" t="s">
        <v>51</v>
      </c>
      <c r="Z31" s="163" t="s">
        <v>71</v>
      </c>
      <c r="AA31" s="163" t="s">
        <v>200</v>
      </c>
      <c r="AB31" s="163">
        <f t="shared" si="23"/>
        <v>1</v>
      </c>
      <c r="AC31" s="166">
        <f t="shared" si="24"/>
        <v>788.8477288885166</v>
      </c>
      <c r="AD31" s="166">
        <f t="shared" si="25"/>
        <v>1612.9671202215948</v>
      </c>
      <c r="AE31" s="163"/>
      <c r="AF31" s="163">
        <f t="shared" si="10"/>
        <v>6</v>
      </c>
      <c r="AG31" s="168">
        <f t="shared" si="11"/>
        <v>67</v>
      </c>
      <c r="AH31" s="166">
        <f t="shared" si="12"/>
        <v>788.8477288885166</v>
      </c>
      <c r="AI31" s="166">
        <f t="shared" si="13"/>
        <v>605.72919941070961</v>
      </c>
      <c r="AJ31" s="166">
        <f t="shared" si="14"/>
        <v>1008.5285671470853</v>
      </c>
      <c r="AK31" s="168">
        <f t="shared" si="15"/>
        <v>5</v>
      </c>
    </row>
    <row r="32" spans="1:37" x14ac:dyDescent="0.2">
      <c r="A32" s="62"/>
      <c r="B32" s="62" t="s">
        <v>171</v>
      </c>
      <c r="C32" s="62"/>
      <c r="D32" s="62"/>
      <c r="E32" s="62"/>
      <c r="F32" s="128">
        <v>5591</v>
      </c>
      <c r="G32" s="129">
        <v>961.24571079814052</v>
      </c>
      <c r="H32" s="129">
        <v>935.99906819313139</v>
      </c>
      <c r="I32" s="129">
        <v>986.99647324559169</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2405</v>
      </c>
      <c r="G44" s="129">
        <v>957.62634385360479</v>
      </c>
      <c r="H44" s="129">
        <v>919.54923209702451</v>
      </c>
      <c r="I44" s="129">
        <v>996.86944037872956</v>
      </c>
      <c r="J44" s="129">
        <f>VLOOKUP($C44,$AA$6:$AD$13,3,FALSE)</f>
        <v>692.32839359773629</v>
      </c>
      <c r="K44" s="129">
        <f>VLOOKUP($C44,$AA$6:$AD$13,4,FALSE)</f>
        <v>1319.7442060069284</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5</v>
      </c>
      <c r="N44" s="61">
        <f>MIN($G$6:$G$31)</f>
        <v>401.4376879031974</v>
      </c>
      <c r="O44" s="61">
        <f>VLOOKUP(7,$E$5:$G$39,3,FALSE)</f>
        <v>809.80787116797467</v>
      </c>
      <c r="P44" s="129">
        <f>$G$32</f>
        <v>961.24571079814052</v>
      </c>
      <c r="Q44" s="129">
        <f>$H$32</f>
        <v>935.99906819313139</v>
      </c>
      <c r="R44" s="129">
        <f>$I$32</f>
        <v>986.99647324559169</v>
      </c>
      <c r="S44" s="61">
        <f>VLOOKUP(20,$E$5:$G$39,3,FALSE)</f>
        <v>1122.435537489102</v>
      </c>
      <c r="T44" s="61">
        <f>MAX($G$6:$G$31)</f>
        <v>2189.1405588611224</v>
      </c>
    </row>
    <row r="45" spans="1:22" x14ac:dyDescent="0.2">
      <c r="C45" s="62" t="s">
        <v>201</v>
      </c>
      <c r="D45" s="62"/>
      <c r="E45" s="62"/>
      <c r="F45" s="128">
        <v>1387</v>
      </c>
      <c r="G45" s="129">
        <v>971.34644990647291</v>
      </c>
      <c r="H45" s="129">
        <v>919.70075554129176</v>
      </c>
      <c r="I45" s="129">
        <v>1025.0857593244489</v>
      </c>
      <c r="J45" s="129">
        <f>VLOOKUP($C45,$AA$14:$AD$22,3,FALSE)</f>
        <v>401.4376879031974</v>
      </c>
      <c r="K45" s="129">
        <f>VLOOKUP($C45,$AA$14:$AD$22,4,FALSE)</f>
        <v>2189.1405588611224</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5</v>
      </c>
      <c r="N45" s="61">
        <f>MIN($G$6:$G$31)</f>
        <v>401.4376879031974</v>
      </c>
      <c r="O45" s="61">
        <f>VLOOKUP(7,$E$5:$G$39,3,FALSE)</f>
        <v>809.80787116797467</v>
      </c>
      <c r="P45" s="129">
        <f>$G$32</f>
        <v>961.24571079814052</v>
      </c>
      <c r="Q45" s="129">
        <f t="shared" ref="Q45:Q46" si="26">$H$32</f>
        <v>935.99906819313139</v>
      </c>
      <c r="R45" s="129">
        <f t="shared" ref="R45:R46" si="27">$I$32</f>
        <v>986.99647324559169</v>
      </c>
      <c r="S45" s="61">
        <f>VLOOKUP(20,$E$5:$G$39,3,FALSE)</f>
        <v>1122.435537489102</v>
      </c>
      <c r="T45" s="61">
        <f t="shared" ref="T45:T46" si="28">MAX($G$6:$G$31)</f>
        <v>2189.1405588611224</v>
      </c>
    </row>
    <row r="46" spans="1:22" x14ac:dyDescent="0.2">
      <c r="C46" s="62" t="s">
        <v>200</v>
      </c>
      <c r="D46" s="62"/>
      <c r="E46" s="62"/>
      <c r="F46" s="128">
        <v>1799</v>
      </c>
      <c r="G46" s="129">
        <v>956.82849521728804</v>
      </c>
      <c r="H46" s="129">
        <v>912.76265256478302</v>
      </c>
      <c r="I46" s="129">
        <v>1002.4586160307471</v>
      </c>
      <c r="J46" s="129">
        <f>VLOOKUP($C46,$AA$23:$AD$31,3,FALSE)</f>
        <v>788.8477288885166</v>
      </c>
      <c r="K46" s="129">
        <f>VLOOKUP($C46,$AA$23:$AD$31,4,FALSE)</f>
        <v>1612.9671202215948</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5</v>
      </c>
      <c r="N46" s="61">
        <f>MIN($G$6:$G$31)</f>
        <v>401.4376879031974</v>
      </c>
      <c r="O46" s="61">
        <f>VLOOKUP(7,$E$5:$G$39,3,FALSE)</f>
        <v>809.80787116797467</v>
      </c>
      <c r="P46" s="129">
        <f t="shared" ref="P46" si="29">$G$32</f>
        <v>961.24571079814052</v>
      </c>
      <c r="Q46" s="129">
        <f t="shared" si="26"/>
        <v>935.99906819313139</v>
      </c>
      <c r="R46" s="129">
        <f t="shared" si="27"/>
        <v>986.99647324559169</v>
      </c>
      <c r="S46" s="61">
        <f>VLOOKUP(20,$E$5:$G$39,3,FALSE)</f>
        <v>1122.435537489102</v>
      </c>
      <c r="T46" s="61">
        <f t="shared" si="28"/>
        <v>2189.1405588611224</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C2:D2" xr:uid="{00000000-0002-0000-0F00-000000000000}">
      <formula1>"Better / Worse,Higher / Lower,Significance not measured"</formula1>
    </dataValidation>
    <dataValidation type="list" allowBlank="1" showInputMessage="1" showErrorMessage="1" sqref="K2:N2" xr:uid="{00000000-0002-0000-0F00-000001000000}">
      <formula1>"High = Worst,Low = Worst"</formula1>
    </dataValidation>
  </dataValidations>
  <pageMargins left="0.75" right="0.75" top="1" bottom="1"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theme="6" tint="0.39997558519241921"/>
  </sheetPr>
  <dimension ref="A1:AK55"/>
  <sheetViews>
    <sheetView workbookViewId="0">
      <selection activeCell="F6" sqref="F6:F31"/>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8" width="6.109375" style="21" customWidth="1"/>
    <col min="9" max="9" width="6"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44140625" style="21" customWidth="1"/>
    <col min="19" max="19" width="7" style="21" bestFit="1" customWidth="1"/>
    <col min="20" max="20" width="8.8867187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14</v>
      </c>
      <c r="F6" s="128">
        <v>48</v>
      </c>
      <c r="G6" s="129">
        <v>344.16933463694841</v>
      </c>
      <c r="H6" s="129">
        <v>251.63869799284672</v>
      </c>
      <c r="I6" s="129">
        <v>458.93775248383241</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5</v>
      </c>
      <c r="N6" s="61">
        <f>MIN($G$6:$G$32)</f>
        <v>120.9041189017434</v>
      </c>
      <c r="O6" s="61">
        <f>VLOOKUP(7,$E$5:$G$39,3,FALSE)</f>
        <v>317.03778969541867</v>
      </c>
      <c r="P6" s="129">
        <f>$G$32</f>
        <v>344.87164830165528</v>
      </c>
      <c r="Q6" s="129">
        <f>$H$32</f>
        <v>329.44153511314596</v>
      </c>
      <c r="R6" s="129">
        <f>$I$32</f>
        <v>360.83107754522678</v>
      </c>
      <c r="S6" s="61">
        <f>VLOOKUP(20,$E$5:$G$39,3,FALSE)</f>
        <v>375.73589550749284</v>
      </c>
      <c r="T6" s="61">
        <f t="shared" ref="T6:T31" si="1">MAX($G$6:$G$31)</f>
        <v>671.86872526024422</v>
      </c>
      <c r="U6" s="61">
        <f>VLOOKUP(C6,$C$43:$I$46,5,FALSE)</f>
        <v>344.56040511979984</v>
      </c>
      <c r="V6" s="61"/>
      <c r="Y6" s="159" t="s">
        <v>33</v>
      </c>
      <c r="Z6" s="159" t="s">
        <v>58</v>
      </c>
      <c r="AA6" s="159" t="s">
        <v>163</v>
      </c>
      <c r="AB6" s="159">
        <f>RANK(AH6,$AH$6:$AH$13,1)</f>
        <v>8</v>
      </c>
      <c r="AC6" s="164">
        <f>MIN($AH$6:$AH$13)</f>
        <v>269.80675379337799</v>
      </c>
      <c r="AD6" s="164">
        <f>MAX($AH$6:$AH$13)</f>
        <v>412.50555062776863</v>
      </c>
      <c r="AE6" s="159"/>
      <c r="AF6" s="159">
        <f>VLOOKUP($Y6,$A$6:$I$31,5,FALSE)</f>
        <v>24</v>
      </c>
      <c r="AG6" s="160">
        <f>VLOOKUP($Y6,$A$6:$I$31,6,FALSE)</f>
        <v>104</v>
      </c>
      <c r="AH6" s="161">
        <f>VLOOKUP($Y6,$A$6:$I$31,7,FALSE)</f>
        <v>412.50555062776863</v>
      </c>
      <c r="AI6" s="161">
        <f>VLOOKUP($Y6,$A$6:$I$31,8,FALSE)</f>
        <v>336.16435491351791</v>
      </c>
      <c r="AJ6" s="161">
        <f>VLOOKUP($Y6,$A$6:$I$31,9,FALSE)</f>
        <v>500.83672615075125</v>
      </c>
      <c r="AK6" s="160">
        <f>VLOOKUP($Y6,$A$6:$M$31,13,FALSE)</f>
        <v>5</v>
      </c>
    </row>
    <row r="7" spans="1:37" x14ac:dyDescent="0.2">
      <c r="A7" s="62" t="s">
        <v>30</v>
      </c>
      <c r="B7" s="62" t="s">
        <v>56</v>
      </c>
      <c r="C7" s="62" t="s">
        <v>200</v>
      </c>
      <c r="D7" s="62"/>
      <c r="E7" s="62">
        <f t="shared" ref="E7:E31" si="2">RANK(G7,$G$6:$G$31,1)</f>
        <v>25</v>
      </c>
      <c r="F7" s="128">
        <v>122</v>
      </c>
      <c r="G7" s="129">
        <v>412.93308031800501</v>
      </c>
      <c r="H7" s="129">
        <v>342.04089074988428</v>
      </c>
      <c r="I7" s="129">
        <v>494.04096864576076</v>
      </c>
      <c r="J7" s="129"/>
      <c r="K7" s="129"/>
      <c r="L7" s="129"/>
      <c r="M7" s="60">
        <f t="shared" si="0"/>
        <v>5</v>
      </c>
      <c r="N7" s="61">
        <f t="shared" ref="N7:N31" si="3">MIN($G$6:$G$32)</f>
        <v>120.9041189017434</v>
      </c>
      <c r="O7" s="61">
        <f>VLOOKUP(7,$E$5:$G$39,3,FALSE)</f>
        <v>317.03778969541867</v>
      </c>
      <c r="P7" s="129">
        <f t="shared" ref="P7:P31" si="4">$G$32</f>
        <v>344.87164830165528</v>
      </c>
      <c r="Q7" s="129">
        <f t="shared" ref="Q7:Q31" si="5">$H$32</f>
        <v>329.44153511314596</v>
      </c>
      <c r="R7" s="129">
        <f t="shared" ref="R7:R31" si="6">$I$32</f>
        <v>360.83107754522678</v>
      </c>
      <c r="S7" s="61">
        <f t="shared" ref="S7:S31" si="7">VLOOKUP(20,$E$5:$G$39,3,FALSE)</f>
        <v>375.73589550749284</v>
      </c>
      <c r="T7" s="61">
        <f t="shared" si="1"/>
        <v>671.86872526024422</v>
      </c>
      <c r="U7" s="61">
        <f>VLOOKUP(C7,$C$43:$I$46,5,FALSE)</f>
        <v>345.90085752495855</v>
      </c>
      <c r="V7" s="61"/>
      <c r="Y7" s="159" t="s">
        <v>35</v>
      </c>
      <c r="Z7" s="159" t="s">
        <v>60</v>
      </c>
      <c r="AA7" s="159" t="s">
        <v>163</v>
      </c>
      <c r="AB7" s="159">
        <f t="shared" ref="AB7:AB12" si="8">RANK(AH7,$AH$6:$AH$13,1)</f>
        <v>7</v>
      </c>
      <c r="AC7" s="164">
        <f>MIN($AH$6:$AH$13)</f>
        <v>269.80675379337799</v>
      </c>
      <c r="AD7" s="164">
        <f t="shared" ref="AD7:AD13" si="9">MAX($AH$6:$AH$13)</f>
        <v>412.50555062776863</v>
      </c>
      <c r="AE7" s="159"/>
      <c r="AF7" s="159">
        <f t="shared" ref="AF7:AF31" si="10">VLOOKUP($Y7,$A$6:$I$31,5,FALSE)</f>
        <v>22</v>
      </c>
      <c r="AG7" s="160">
        <f t="shared" ref="AG7:AG31" si="11">VLOOKUP($Y7,$A$6:$I$31,6,FALSE)</f>
        <v>143</v>
      </c>
      <c r="AH7" s="161">
        <f t="shared" ref="AH7:AH31" si="12">VLOOKUP($Y7,$A$6:$I$31,7,FALSE)</f>
        <v>397.95850165175426</v>
      </c>
      <c r="AI7" s="161">
        <f t="shared" ref="AI7:AI31" si="13">VLOOKUP($Y7,$A$6:$I$31,8,FALSE)</f>
        <v>335.23520093962014</v>
      </c>
      <c r="AJ7" s="161">
        <f t="shared" ref="AJ7:AJ31" si="14">VLOOKUP($Y7,$A$6:$I$31,9,FALSE)</f>
        <v>468.9823798035988</v>
      </c>
      <c r="AK7" s="160">
        <f t="shared" ref="AK7:AK31" si="15">VLOOKUP($Y7,$A$6:$M$31,13,FALSE)</f>
        <v>5</v>
      </c>
    </row>
    <row r="8" spans="1:37" x14ac:dyDescent="0.2">
      <c r="A8" s="62" t="s">
        <v>31</v>
      </c>
      <c r="B8" s="62" t="s">
        <v>57</v>
      </c>
      <c r="C8" s="62" t="s">
        <v>200</v>
      </c>
      <c r="D8" s="62"/>
      <c r="E8" s="62">
        <f t="shared" si="2"/>
        <v>10</v>
      </c>
      <c r="F8" s="128">
        <v>108</v>
      </c>
      <c r="G8" s="129">
        <v>331.96723237233817</v>
      </c>
      <c r="H8" s="129">
        <v>272.24434488791593</v>
      </c>
      <c r="I8" s="129">
        <v>400.88064582706102</v>
      </c>
      <c r="J8" s="129"/>
      <c r="K8" s="129"/>
      <c r="L8" s="129"/>
      <c r="M8" s="60">
        <f t="shared" si="0"/>
        <v>5</v>
      </c>
      <c r="N8" s="61">
        <f t="shared" si="3"/>
        <v>120.9041189017434</v>
      </c>
      <c r="O8" s="61">
        <f t="shared" ref="O8:O31" si="16">VLOOKUP(7,$E$5:$G$39,3,FALSE)</f>
        <v>317.03778969541867</v>
      </c>
      <c r="P8" s="129">
        <f t="shared" si="4"/>
        <v>344.87164830165528</v>
      </c>
      <c r="Q8" s="129">
        <f t="shared" si="5"/>
        <v>329.44153511314596</v>
      </c>
      <c r="R8" s="129">
        <f t="shared" si="6"/>
        <v>360.83107754522678</v>
      </c>
      <c r="S8" s="61">
        <f t="shared" si="7"/>
        <v>375.73589550749284</v>
      </c>
      <c r="T8" s="61">
        <f t="shared" si="1"/>
        <v>671.86872526024422</v>
      </c>
      <c r="U8" s="61">
        <f t="shared" ref="U8:U31" si="17">VLOOKUP(C8,$C$43:$I$46,5,FALSE)</f>
        <v>345.90085752495855</v>
      </c>
      <c r="V8" s="61"/>
      <c r="Y8" s="159" t="s">
        <v>41</v>
      </c>
      <c r="Z8" s="159" t="s">
        <v>64</v>
      </c>
      <c r="AA8" s="159" t="s">
        <v>163</v>
      </c>
      <c r="AB8" s="159">
        <f t="shared" si="8"/>
        <v>6</v>
      </c>
      <c r="AC8" s="164">
        <f t="shared" ref="AC8:AC13" si="18">MIN($AH$6:$AH$13)</f>
        <v>269.80675379337799</v>
      </c>
      <c r="AD8" s="164">
        <f>MAX($AH$6:$AH$13)</f>
        <v>412.50555062776863</v>
      </c>
      <c r="AE8" s="159"/>
      <c r="AF8" s="159">
        <f t="shared" si="10"/>
        <v>16</v>
      </c>
      <c r="AG8" s="160">
        <f t="shared" si="11"/>
        <v>112</v>
      </c>
      <c r="AH8" s="161">
        <f t="shared" si="12"/>
        <v>346.83372992434778</v>
      </c>
      <c r="AI8" s="161">
        <f t="shared" si="13"/>
        <v>285.41039624613762</v>
      </c>
      <c r="AJ8" s="161">
        <f t="shared" si="14"/>
        <v>417.52551603949587</v>
      </c>
      <c r="AK8" s="160">
        <f t="shared" si="15"/>
        <v>5</v>
      </c>
    </row>
    <row r="9" spans="1:37" x14ac:dyDescent="0.2">
      <c r="A9" s="62" t="s">
        <v>32</v>
      </c>
      <c r="B9" s="62" t="s">
        <v>156</v>
      </c>
      <c r="C9" s="62" t="s">
        <v>201</v>
      </c>
      <c r="D9" s="62"/>
      <c r="E9" s="62">
        <f t="shared" si="2"/>
        <v>23</v>
      </c>
      <c r="F9" s="128">
        <v>95</v>
      </c>
      <c r="G9" s="129">
        <v>399.72384364708273</v>
      </c>
      <c r="H9" s="129">
        <v>319.94282903050879</v>
      </c>
      <c r="I9" s="129">
        <v>492.66501500656744</v>
      </c>
      <c r="J9" s="129"/>
      <c r="K9" s="129"/>
      <c r="L9" s="129"/>
      <c r="M9" s="60">
        <f t="shared" si="0"/>
        <v>5</v>
      </c>
      <c r="N9" s="61">
        <f t="shared" si="3"/>
        <v>120.9041189017434</v>
      </c>
      <c r="O9" s="61">
        <f t="shared" si="16"/>
        <v>317.03778969541867</v>
      </c>
      <c r="P9" s="129">
        <f t="shared" si="4"/>
        <v>344.87164830165528</v>
      </c>
      <c r="Q9" s="129">
        <f t="shared" si="5"/>
        <v>329.44153511314596</v>
      </c>
      <c r="R9" s="129">
        <f t="shared" si="6"/>
        <v>360.83107754522678</v>
      </c>
      <c r="S9" s="61">
        <f t="shared" si="7"/>
        <v>375.73589550749284</v>
      </c>
      <c r="T9" s="61">
        <f t="shared" si="1"/>
        <v>671.86872526024422</v>
      </c>
      <c r="U9" s="61">
        <f t="shared" si="17"/>
        <v>344.56040511979984</v>
      </c>
      <c r="V9" s="61"/>
      <c r="X9" s="63"/>
      <c r="Y9" s="159" t="s">
        <v>45</v>
      </c>
      <c r="Z9" s="159" t="s">
        <v>67</v>
      </c>
      <c r="AA9" s="159" t="s">
        <v>163</v>
      </c>
      <c r="AB9" s="159">
        <f t="shared" si="8"/>
        <v>4</v>
      </c>
      <c r="AC9" s="164">
        <f t="shared" si="18"/>
        <v>269.80675379337799</v>
      </c>
      <c r="AD9" s="164">
        <f t="shared" si="9"/>
        <v>412.50555062776863</v>
      </c>
      <c r="AE9" s="159"/>
      <c r="AF9" s="159">
        <f t="shared" si="10"/>
        <v>9</v>
      </c>
      <c r="AG9" s="160">
        <f t="shared" si="11"/>
        <v>71</v>
      </c>
      <c r="AH9" s="161">
        <f t="shared" si="12"/>
        <v>331.45465391003933</v>
      </c>
      <c r="AI9" s="161">
        <f t="shared" si="13"/>
        <v>258.38719129849244</v>
      </c>
      <c r="AJ9" s="161">
        <f t="shared" si="14"/>
        <v>418.65278082028379</v>
      </c>
      <c r="AK9" s="160">
        <f t="shared" si="15"/>
        <v>5</v>
      </c>
    </row>
    <row r="10" spans="1:37" x14ac:dyDescent="0.2">
      <c r="A10" s="62" t="s">
        <v>33</v>
      </c>
      <c r="B10" s="62" t="s">
        <v>58</v>
      </c>
      <c r="C10" s="62" t="s">
        <v>163</v>
      </c>
      <c r="D10" s="62"/>
      <c r="E10" s="62">
        <f t="shared" si="2"/>
        <v>24</v>
      </c>
      <c r="F10" s="128">
        <v>104</v>
      </c>
      <c r="G10" s="129">
        <v>412.50555062776863</v>
      </c>
      <c r="H10" s="129">
        <v>336.16435491351791</v>
      </c>
      <c r="I10" s="129">
        <v>500.83672615075125</v>
      </c>
      <c r="J10" s="129"/>
      <c r="K10" s="129"/>
      <c r="L10" s="129"/>
      <c r="M10" s="60">
        <f t="shared" si="0"/>
        <v>5</v>
      </c>
      <c r="N10" s="61">
        <f t="shared" si="3"/>
        <v>120.9041189017434</v>
      </c>
      <c r="O10" s="61">
        <f t="shared" si="16"/>
        <v>317.03778969541867</v>
      </c>
      <c r="P10" s="129">
        <f t="shared" si="4"/>
        <v>344.87164830165528</v>
      </c>
      <c r="Q10" s="129">
        <f t="shared" si="5"/>
        <v>329.44153511314596</v>
      </c>
      <c r="R10" s="129">
        <f t="shared" si="6"/>
        <v>360.83107754522678</v>
      </c>
      <c r="S10" s="61">
        <f t="shared" si="7"/>
        <v>375.73589550749284</v>
      </c>
      <c r="T10" s="61">
        <f t="shared" si="1"/>
        <v>671.86872526024422</v>
      </c>
      <c r="U10" s="61">
        <f t="shared" si="17"/>
        <v>345.58262428209366</v>
      </c>
      <c r="V10" s="61"/>
      <c r="Y10" s="159" t="s">
        <v>46</v>
      </c>
      <c r="Z10" s="159" t="s">
        <v>68</v>
      </c>
      <c r="AA10" s="159" t="s">
        <v>163</v>
      </c>
      <c r="AB10" s="159">
        <f t="shared" si="8"/>
        <v>2</v>
      </c>
      <c r="AC10" s="164">
        <f t="shared" si="18"/>
        <v>269.80675379337799</v>
      </c>
      <c r="AD10" s="164">
        <f t="shared" si="9"/>
        <v>412.50555062776863</v>
      </c>
      <c r="AE10" s="159"/>
      <c r="AF10" s="159">
        <f t="shared" si="10"/>
        <v>6</v>
      </c>
      <c r="AG10" s="160">
        <f t="shared" si="11"/>
        <v>99</v>
      </c>
      <c r="AH10" s="161">
        <f t="shared" si="12"/>
        <v>302.39530660460167</v>
      </c>
      <c r="AI10" s="161">
        <f t="shared" si="13"/>
        <v>245.61419481278708</v>
      </c>
      <c r="AJ10" s="161">
        <f t="shared" si="14"/>
        <v>368.33545241624898</v>
      </c>
      <c r="AK10" s="160">
        <f t="shared" si="15"/>
        <v>5</v>
      </c>
    </row>
    <row r="11" spans="1:37" x14ac:dyDescent="0.2">
      <c r="A11" s="62" t="s">
        <v>34</v>
      </c>
      <c r="B11" s="62" t="s">
        <v>59</v>
      </c>
      <c r="C11" s="62" t="s">
        <v>200</v>
      </c>
      <c r="D11" s="62"/>
      <c r="E11" s="62">
        <f t="shared" si="2"/>
        <v>18</v>
      </c>
      <c r="F11" s="128">
        <v>111</v>
      </c>
      <c r="G11" s="129">
        <v>371.51704847974611</v>
      </c>
      <c r="H11" s="129">
        <v>304.15101385451663</v>
      </c>
      <c r="I11" s="129">
        <v>449.09756374451757</v>
      </c>
      <c r="J11" s="129"/>
      <c r="K11" s="129"/>
      <c r="L11" s="129"/>
      <c r="M11" s="60">
        <f t="shared" si="0"/>
        <v>5</v>
      </c>
      <c r="N11" s="61">
        <f t="shared" si="3"/>
        <v>120.9041189017434</v>
      </c>
      <c r="O11" s="61">
        <f t="shared" si="16"/>
        <v>317.03778969541867</v>
      </c>
      <c r="P11" s="129">
        <f t="shared" si="4"/>
        <v>344.87164830165528</v>
      </c>
      <c r="Q11" s="129">
        <f t="shared" si="5"/>
        <v>329.44153511314596</v>
      </c>
      <c r="R11" s="129">
        <f t="shared" si="6"/>
        <v>360.83107754522678</v>
      </c>
      <c r="S11" s="61">
        <f t="shared" si="7"/>
        <v>375.73589550749284</v>
      </c>
      <c r="T11" s="61">
        <f t="shared" si="1"/>
        <v>671.86872526024422</v>
      </c>
      <c r="U11" s="61">
        <f t="shared" si="17"/>
        <v>345.90085752495855</v>
      </c>
      <c r="V11" s="61"/>
      <c r="Y11" s="159" t="s">
        <v>47</v>
      </c>
      <c r="Z11" s="159" t="s">
        <v>69</v>
      </c>
      <c r="AA11" s="159" t="s">
        <v>163</v>
      </c>
      <c r="AB11" s="159">
        <f t="shared" si="8"/>
        <v>1</v>
      </c>
      <c r="AC11" s="164">
        <f t="shared" si="18"/>
        <v>269.80675379337799</v>
      </c>
      <c r="AD11" s="164">
        <f t="shared" si="9"/>
        <v>412.50555062776863</v>
      </c>
      <c r="AE11" s="159"/>
      <c r="AF11" s="159">
        <f t="shared" si="10"/>
        <v>5</v>
      </c>
      <c r="AG11" s="160">
        <f t="shared" si="11"/>
        <v>37</v>
      </c>
      <c r="AH11" s="161">
        <f t="shared" si="12"/>
        <v>269.80675379337799</v>
      </c>
      <c r="AI11" s="161">
        <f t="shared" si="13"/>
        <v>188.79206288422299</v>
      </c>
      <c r="AJ11" s="161">
        <f t="shared" si="14"/>
        <v>373.37604138239931</v>
      </c>
      <c r="AK11" s="160">
        <f t="shared" si="15"/>
        <v>5</v>
      </c>
    </row>
    <row r="12" spans="1:37" x14ac:dyDescent="0.2">
      <c r="A12" s="62" t="s">
        <v>35</v>
      </c>
      <c r="B12" s="62" t="s">
        <v>60</v>
      </c>
      <c r="C12" s="62" t="s">
        <v>163</v>
      </c>
      <c r="D12" s="62"/>
      <c r="E12" s="62">
        <f t="shared" si="2"/>
        <v>22</v>
      </c>
      <c r="F12" s="128">
        <v>143</v>
      </c>
      <c r="G12" s="129">
        <v>397.95850165175426</v>
      </c>
      <c r="H12" s="129">
        <v>335.23520093962014</v>
      </c>
      <c r="I12" s="129">
        <v>468.9823798035988</v>
      </c>
      <c r="J12" s="129"/>
      <c r="K12" s="129"/>
      <c r="L12" s="129"/>
      <c r="M12" s="60">
        <f t="shared" si="0"/>
        <v>5</v>
      </c>
      <c r="N12" s="61">
        <f t="shared" si="3"/>
        <v>120.9041189017434</v>
      </c>
      <c r="O12" s="61">
        <f t="shared" si="16"/>
        <v>317.03778969541867</v>
      </c>
      <c r="P12" s="129">
        <f t="shared" si="4"/>
        <v>344.87164830165528</v>
      </c>
      <c r="Q12" s="129">
        <f t="shared" si="5"/>
        <v>329.44153511314596</v>
      </c>
      <c r="R12" s="129">
        <f t="shared" si="6"/>
        <v>360.83107754522678</v>
      </c>
      <c r="S12" s="61">
        <f t="shared" si="7"/>
        <v>375.73589550749284</v>
      </c>
      <c r="T12" s="61">
        <f t="shared" si="1"/>
        <v>671.86872526024422</v>
      </c>
      <c r="U12" s="61">
        <f t="shared" si="17"/>
        <v>345.58262428209366</v>
      </c>
      <c r="V12" s="61"/>
      <c r="Y12" s="159" t="s">
        <v>50</v>
      </c>
      <c r="Z12" s="159" t="s">
        <v>161</v>
      </c>
      <c r="AA12" s="159" t="s">
        <v>163</v>
      </c>
      <c r="AB12" s="159">
        <f t="shared" si="8"/>
        <v>5</v>
      </c>
      <c r="AC12" s="164">
        <f t="shared" si="18"/>
        <v>269.80675379337799</v>
      </c>
      <c r="AD12" s="164">
        <f t="shared" si="9"/>
        <v>412.50555062776863</v>
      </c>
      <c r="AE12" s="159"/>
      <c r="AF12" s="159">
        <f t="shared" si="10"/>
        <v>12</v>
      </c>
      <c r="AG12" s="160">
        <f t="shared" si="11"/>
        <v>43</v>
      </c>
      <c r="AH12" s="161">
        <f t="shared" si="12"/>
        <v>340.55896050180905</v>
      </c>
      <c r="AI12" s="161">
        <f t="shared" si="13"/>
        <v>246.06277905512903</v>
      </c>
      <c r="AJ12" s="161">
        <f t="shared" si="14"/>
        <v>459.21485124578658</v>
      </c>
      <c r="AK12" s="160">
        <f t="shared" si="15"/>
        <v>5</v>
      </c>
    </row>
    <row r="13" spans="1:37" x14ac:dyDescent="0.2">
      <c r="A13" s="62" t="s">
        <v>36</v>
      </c>
      <c r="B13" s="62" t="s">
        <v>61</v>
      </c>
      <c r="C13" s="62" t="s">
        <v>201</v>
      </c>
      <c r="D13" s="62"/>
      <c r="E13" s="62">
        <f t="shared" si="2"/>
        <v>1</v>
      </c>
      <c r="F13" s="128">
        <v>12</v>
      </c>
      <c r="G13" s="129">
        <v>120.9041189017434</v>
      </c>
      <c r="H13" s="129">
        <v>30.269458314650183</v>
      </c>
      <c r="I13" s="129">
        <v>260.80715423395344</v>
      </c>
      <c r="J13" s="129"/>
      <c r="K13" s="129"/>
      <c r="L13" s="129"/>
      <c r="M13" s="60">
        <f t="shared" si="0"/>
        <v>2</v>
      </c>
      <c r="N13" s="61">
        <f t="shared" si="3"/>
        <v>120.9041189017434</v>
      </c>
      <c r="O13" s="61">
        <f t="shared" si="16"/>
        <v>317.03778969541867</v>
      </c>
      <c r="P13" s="129">
        <f t="shared" si="4"/>
        <v>344.87164830165528</v>
      </c>
      <c r="Q13" s="129">
        <f t="shared" si="5"/>
        <v>329.44153511314596</v>
      </c>
      <c r="R13" s="129">
        <f t="shared" si="6"/>
        <v>360.83107754522678</v>
      </c>
      <c r="S13" s="61">
        <f t="shared" si="7"/>
        <v>375.73589550749284</v>
      </c>
      <c r="T13" s="61">
        <f t="shared" si="1"/>
        <v>671.86872526024422</v>
      </c>
      <c r="U13" s="61">
        <f t="shared" si="17"/>
        <v>344.56040511979984</v>
      </c>
      <c r="V13" s="61"/>
      <c r="Y13" s="159" t="s">
        <v>53</v>
      </c>
      <c r="Z13" s="159" t="s">
        <v>162</v>
      </c>
      <c r="AA13" s="159" t="s">
        <v>163</v>
      </c>
      <c r="AB13" s="159">
        <f>RANK(AH13,$AH$6:$AH$13,1)</f>
        <v>3</v>
      </c>
      <c r="AC13" s="164">
        <f t="shared" si="18"/>
        <v>269.80675379337799</v>
      </c>
      <c r="AD13" s="164">
        <f t="shared" si="9"/>
        <v>412.50555062776863</v>
      </c>
      <c r="AE13" s="159"/>
      <c r="AF13" s="159">
        <f t="shared" si="10"/>
        <v>8</v>
      </c>
      <c r="AG13" s="160">
        <f t="shared" si="11"/>
        <v>211</v>
      </c>
      <c r="AH13" s="161">
        <f t="shared" si="12"/>
        <v>328.30886502539255</v>
      </c>
      <c r="AI13" s="161">
        <f t="shared" si="13"/>
        <v>285.117490151217</v>
      </c>
      <c r="AJ13" s="161">
        <f t="shared" si="14"/>
        <v>376.14819042940184</v>
      </c>
      <c r="AK13" s="160">
        <f t="shared" si="15"/>
        <v>5</v>
      </c>
    </row>
    <row r="14" spans="1:37" x14ac:dyDescent="0.2">
      <c r="A14" s="62" t="s">
        <v>37</v>
      </c>
      <c r="B14" s="62" t="s">
        <v>157</v>
      </c>
      <c r="C14" s="62" t="s">
        <v>201</v>
      </c>
      <c r="D14" s="62"/>
      <c r="E14" s="62">
        <f t="shared" si="2"/>
        <v>7</v>
      </c>
      <c r="F14" s="128">
        <v>84</v>
      </c>
      <c r="G14" s="129">
        <v>317.03778969541867</v>
      </c>
      <c r="H14" s="129">
        <v>246.76991952582887</v>
      </c>
      <c r="I14" s="129">
        <v>399.69947557066661</v>
      </c>
      <c r="J14" s="129"/>
      <c r="K14" s="129"/>
      <c r="L14" s="129"/>
      <c r="M14" s="60">
        <f t="shared" si="0"/>
        <v>5</v>
      </c>
      <c r="N14" s="61">
        <f t="shared" si="3"/>
        <v>120.9041189017434</v>
      </c>
      <c r="O14" s="61">
        <f t="shared" si="16"/>
        <v>317.03778969541867</v>
      </c>
      <c r="P14" s="129">
        <f t="shared" si="4"/>
        <v>344.87164830165528</v>
      </c>
      <c r="Q14" s="129">
        <f t="shared" si="5"/>
        <v>329.44153511314596</v>
      </c>
      <c r="R14" s="129">
        <f t="shared" si="6"/>
        <v>360.83107754522678</v>
      </c>
      <c r="S14" s="61">
        <f t="shared" si="7"/>
        <v>375.73589550749284</v>
      </c>
      <c r="T14" s="61">
        <f t="shared" si="1"/>
        <v>671.86872526024422</v>
      </c>
      <c r="U14" s="61">
        <f t="shared" si="17"/>
        <v>344.56040511979984</v>
      </c>
      <c r="V14" s="61"/>
      <c r="Y14" s="162" t="s">
        <v>29</v>
      </c>
      <c r="Z14" s="162" t="s">
        <v>55</v>
      </c>
      <c r="AA14" s="162" t="s">
        <v>201</v>
      </c>
      <c r="AB14" s="162">
        <f>RANK(AH14,$AH$14:$AH$22,1)</f>
        <v>5</v>
      </c>
      <c r="AC14" s="165">
        <f t="shared" ref="AC14:AC22" si="19">MIN($AH$14:$AH$22)</f>
        <v>120.9041189017434</v>
      </c>
      <c r="AD14" s="165">
        <f>MAX($AH$14:$AH$22)</f>
        <v>671.86872526024422</v>
      </c>
      <c r="AE14" s="162"/>
      <c r="AF14" s="162">
        <f t="shared" si="10"/>
        <v>14</v>
      </c>
      <c r="AG14" s="167">
        <f t="shared" si="11"/>
        <v>48</v>
      </c>
      <c r="AH14" s="165">
        <f t="shared" si="12"/>
        <v>344.16933463694841</v>
      </c>
      <c r="AI14" s="165">
        <f t="shared" si="13"/>
        <v>251.63869799284672</v>
      </c>
      <c r="AJ14" s="165">
        <f t="shared" si="14"/>
        <v>458.93775248383241</v>
      </c>
      <c r="AK14" s="167">
        <f t="shared" si="15"/>
        <v>5</v>
      </c>
    </row>
    <row r="15" spans="1:37" x14ac:dyDescent="0.2">
      <c r="A15" s="62" t="s">
        <v>38</v>
      </c>
      <c r="B15" s="62" t="s">
        <v>62</v>
      </c>
      <c r="C15" s="62" t="s">
        <v>201</v>
      </c>
      <c r="D15" s="62"/>
      <c r="E15" s="62">
        <f t="shared" si="2"/>
        <v>19</v>
      </c>
      <c r="F15" s="128">
        <v>63</v>
      </c>
      <c r="G15" s="129">
        <v>373.48766308071981</v>
      </c>
      <c r="H15" s="129">
        <v>286.69779258053836</v>
      </c>
      <c r="I15" s="129">
        <v>478.20539718255071</v>
      </c>
      <c r="J15" s="129"/>
      <c r="K15" s="129"/>
      <c r="L15" s="129"/>
      <c r="M15" s="60">
        <f t="shared" si="0"/>
        <v>5</v>
      </c>
      <c r="N15" s="61">
        <f t="shared" si="3"/>
        <v>120.9041189017434</v>
      </c>
      <c r="O15" s="61">
        <f t="shared" si="16"/>
        <v>317.03778969541867</v>
      </c>
      <c r="P15" s="129">
        <f t="shared" si="4"/>
        <v>344.87164830165528</v>
      </c>
      <c r="Q15" s="129">
        <f t="shared" si="5"/>
        <v>329.44153511314596</v>
      </c>
      <c r="R15" s="129">
        <f t="shared" si="6"/>
        <v>360.83107754522678</v>
      </c>
      <c r="S15" s="61">
        <f t="shared" si="7"/>
        <v>375.73589550749284</v>
      </c>
      <c r="T15" s="61">
        <f t="shared" si="1"/>
        <v>671.86872526024422</v>
      </c>
      <c r="U15" s="61">
        <f t="shared" si="17"/>
        <v>344.56040511979984</v>
      </c>
      <c r="V15" s="61"/>
      <c r="Y15" s="162" t="s">
        <v>32</v>
      </c>
      <c r="Z15" s="162" t="s">
        <v>156</v>
      </c>
      <c r="AA15" s="162" t="s">
        <v>201</v>
      </c>
      <c r="AB15" s="162">
        <f>RANK(AH15,$AH$14:$AH$22,1)</f>
        <v>8</v>
      </c>
      <c r="AC15" s="165">
        <f t="shared" si="19"/>
        <v>120.9041189017434</v>
      </c>
      <c r="AD15" s="165">
        <f t="shared" ref="AD15:AD22" si="20">MAX($AH$14:$AH$22)</f>
        <v>671.86872526024422</v>
      </c>
      <c r="AE15" s="162"/>
      <c r="AF15" s="162">
        <f t="shared" si="10"/>
        <v>23</v>
      </c>
      <c r="AG15" s="167">
        <f t="shared" si="11"/>
        <v>95</v>
      </c>
      <c r="AH15" s="165">
        <f t="shared" si="12"/>
        <v>399.72384364708273</v>
      </c>
      <c r="AI15" s="165">
        <f t="shared" si="13"/>
        <v>319.94282903050879</v>
      </c>
      <c r="AJ15" s="165">
        <f t="shared" si="14"/>
        <v>492.66501500656744</v>
      </c>
      <c r="AK15" s="167">
        <f t="shared" si="15"/>
        <v>5</v>
      </c>
    </row>
    <row r="16" spans="1:37" x14ac:dyDescent="0.2">
      <c r="A16" s="62" t="s">
        <v>39</v>
      </c>
      <c r="B16" s="62" t="s">
        <v>158</v>
      </c>
      <c r="C16" s="62" t="s">
        <v>200</v>
      </c>
      <c r="D16" s="62"/>
      <c r="E16" s="62">
        <f t="shared" si="2"/>
        <v>17</v>
      </c>
      <c r="F16" s="128">
        <v>93</v>
      </c>
      <c r="G16" s="129">
        <v>348.07716136203385</v>
      </c>
      <c r="H16" s="129">
        <v>279.85286190333636</v>
      </c>
      <c r="I16" s="129">
        <v>427.68609941478644</v>
      </c>
      <c r="J16" s="129"/>
      <c r="K16" s="129"/>
      <c r="L16" s="129"/>
      <c r="M16" s="60">
        <f t="shared" si="0"/>
        <v>5</v>
      </c>
      <c r="N16" s="61">
        <f t="shared" si="3"/>
        <v>120.9041189017434</v>
      </c>
      <c r="O16" s="61">
        <f t="shared" si="16"/>
        <v>317.03778969541867</v>
      </c>
      <c r="P16" s="129">
        <f t="shared" si="4"/>
        <v>344.87164830165528</v>
      </c>
      <c r="Q16" s="129">
        <f t="shared" si="5"/>
        <v>329.44153511314596</v>
      </c>
      <c r="R16" s="129">
        <f t="shared" si="6"/>
        <v>360.83107754522678</v>
      </c>
      <c r="S16" s="61">
        <f t="shared" si="7"/>
        <v>375.73589550749284</v>
      </c>
      <c r="T16" s="61">
        <f t="shared" si="1"/>
        <v>671.86872526024422</v>
      </c>
      <c r="U16" s="61">
        <f t="shared" si="17"/>
        <v>345.90085752495855</v>
      </c>
      <c r="V16" s="61"/>
      <c r="Y16" s="162" t="s">
        <v>36</v>
      </c>
      <c r="Z16" s="162" t="s">
        <v>61</v>
      </c>
      <c r="AA16" s="162" t="s">
        <v>201</v>
      </c>
      <c r="AB16" s="162">
        <f>RANK(AH16,$AH$14:$AH$22,1)</f>
        <v>1</v>
      </c>
      <c r="AC16" s="165">
        <f t="shared" si="19"/>
        <v>120.9041189017434</v>
      </c>
      <c r="AD16" s="165">
        <f t="shared" si="20"/>
        <v>671.86872526024422</v>
      </c>
      <c r="AE16" s="162"/>
      <c r="AF16" s="162">
        <f t="shared" si="10"/>
        <v>1</v>
      </c>
      <c r="AG16" s="167">
        <f t="shared" si="11"/>
        <v>12</v>
      </c>
      <c r="AH16" s="165">
        <f t="shared" si="12"/>
        <v>120.9041189017434</v>
      </c>
      <c r="AI16" s="165">
        <f t="shared" si="13"/>
        <v>30.269458314650183</v>
      </c>
      <c r="AJ16" s="165">
        <f t="shared" si="14"/>
        <v>260.80715423395344</v>
      </c>
      <c r="AK16" s="167">
        <f t="shared" si="15"/>
        <v>2</v>
      </c>
    </row>
    <row r="17" spans="1:37" x14ac:dyDescent="0.2">
      <c r="A17" s="62" t="s">
        <v>40</v>
      </c>
      <c r="B17" s="62" t="s">
        <v>63</v>
      </c>
      <c r="C17" s="62" t="s">
        <v>200</v>
      </c>
      <c r="D17" s="62"/>
      <c r="E17" s="62">
        <f t="shared" si="2"/>
        <v>13</v>
      </c>
      <c r="F17" s="128">
        <v>71</v>
      </c>
      <c r="G17" s="129">
        <v>341.59422192417321</v>
      </c>
      <c r="H17" s="129">
        <v>265.80568938346539</v>
      </c>
      <c r="I17" s="129">
        <v>432.03965197776142</v>
      </c>
      <c r="J17" s="129"/>
      <c r="K17" s="129"/>
      <c r="L17" s="129"/>
      <c r="M17" s="60">
        <f t="shared" si="0"/>
        <v>5</v>
      </c>
      <c r="N17" s="61">
        <f t="shared" si="3"/>
        <v>120.9041189017434</v>
      </c>
      <c r="O17" s="61">
        <f t="shared" si="16"/>
        <v>317.03778969541867</v>
      </c>
      <c r="P17" s="129">
        <f t="shared" si="4"/>
        <v>344.87164830165528</v>
      </c>
      <c r="Q17" s="129">
        <f t="shared" si="5"/>
        <v>329.44153511314596</v>
      </c>
      <c r="R17" s="129">
        <f t="shared" si="6"/>
        <v>360.83107754522678</v>
      </c>
      <c r="S17" s="61">
        <f t="shared" si="7"/>
        <v>375.73589550749284</v>
      </c>
      <c r="T17" s="61">
        <f t="shared" si="1"/>
        <v>671.86872526024422</v>
      </c>
      <c r="U17" s="61">
        <f t="shared" si="17"/>
        <v>345.90085752495855</v>
      </c>
      <c r="V17" s="61"/>
      <c r="Y17" s="162" t="s">
        <v>37</v>
      </c>
      <c r="Z17" s="162" t="s">
        <v>157</v>
      </c>
      <c r="AA17" s="162" t="s">
        <v>201</v>
      </c>
      <c r="AB17" s="162">
        <f t="shared" ref="AB17:AB22" si="21">RANK(AH17,$AH$14:$AH$22,1)</f>
        <v>4</v>
      </c>
      <c r="AC17" s="165">
        <f t="shared" si="19"/>
        <v>120.9041189017434</v>
      </c>
      <c r="AD17" s="165">
        <f>MAX($AH$14:$AH$22)</f>
        <v>671.86872526024422</v>
      </c>
      <c r="AE17" s="162"/>
      <c r="AF17" s="162">
        <f t="shared" si="10"/>
        <v>7</v>
      </c>
      <c r="AG17" s="167">
        <f t="shared" si="11"/>
        <v>84</v>
      </c>
      <c r="AH17" s="165">
        <f t="shared" si="12"/>
        <v>317.03778969541867</v>
      </c>
      <c r="AI17" s="165">
        <f t="shared" si="13"/>
        <v>246.76991952582887</v>
      </c>
      <c r="AJ17" s="165">
        <f t="shared" si="14"/>
        <v>399.69947557066661</v>
      </c>
      <c r="AK17" s="167">
        <f t="shared" si="15"/>
        <v>5</v>
      </c>
    </row>
    <row r="18" spans="1:37" x14ac:dyDescent="0.2">
      <c r="A18" s="62" t="s">
        <v>41</v>
      </c>
      <c r="B18" s="62" t="s">
        <v>64</v>
      </c>
      <c r="C18" s="62" t="s">
        <v>163</v>
      </c>
      <c r="D18" s="62"/>
      <c r="E18" s="62">
        <f t="shared" si="2"/>
        <v>16</v>
      </c>
      <c r="F18" s="128">
        <v>112</v>
      </c>
      <c r="G18" s="129">
        <v>346.83372992434778</v>
      </c>
      <c r="H18" s="129">
        <v>285.41039624613762</v>
      </c>
      <c r="I18" s="129">
        <v>417.52551603949587</v>
      </c>
      <c r="J18" s="129"/>
      <c r="K18" s="129"/>
      <c r="L18" s="129"/>
      <c r="M18" s="60">
        <f t="shared" si="0"/>
        <v>5</v>
      </c>
      <c r="N18" s="61">
        <f t="shared" si="3"/>
        <v>120.9041189017434</v>
      </c>
      <c r="O18" s="61">
        <f t="shared" si="16"/>
        <v>317.03778969541867</v>
      </c>
      <c r="P18" s="129">
        <f t="shared" si="4"/>
        <v>344.87164830165528</v>
      </c>
      <c r="Q18" s="129">
        <f t="shared" si="5"/>
        <v>329.44153511314596</v>
      </c>
      <c r="R18" s="129">
        <f t="shared" si="6"/>
        <v>360.83107754522678</v>
      </c>
      <c r="S18" s="61">
        <f t="shared" si="7"/>
        <v>375.73589550749284</v>
      </c>
      <c r="T18" s="61">
        <f t="shared" si="1"/>
        <v>671.86872526024422</v>
      </c>
      <c r="U18" s="61">
        <f t="shared" si="17"/>
        <v>345.58262428209366</v>
      </c>
      <c r="V18" s="61"/>
      <c r="Y18" s="162" t="s">
        <v>38</v>
      </c>
      <c r="Z18" s="162" t="s">
        <v>62</v>
      </c>
      <c r="AA18" s="162" t="s">
        <v>201</v>
      </c>
      <c r="AB18" s="162">
        <f t="shared" si="21"/>
        <v>6</v>
      </c>
      <c r="AC18" s="165">
        <f t="shared" si="19"/>
        <v>120.9041189017434</v>
      </c>
      <c r="AD18" s="165">
        <f t="shared" si="20"/>
        <v>671.86872526024422</v>
      </c>
      <c r="AE18" s="162"/>
      <c r="AF18" s="162">
        <f t="shared" si="10"/>
        <v>19</v>
      </c>
      <c r="AG18" s="167">
        <f t="shared" si="11"/>
        <v>63</v>
      </c>
      <c r="AH18" s="165">
        <f t="shared" si="12"/>
        <v>373.48766308071981</v>
      </c>
      <c r="AI18" s="165">
        <f t="shared" si="13"/>
        <v>286.69779258053836</v>
      </c>
      <c r="AJ18" s="165">
        <f t="shared" si="14"/>
        <v>478.20539718255071</v>
      </c>
      <c r="AK18" s="167">
        <f t="shared" si="15"/>
        <v>5</v>
      </c>
    </row>
    <row r="19" spans="1:37" x14ac:dyDescent="0.2">
      <c r="A19" s="62" t="s">
        <v>42</v>
      </c>
      <c r="B19" s="62" t="s">
        <v>65</v>
      </c>
      <c r="C19" s="62" t="s">
        <v>200</v>
      </c>
      <c r="D19" s="62"/>
      <c r="E19" s="62">
        <f t="shared" si="2"/>
        <v>15</v>
      </c>
      <c r="F19" s="128">
        <v>29</v>
      </c>
      <c r="G19" s="129">
        <v>345.61208179637049</v>
      </c>
      <c r="H19" s="129">
        <v>227.38210343944758</v>
      </c>
      <c r="I19" s="129">
        <v>501.69734708945953</v>
      </c>
      <c r="J19" s="129"/>
      <c r="K19" s="129"/>
      <c r="L19" s="129"/>
      <c r="M19" s="60">
        <f t="shared" si="0"/>
        <v>5</v>
      </c>
      <c r="N19" s="61">
        <f t="shared" si="3"/>
        <v>120.9041189017434</v>
      </c>
      <c r="O19" s="61">
        <f t="shared" si="16"/>
        <v>317.03778969541867</v>
      </c>
      <c r="P19" s="129">
        <f t="shared" si="4"/>
        <v>344.87164830165528</v>
      </c>
      <c r="Q19" s="129">
        <f t="shared" si="5"/>
        <v>329.44153511314596</v>
      </c>
      <c r="R19" s="129">
        <f t="shared" si="6"/>
        <v>360.83107754522678</v>
      </c>
      <c r="S19" s="61">
        <f t="shared" si="7"/>
        <v>375.73589550749284</v>
      </c>
      <c r="T19" s="61">
        <f t="shared" si="1"/>
        <v>671.86872526024422</v>
      </c>
      <c r="U19" s="61">
        <f t="shared" si="17"/>
        <v>345.90085752495855</v>
      </c>
      <c r="V19" s="61"/>
      <c r="Y19" s="162" t="s">
        <v>43</v>
      </c>
      <c r="Z19" s="162" t="s">
        <v>159</v>
      </c>
      <c r="AA19" s="162" t="s">
        <v>201</v>
      </c>
      <c r="AB19" s="162">
        <f t="shared" si="21"/>
        <v>7</v>
      </c>
      <c r="AC19" s="165">
        <f t="shared" si="19"/>
        <v>120.9041189017434</v>
      </c>
      <c r="AD19" s="165">
        <f t="shared" si="20"/>
        <v>671.86872526024422</v>
      </c>
      <c r="AE19" s="162"/>
      <c r="AF19" s="162">
        <f t="shared" si="10"/>
        <v>21</v>
      </c>
      <c r="AG19" s="167">
        <f t="shared" si="11"/>
        <v>77</v>
      </c>
      <c r="AH19" s="165">
        <f t="shared" si="12"/>
        <v>376.89886623543254</v>
      </c>
      <c r="AI19" s="165">
        <f t="shared" si="13"/>
        <v>296.16476202174636</v>
      </c>
      <c r="AJ19" s="165">
        <f t="shared" si="14"/>
        <v>472.56652352271135</v>
      </c>
      <c r="AK19" s="167">
        <f t="shared" si="15"/>
        <v>5</v>
      </c>
    </row>
    <row r="20" spans="1:37" x14ac:dyDescent="0.2">
      <c r="A20" s="62" t="s">
        <v>43</v>
      </c>
      <c r="B20" s="62" t="s">
        <v>159</v>
      </c>
      <c r="C20" s="62" t="s">
        <v>201</v>
      </c>
      <c r="D20" s="62"/>
      <c r="E20" s="62">
        <f t="shared" si="2"/>
        <v>21</v>
      </c>
      <c r="F20" s="128">
        <v>77</v>
      </c>
      <c r="G20" s="129">
        <v>376.89886623543254</v>
      </c>
      <c r="H20" s="129">
        <v>296.16476202174636</v>
      </c>
      <c r="I20" s="129">
        <v>472.56652352271135</v>
      </c>
      <c r="J20" s="129"/>
      <c r="K20" s="129"/>
      <c r="L20" s="129"/>
      <c r="M20" s="60">
        <f t="shared" si="0"/>
        <v>5</v>
      </c>
      <c r="N20" s="61">
        <f t="shared" si="3"/>
        <v>120.9041189017434</v>
      </c>
      <c r="O20" s="61">
        <f t="shared" si="16"/>
        <v>317.03778969541867</v>
      </c>
      <c r="P20" s="129">
        <f t="shared" si="4"/>
        <v>344.87164830165528</v>
      </c>
      <c r="Q20" s="129">
        <f t="shared" si="5"/>
        <v>329.44153511314596</v>
      </c>
      <c r="R20" s="129">
        <f t="shared" si="6"/>
        <v>360.83107754522678</v>
      </c>
      <c r="S20" s="61">
        <f t="shared" si="7"/>
        <v>375.73589550749284</v>
      </c>
      <c r="T20" s="61">
        <f t="shared" si="1"/>
        <v>671.86872526024422</v>
      </c>
      <c r="U20" s="61">
        <f t="shared" si="17"/>
        <v>344.56040511979984</v>
      </c>
      <c r="V20" s="61"/>
      <c r="Y20" s="162" t="s">
        <v>48</v>
      </c>
      <c r="Z20" s="162" t="s">
        <v>160</v>
      </c>
      <c r="AA20" s="162" t="s">
        <v>201</v>
      </c>
      <c r="AB20" s="162">
        <f t="shared" si="21"/>
        <v>3</v>
      </c>
      <c r="AC20" s="165">
        <f t="shared" si="19"/>
        <v>120.9041189017434</v>
      </c>
      <c r="AD20" s="165">
        <f t="shared" si="20"/>
        <v>671.86872526024422</v>
      </c>
      <c r="AE20" s="162"/>
      <c r="AF20" s="162">
        <f t="shared" si="10"/>
        <v>3</v>
      </c>
      <c r="AG20" s="167">
        <f t="shared" si="11"/>
        <v>29</v>
      </c>
      <c r="AH20" s="165">
        <f t="shared" si="12"/>
        <v>177.94360785225058</v>
      </c>
      <c r="AI20" s="165">
        <f t="shared" si="13"/>
        <v>118.93073674673063</v>
      </c>
      <c r="AJ20" s="165">
        <f t="shared" si="14"/>
        <v>255.85142590500254</v>
      </c>
      <c r="AK20" s="167">
        <f t="shared" si="15"/>
        <v>2</v>
      </c>
    </row>
    <row r="21" spans="1:37" x14ac:dyDescent="0.2">
      <c r="A21" s="62" t="s">
        <v>44</v>
      </c>
      <c r="B21" s="62" t="s">
        <v>66</v>
      </c>
      <c r="C21" s="62" t="s">
        <v>200</v>
      </c>
      <c r="D21" s="62"/>
      <c r="E21" s="62">
        <f t="shared" si="2"/>
        <v>20</v>
      </c>
      <c r="F21" s="128">
        <v>33</v>
      </c>
      <c r="G21" s="129">
        <v>375.73589550749284</v>
      </c>
      <c r="H21" s="129">
        <v>257.82304853740965</v>
      </c>
      <c r="I21" s="129">
        <v>528.69400577503029</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5</v>
      </c>
      <c r="N21" s="61">
        <f t="shared" si="3"/>
        <v>120.9041189017434</v>
      </c>
      <c r="O21" s="61">
        <f t="shared" si="16"/>
        <v>317.03778969541867</v>
      </c>
      <c r="P21" s="129">
        <f t="shared" si="4"/>
        <v>344.87164830165528</v>
      </c>
      <c r="Q21" s="129">
        <f t="shared" si="5"/>
        <v>329.44153511314596</v>
      </c>
      <c r="R21" s="129">
        <f t="shared" si="6"/>
        <v>360.83107754522678</v>
      </c>
      <c r="S21" s="61">
        <f t="shared" si="7"/>
        <v>375.73589550749284</v>
      </c>
      <c r="T21" s="61">
        <f t="shared" si="1"/>
        <v>671.86872526024422</v>
      </c>
      <c r="U21" s="61">
        <f t="shared" si="17"/>
        <v>345.90085752495855</v>
      </c>
      <c r="V21" s="61"/>
      <c r="Y21" s="162" t="s">
        <v>52</v>
      </c>
      <c r="Z21" s="162" t="s">
        <v>72</v>
      </c>
      <c r="AA21" s="162" t="s">
        <v>201</v>
      </c>
      <c r="AB21" s="162">
        <f t="shared" si="21"/>
        <v>9</v>
      </c>
      <c r="AC21" s="165">
        <f t="shared" si="19"/>
        <v>120.9041189017434</v>
      </c>
      <c r="AD21" s="165">
        <f t="shared" si="20"/>
        <v>671.86872526024422</v>
      </c>
      <c r="AE21" s="162"/>
      <c r="AF21" s="162">
        <f t="shared" si="10"/>
        <v>26</v>
      </c>
      <c r="AG21" s="167">
        <f t="shared" si="11"/>
        <v>25</v>
      </c>
      <c r="AH21" s="165">
        <f t="shared" si="12"/>
        <v>671.86872526024422</v>
      </c>
      <c r="AI21" s="165">
        <f t="shared" si="13"/>
        <v>430.8929816950108</v>
      </c>
      <c r="AJ21" s="165">
        <f t="shared" si="14"/>
        <v>996.95962232372085</v>
      </c>
      <c r="AK21" s="167">
        <f t="shared" si="15"/>
        <v>1</v>
      </c>
    </row>
    <row r="22" spans="1:37" x14ac:dyDescent="0.2">
      <c r="A22" s="62" t="s">
        <v>45</v>
      </c>
      <c r="B22" s="62" t="s">
        <v>67</v>
      </c>
      <c r="C22" s="62" t="s">
        <v>163</v>
      </c>
      <c r="D22" s="62"/>
      <c r="E22" s="62">
        <f t="shared" si="2"/>
        <v>9</v>
      </c>
      <c r="F22" s="128">
        <v>71</v>
      </c>
      <c r="G22" s="129">
        <v>331.45465391003933</v>
      </c>
      <c r="H22" s="129">
        <v>258.38719129849244</v>
      </c>
      <c r="I22" s="129">
        <v>418.65278082028379</v>
      </c>
      <c r="J22" s="129"/>
      <c r="K22" s="129"/>
      <c r="L22" s="129"/>
      <c r="M22" s="60">
        <f t="shared" si="0"/>
        <v>5</v>
      </c>
      <c r="N22" s="61">
        <f t="shared" si="3"/>
        <v>120.9041189017434</v>
      </c>
      <c r="O22" s="61">
        <f t="shared" si="16"/>
        <v>317.03778969541867</v>
      </c>
      <c r="P22" s="129">
        <f t="shared" si="4"/>
        <v>344.87164830165528</v>
      </c>
      <c r="Q22" s="129">
        <f t="shared" si="5"/>
        <v>329.44153511314596</v>
      </c>
      <c r="R22" s="129">
        <f t="shared" si="6"/>
        <v>360.83107754522678</v>
      </c>
      <c r="S22" s="61">
        <f t="shared" si="7"/>
        <v>375.73589550749284</v>
      </c>
      <c r="T22" s="61">
        <f t="shared" si="1"/>
        <v>671.86872526024422</v>
      </c>
      <c r="U22" s="61">
        <f>VLOOKUP(C22,$C$43:$I$46,5,FALSE)</f>
        <v>345.58262428209366</v>
      </c>
      <c r="V22" s="61"/>
      <c r="Y22" s="162" t="s">
        <v>54</v>
      </c>
      <c r="Z22" s="162" t="s">
        <v>73</v>
      </c>
      <c r="AA22" s="162" t="s">
        <v>201</v>
      </c>
      <c r="AB22" s="162">
        <f t="shared" si="21"/>
        <v>2</v>
      </c>
      <c r="AC22" s="165">
        <f t="shared" si="19"/>
        <v>120.9041189017434</v>
      </c>
      <c r="AD22" s="165">
        <f t="shared" si="20"/>
        <v>671.86872526024422</v>
      </c>
      <c r="AE22" s="162"/>
      <c r="AF22" s="162">
        <f t="shared" si="10"/>
        <v>2</v>
      </c>
      <c r="AG22" s="167">
        <f t="shared" si="11"/>
        <v>10</v>
      </c>
      <c r="AH22" s="165">
        <f t="shared" si="12"/>
        <v>154.26120697382592</v>
      </c>
      <c r="AI22" s="165">
        <f t="shared" si="13"/>
        <v>52.204602115299494</v>
      </c>
      <c r="AJ22" s="165">
        <f t="shared" si="14"/>
        <v>318.55771462929982</v>
      </c>
      <c r="AK22" s="167">
        <f t="shared" si="15"/>
        <v>2</v>
      </c>
    </row>
    <row r="23" spans="1:37" x14ac:dyDescent="0.2">
      <c r="A23" s="62" t="s">
        <v>46</v>
      </c>
      <c r="B23" s="62" t="s">
        <v>68</v>
      </c>
      <c r="C23" s="62" t="s">
        <v>163</v>
      </c>
      <c r="D23" s="62"/>
      <c r="E23" s="62">
        <f t="shared" si="2"/>
        <v>6</v>
      </c>
      <c r="F23" s="128">
        <v>99</v>
      </c>
      <c r="G23" s="129">
        <v>302.39530660460167</v>
      </c>
      <c r="H23" s="129">
        <v>245.61419481278708</v>
      </c>
      <c r="I23" s="129">
        <v>368.33545241624898</v>
      </c>
      <c r="J23" s="129"/>
      <c r="K23" s="129"/>
      <c r="L23" s="129"/>
      <c r="M23" s="60">
        <f t="shared" si="0"/>
        <v>5</v>
      </c>
      <c r="N23" s="61">
        <f t="shared" si="3"/>
        <v>120.9041189017434</v>
      </c>
      <c r="O23" s="61">
        <f t="shared" si="16"/>
        <v>317.03778969541867</v>
      </c>
      <c r="P23" s="129">
        <f t="shared" si="4"/>
        <v>344.87164830165528</v>
      </c>
      <c r="Q23" s="129">
        <f t="shared" si="5"/>
        <v>329.44153511314596</v>
      </c>
      <c r="R23" s="129">
        <f t="shared" si="6"/>
        <v>360.83107754522678</v>
      </c>
      <c r="S23" s="61">
        <f t="shared" si="7"/>
        <v>375.73589550749284</v>
      </c>
      <c r="T23" s="61">
        <f t="shared" si="1"/>
        <v>671.86872526024422</v>
      </c>
      <c r="U23" s="61">
        <f t="shared" si="17"/>
        <v>345.58262428209366</v>
      </c>
      <c r="V23" s="61"/>
      <c r="Y23" s="163" t="s">
        <v>30</v>
      </c>
      <c r="Z23" s="163" t="s">
        <v>56</v>
      </c>
      <c r="AA23" s="163" t="s">
        <v>200</v>
      </c>
      <c r="AB23" s="163">
        <f>RANK(AH23,$AH$23:$AH$31,1)</f>
        <v>9</v>
      </c>
      <c r="AC23" s="166">
        <f>MIN($AH$23:$AH$31)</f>
        <v>200.98363998495768</v>
      </c>
      <c r="AD23" s="166">
        <f>MAX($AH$23:$AH$31)</f>
        <v>412.93308031800501</v>
      </c>
      <c r="AE23" s="163"/>
      <c r="AF23" s="163">
        <f t="shared" si="10"/>
        <v>25</v>
      </c>
      <c r="AG23" s="168">
        <f t="shared" si="11"/>
        <v>122</v>
      </c>
      <c r="AH23" s="166">
        <f t="shared" si="12"/>
        <v>412.93308031800501</v>
      </c>
      <c r="AI23" s="166">
        <f t="shared" si="13"/>
        <v>342.04089074988428</v>
      </c>
      <c r="AJ23" s="166">
        <f t="shared" si="14"/>
        <v>494.04096864576076</v>
      </c>
      <c r="AK23" s="168">
        <f t="shared" si="15"/>
        <v>5</v>
      </c>
    </row>
    <row r="24" spans="1:37" x14ac:dyDescent="0.2">
      <c r="A24" s="62" t="s">
        <v>47</v>
      </c>
      <c r="B24" s="62" t="s">
        <v>69</v>
      </c>
      <c r="C24" s="62" t="s">
        <v>163</v>
      </c>
      <c r="D24" s="62"/>
      <c r="E24" s="62">
        <f t="shared" si="2"/>
        <v>5</v>
      </c>
      <c r="F24" s="128">
        <v>37</v>
      </c>
      <c r="G24" s="129">
        <v>269.80675379337799</v>
      </c>
      <c r="H24" s="129">
        <v>188.79206288422299</v>
      </c>
      <c r="I24" s="129">
        <v>373.37604138239931</v>
      </c>
      <c r="J24" s="129"/>
      <c r="K24" s="129"/>
      <c r="L24" s="129"/>
      <c r="M24" s="60">
        <f t="shared" si="0"/>
        <v>5</v>
      </c>
      <c r="N24" s="61">
        <f t="shared" si="3"/>
        <v>120.9041189017434</v>
      </c>
      <c r="O24" s="61">
        <f t="shared" si="16"/>
        <v>317.03778969541867</v>
      </c>
      <c r="P24" s="129">
        <f t="shared" si="4"/>
        <v>344.87164830165528</v>
      </c>
      <c r="Q24" s="129">
        <f t="shared" si="5"/>
        <v>329.44153511314596</v>
      </c>
      <c r="R24" s="129">
        <f t="shared" si="6"/>
        <v>360.83107754522678</v>
      </c>
      <c r="S24" s="61">
        <f t="shared" si="7"/>
        <v>375.73589550749284</v>
      </c>
      <c r="T24" s="61">
        <f t="shared" si="1"/>
        <v>671.86872526024422</v>
      </c>
      <c r="U24" s="61">
        <f t="shared" si="17"/>
        <v>345.58262428209366</v>
      </c>
      <c r="V24" s="61"/>
      <c r="Y24" s="163" t="s">
        <v>31</v>
      </c>
      <c r="Z24" s="163" t="s">
        <v>57</v>
      </c>
      <c r="AA24" s="163" t="s">
        <v>200</v>
      </c>
      <c r="AB24" s="163">
        <f t="shared" ref="AB24:AB31" si="22">RANK(AH24,$AH$23:$AH$31,1)</f>
        <v>2</v>
      </c>
      <c r="AC24" s="166">
        <f t="shared" ref="AC24:AC31" si="23">MIN($AH$23:$AH$31)</f>
        <v>200.98363998495768</v>
      </c>
      <c r="AD24" s="166">
        <f t="shared" ref="AD24:AD31" si="24">MAX($AH$23:$AH$31)</f>
        <v>412.93308031800501</v>
      </c>
      <c r="AE24" s="163"/>
      <c r="AF24" s="163">
        <f t="shared" si="10"/>
        <v>10</v>
      </c>
      <c r="AG24" s="168">
        <f t="shared" si="11"/>
        <v>108</v>
      </c>
      <c r="AH24" s="166">
        <f t="shared" si="12"/>
        <v>331.96723237233817</v>
      </c>
      <c r="AI24" s="166">
        <f t="shared" si="13"/>
        <v>272.24434488791593</v>
      </c>
      <c r="AJ24" s="166">
        <f t="shared" si="14"/>
        <v>400.88064582706102</v>
      </c>
      <c r="AK24" s="168">
        <f t="shared" si="15"/>
        <v>5</v>
      </c>
    </row>
    <row r="25" spans="1:37" x14ac:dyDescent="0.2">
      <c r="A25" s="62" t="s">
        <v>48</v>
      </c>
      <c r="B25" s="62" t="s">
        <v>160</v>
      </c>
      <c r="C25" s="62" t="s">
        <v>201</v>
      </c>
      <c r="D25" s="62"/>
      <c r="E25" s="62">
        <f t="shared" si="2"/>
        <v>3</v>
      </c>
      <c r="F25" s="128">
        <v>29</v>
      </c>
      <c r="G25" s="129">
        <v>177.94360785225058</v>
      </c>
      <c r="H25" s="129">
        <v>118.93073674673063</v>
      </c>
      <c r="I25" s="129">
        <v>255.85142590500254</v>
      </c>
      <c r="J25" s="129"/>
      <c r="K25" s="129"/>
      <c r="L25" s="129"/>
      <c r="M25" s="60">
        <f t="shared" si="0"/>
        <v>2</v>
      </c>
      <c r="N25" s="61">
        <f t="shared" si="3"/>
        <v>120.9041189017434</v>
      </c>
      <c r="O25" s="61">
        <f t="shared" si="16"/>
        <v>317.03778969541867</v>
      </c>
      <c r="P25" s="129">
        <f t="shared" si="4"/>
        <v>344.87164830165528</v>
      </c>
      <c r="Q25" s="129">
        <f t="shared" si="5"/>
        <v>329.44153511314596</v>
      </c>
      <c r="R25" s="129">
        <f t="shared" si="6"/>
        <v>360.83107754522678</v>
      </c>
      <c r="S25" s="61">
        <f t="shared" si="7"/>
        <v>375.73589550749284</v>
      </c>
      <c r="T25" s="61">
        <f t="shared" si="1"/>
        <v>671.86872526024422</v>
      </c>
      <c r="U25" s="61">
        <f t="shared" si="17"/>
        <v>344.56040511979984</v>
      </c>
      <c r="V25" s="61"/>
      <c r="Y25" s="163" t="s">
        <v>34</v>
      </c>
      <c r="Z25" s="163" t="s">
        <v>59</v>
      </c>
      <c r="AA25" s="163" t="s">
        <v>200</v>
      </c>
      <c r="AB25" s="163">
        <f t="shared" si="22"/>
        <v>7</v>
      </c>
      <c r="AC25" s="166">
        <f t="shared" si="23"/>
        <v>200.98363998495768</v>
      </c>
      <c r="AD25" s="166">
        <f t="shared" si="24"/>
        <v>412.93308031800501</v>
      </c>
      <c r="AE25" s="163"/>
      <c r="AF25" s="163">
        <f t="shared" si="10"/>
        <v>18</v>
      </c>
      <c r="AG25" s="168">
        <f t="shared" si="11"/>
        <v>111</v>
      </c>
      <c r="AH25" s="166">
        <f t="shared" si="12"/>
        <v>371.51704847974611</v>
      </c>
      <c r="AI25" s="166">
        <f t="shared" si="13"/>
        <v>304.15101385451663</v>
      </c>
      <c r="AJ25" s="166">
        <f t="shared" si="14"/>
        <v>449.09756374451757</v>
      </c>
      <c r="AK25" s="168">
        <f t="shared" si="15"/>
        <v>5</v>
      </c>
    </row>
    <row r="26" spans="1:37" x14ac:dyDescent="0.2">
      <c r="A26" s="62" t="s">
        <v>49</v>
      </c>
      <c r="B26" s="62" t="s">
        <v>70</v>
      </c>
      <c r="C26" s="62" t="s">
        <v>200</v>
      </c>
      <c r="D26" s="62"/>
      <c r="E26" s="62">
        <f t="shared" si="2"/>
        <v>4</v>
      </c>
      <c r="F26" s="128">
        <v>37</v>
      </c>
      <c r="G26" s="129">
        <v>200.98363998495768</v>
      </c>
      <c r="H26" s="129">
        <v>139.68564444319586</v>
      </c>
      <c r="I26" s="129">
        <v>279.34707824104134</v>
      </c>
      <c r="J26" s="129"/>
      <c r="K26" s="129"/>
      <c r="L26" s="129"/>
      <c r="M26" s="60">
        <f t="shared" si="0"/>
        <v>2</v>
      </c>
      <c r="N26" s="61">
        <f t="shared" si="3"/>
        <v>120.9041189017434</v>
      </c>
      <c r="O26" s="61">
        <f t="shared" si="16"/>
        <v>317.03778969541867</v>
      </c>
      <c r="P26" s="129">
        <f t="shared" si="4"/>
        <v>344.87164830165528</v>
      </c>
      <c r="Q26" s="129">
        <f t="shared" si="5"/>
        <v>329.44153511314596</v>
      </c>
      <c r="R26" s="129">
        <f t="shared" si="6"/>
        <v>360.83107754522678</v>
      </c>
      <c r="S26" s="61">
        <f t="shared" si="7"/>
        <v>375.73589550749284</v>
      </c>
      <c r="T26" s="61">
        <f t="shared" si="1"/>
        <v>671.86872526024422</v>
      </c>
      <c r="U26" s="61">
        <f t="shared" si="17"/>
        <v>345.90085752495855</v>
      </c>
      <c r="V26" s="61"/>
      <c r="Y26" s="163" t="s">
        <v>39</v>
      </c>
      <c r="Z26" s="163" t="s">
        <v>158</v>
      </c>
      <c r="AA26" s="163" t="s">
        <v>200</v>
      </c>
      <c r="AB26" s="163">
        <f t="shared" si="22"/>
        <v>6</v>
      </c>
      <c r="AC26" s="166">
        <f t="shared" si="23"/>
        <v>200.98363998495768</v>
      </c>
      <c r="AD26" s="166">
        <f t="shared" si="24"/>
        <v>412.93308031800501</v>
      </c>
      <c r="AE26" s="163"/>
      <c r="AF26" s="163">
        <f t="shared" si="10"/>
        <v>17</v>
      </c>
      <c r="AG26" s="168">
        <f t="shared" si="11"/>
        <v>93</v>
      </c>
      <c r="AH26" s="166">
        <f t="shared" si="12"/>
        <v>348.07716136203385</v>
      </c>
      <c r="AI26" s="166">
        <f t="shared" si="13"/>
        <v>279.85286190333636</v>
      </c>
      <c r="AJ26" s="166">
        <f t="shared" si="14"/>
        <v>427.68609941478644</v>
      </c>
      <c r="AK26" s="168">
        <f t="shared" si="15"/>
        <v>5</v>
      </c>
    </row>
    <row r="27" spans="1:37" x14ac:dyDescent="0.2">
      <c r="A27" s="62" t="s">
        <v>50</v>
      </c>
      <c r="B27" s="62" t="s">
        <v>161</v>
      </c>
      <c r="C27" s="62" t="s">
        <v>163</v>
      </c>
      <c r="D27" s="62"/>
      <c r="E27" s="62">
        <f t="shared" si="2"/>
        <v>12</v>
      </c>
      <c r="F27" s="128">
        <v>43</v>
      </c>
      <c r="G27" s="129">
        <v>340.55896050180905</v>
      </c>
      <c r="H27" s="129">
        <v>246.06277905512903</v>
      </c>
      <c r="I27" s="129">
        <v>459.21485124578658</v>
      </c>
      <c r="J27" s="129"/>
      <c r="K27" s="129"/>
      <c r="L27" s="129"/>
      <c r="M27" s="60">
        <f t="shared" si="0"/>
        <v>5</v>
      </c>
      <c r="N27" s="61">
        <f t="shared" si="3"/>
        <v>120.9041189017434</v>
      </c>
      <c r="O27" s="61">
        <f t="shared" si="16"/>
        <v>317.03778969541867</v>
      </c>
      <c r="P27" s="129">
        <f t="shared" si="4"/>
        <v>344.87164830165528</v>
      </c>
      <c r="Q27" s="129">
        <f t="shared" si="5"/>
        <v>329.44153511314596</v>
      </c>
      <c r="R27" s="129">
        <f t="shared" si="6"/>
        <v>360.83107754522678</v>
      </c>
      <c r="S27" s="61">
        <f t="shared" si="7"/>
        <v>375.73589550749284</v>
      </c>
      <c r="T27" s="61">
        <f t="shared" si="1"/>
        <v>671.86872526024422</v>
      </c>
      <c r="U27" s="61">
        <f t="shared" si="17"/>
        <v>345.58262428209366</v>
      </c>
      <c r="V27" s="61"/>
      <c r="Y27" s="163" t="s">
        <v>40</v>
      </c>
      <c r="Z27" s="163" t="s">
        <v>63</v>
      </c>
      <c r="AA27" s="163" t="s">
        <v>200</v>
      </c>
      <c r="AB27" s="163">
        <f t="shared" si="22"/>
        <v>4</v>
      </c>
      <c r="AC27" s="166">
        <f t="shared" si="23"/>
        <v>200.98363998495768</v>
      </c>
      <c r="AD27" s="166">
        <f t="shared" si="24"/>
        <v>412.93308031800501</v>
      </c>
      <c r="AE27" s="163"/>
      <c r="AF27" s="163">
        <f t="shared" si="10"/>
        <v>13</v>
      </c>
      <c r="AG27" s="168">
        <f t="shared" si="11"/>
        <v>71</v>
      </c>
      <c r="AH27" s="166">
        <f t="shared" si="12"/>
        <v>341.59422192417321</v>
      </c>
      <c r="AI27" s="166">
        <f t="shared" si="13"/>
        <v>265.80568938346539</v>
      </c>
      <c r="AJ27" s="166">
        <f t="shared" si="14"/>
        <v>432.03965197776142</v>
      </c>
      <c r="AK27" s="168">
        <f t="shared" si="15"/>
        <v>5</v>
      </c>
    </row>
    <row r="28" spans="1:37" x14ac:dyDescent="0.2">
      <c r="A28" s="62" t="s">
        <v>51</v>
      </c>
      <c r="B28" s="62" t="s">
        <v>71</v>
      </c>
      <c r="C28" s="62" t="s">
        <v>200</v>
      </c>
      <c r="D28" s="62"/>
      <c r="E28" s="62">
        <f t="shared" si="2"/>
        <v>11</v>
      </c>
      <c r="F28" s="128">
        <v>31</v>
      </c>
      <c r="G28" s="129">
        <v>335.53439921204478</v>
      </c>
      <c r="H28" s="129">
        <v>225.42636459083704</v>
      </c>
      <c r="I28" s="129">
        <v>479.56550893240734</v>
      </c>
      <c r="J28" s="129"/>
      <c r="K28" s="129"/>
      <c r="L28" s="129"/>
      <c r="M28" s="60">
        <f t="shared" si="0"/>
        <v>5</v>
      </c>
      <c r="N28" s="61">
        <f t="shared" si="3"/>
        <v>120.9041189017434</v>
      </c>
      <c r="O28" s="61">
        <f t="shared" si="16"/>
        <v>317.03778969541867</v>
      </c>
      <c r="P28" s="129">
        <f t="shared" si="4"/>
        <v>344.87164830165528</v>
      </c>
      <c r="Q28" s="129">
        <f t="shared" si="5"/>
        <v>329.44153511314596</v>
      </c>
      <c r="R28" s="129">
        <f t="shared" si="6"/>
        <v>360.83107754522678</v>
      </c>
      <c r="S28" s="61">
        <f t="shared" si="7"/>
        <v>375.73589550749284</v>
      </c>
      <c r="T28" s="61">
        <f t="shared" si="1"/>
        <v>671.86872526024422</v>
      </c>
      <c r="U28" s="61">
        <f t="shared" si="17"/>
        <v>345.90085752495855</v>
      </c>
      <c r="V28" s="61"/>
      <c r="Y28" s="163" t="s">
        <v>42</v>
      </c>
      <c r="Z28" s="163" t="s">
        <v>65</v>
      </c>
      <c r="AA28" s="163" t="s">
        <v>200</v>
      </c>
      <c r="AB28" s="163">
        <f t="shared" si="22"/>
        <v>5</v>
      </c>
      <c r="AC28" s="166">
        <f t="shared" si="23"/>
        <v>200.98363998495768</v>
      </c>
      <c r="AD28" s="166">
        <f t="shared" si="24"/>
        <v>412.93308031800501</v>
      </c>
      <c r="AE28" s="163"/>
      <c r="AF28" s="163">
        <f t="shared" si="10"/>
        <v>15</v>
      </c>
      <c r="AG28" s="168">
        <f t="shared" si="11"/>
        <v>29</v>
      </c>
      <c r="AH28" s="166">
        <f t="shared" si="12"/>
        <v>345.61208179637049</v>
      </c>
      <c r="AI28" s="166">
        <f t="shared" si="13"/>
        <v>227.38210343944758</v>
      </c>
      <c r="AJ28" s="166">
        <f t="shared" si="14"/>
        <v>501.69734708945953</v>
      </c>
      <c r="AK28" s="168">
        <f t="shared" si="15"/>
        <v>5</v>
      </c>
    </row>
    <row r="29" spans="1:37" x14ac:dyDescent="0.2">
      <c r="A29" s="62" t="s">
        <v>52</v>
      </c>
      <c r="B29" s="62" t="s">
        <v>72</v>
      </c>
      <c r="C29" s="62" t="s">
        <v>201</v>
      </c>
      <c r="D29" s="62"/>
      <c r="E29" s="62">
        <f t="shared" si="2"/>
        <v>26</v>
      </c>
      <c r="F29" s="128">
        <v>25</v>
      </c>
      <c r="G29" s="129">
        <v>671.86872526024422</v>
      </c>
      <c r="H29" s="129">
        <v>430.8929816950108</v>
      </c>
      <c r="I29" s="129">
        <v>996.95962232372085</v>
      </c>
      <c r="J29" s="129"/>
      <c r="K29" s="129"/>
      <c r="L29" s="129"/>
      <c r="M29" s="60">
        <f t="shared" si="0"/>
        <v>1</v>
      </c>
      <c r="N29" s="61">
        <f t="shared" si="3"/>
        <v>120.9041189017434</v>
      </c>
      <c r="O29" s="61">
        <f t="shared" si="16"/>
        <v>317.03778969541867</v>
      </c>
      <c r="P29" s="129">
        <f t="shared" si="4"/>
        <v>344.87164830165528</v>
      </c>
      <c r="Q29" s="129">
        <f t="shared" si="5"/>
        <v>329.44153511314596</v>
      </c>
      <c r="R29" s="129">
        <f t="shared" si="6"/>
        <v>360.83107754522678</v>
      </c>
      <c r="S29" s="61">
        <f t="shared" si="7"/>
        <v>375.73589550749284</v>
      </c>
      <c r="T29" s="61">
        <f t="shared" si="1"/>
        <v>671.86872526024422</v>
      </c>
      <c r="U29" s="61">
        <f t="shared" si="17"/>
        <v>344.56040511979984</v>
      </c>
      <c r="V29" s="61"/>
      <c r="Y29" s="163" t="s">
        <v>44</v>
      </c>
      <c r="Z29" s="163" t="s">
        <v>66</v>
      </c>
      <c r="AA29" s="163" t="s">
        <v>200</v>
      </c>
      <c r="AB29" s="163">
        <f t="shared" si="22"/>
        <v>8</v>
      </c>
      <c r="AC29" s="166">
        <f t="shared" si="23"/>
        <v>200.98363998495768</v>
      </c>
      <c r="AD29" s="166">
        <f t="shared" si="24"/>
        <v>412.93308031800501</v>
      </c>
      <c r="AE29" s="163"/>
      <c r="AF29" s="163">
        <f t="shared" si="10"/>
        <v>20</v>
      </c>
      <c r="AG29" s="168">
        <f t="shared" si="11"/>
        <v>33</v>
      </c>
      <c r="AH29" s="166">
        <f t="shared" si="12"/>
        <v>375.73589550749284</v>
      </c>
      <c r="AI29" s="166">
        <f t="shared" si="13"/>
        <v>257.82304853740965</v>
      </c>
      <c r="AJ29" s="166">
        <f t="shared" si="14"/>
        <v>528.69400577503029</v>
      </c>
      <c r="AK29" s="168">
        <f t="shared" si="15"/>
        <v>5</v>
      </c>
    </row>
    <row r="30" spans="1:37" x14ac:dyDescent="0.2">
      <c r="A30" s="62" t="s">
        <v>53</v>
      </c>
      <c r="B30" s="62" t="s">
        <v>162</v>
      </c>
      <c r="C30" s="62" t="s">
        <v>163</v>
      </c>
      <c r="D30" s="62"/>
      <c r="E30" s="62">
        <f t="shared" si="2"/>
        <v>8</v>
      </c>
      <c r="F30" s="128">
        <v>211</v>
      </c>
      <c r="G30" s="129">
        <v>328.30886502539255</v>
      </c>
      <c r="H30" s="129">
        <v>285.117490151217</v>
      </c>
      <c r="I30" s="129">
        <v>376.14819042940184</v>
      </c>
      <c r="J30" s="129"/>
      <c r="K30" s="129"/>
      <c r="L30" s="129"/>
      <c r="M30" s="60">
        <f t="shared" si="0"/>
        <v>5</v>
      </c>
      <c r="N30" s="61">
        <f t="shared" si="3"/>
        <v>120.9041189017434</v>
      </c>
      <c r="O30" s="61">
        <f t="shared" si="16"/>
        <v>317.03778969541867</v>
      </c>
      <c r="P30" s="129">
        <f>$G$32</f>
        <v>344.87164830165528</v>
      </c>
      <c r="Q30" s="129">
        <f t="shared" si="5"/>
        <v>329.44153511314596</v>
      </c>
      <c r="R30" s="129">
        <f t="shared" si="6"/>
        <v>360.83107754522678</v>
      </c>
      <c r="S30" s="61">
        <f t="shared" si="7"/>
        <v>375.73589550749284</v>
      </c>
      <c r="T30" s="61">
        <f t="shared" si="1"/>
        <v>671.86872526024422</v>
      </c>
      <c r="U30" s="61">
        <f t="shared" si="17"/>
        <v>345.58262428209366</v>
      </c>
      <c r="V30" s="61"/>
      <c r="Y30" s="163" t="s">
        <v>49</v>
      </c>
      <c r="Z30" s="163" t="s">
        <v>70</v>
      </c>
      <c r="AA30" s="163" t="s">
        <v>200</v>
      </c>
      <c r="AB30" s="163">
        <f t="shared" si="22"/>
        <v>1</v>
      </c>
      <c r="AC30" s="166">
        <f t="shared" si="23"/>
        <v>200.98363998495768</v>
      </c>
      <c r="AD30" s="166">
        <f t="shared" si="24"/>
        <v>412.93308031800501</v>
      </c>
      <c r="AE30" s="163"/>
      <c r="AF30" s="163">
        <f t="shared" si="10"/>
        <v>4</v>
      </c>
      <c r="AG30" s="168">
        <f t="shared" si="11"/>
        <v>37</v>
      </c>
      <c r="AH30" s="166">
        <f t="shared" si="12"/>
        <v>200.98363998495768</v>
      </c>
      <c r="AI30" s="166">
        <f t="shared" si="13"/>
        <v>139.68564444319586</v>
      </c>
      <c r="AJ30" s="166">
        <f t="shared" si="14"/>
        <v>279.34707824104134</v>
      </c>
      <c r="AK30" s="168">
        <f t="shared" si="15"/>
        <v>2</v>
      </c>
    </row>
    <row r="31" spans="1:37" x14ac:dyDescent="0.2">
      <c r="A31" s="62" t="s">
        <v>54</v>
      </c>
      <c r="B31" s="62" t="s">
        <v>73</v>
      </c>
      <c r="C31" s="62" t="s">
        <v>201</v>
      </c>
      <c r="D31" s="62"/>
      <c r="E31" s="62">
        <f t="shared" si="2"/>
        <v>2</v>
      </c>
      <c r="F31" s="128">
        <v>10</v>
      </c>
      <c r="G31" s="129">
        <v>154.26120697382592</v>
      </c>
      <c r="H31" s="129">
        <v>52.204602115299494</v>
      </c>
      <c r="I31" s="129">
        <v>318.55771462929982</v>
      </c>
      <c r="J31" s="129"/>
      <c r="K31" s="129"/>
      <c r="L31" s="129"/>
      <c r="M31" s="60">
        <f t="shared" si="0"/>
        <v>2</v>
      </c>
      <c r="N31" s="61">
        <f t="shared" si="3"/>
        <v>120.9041189017434</v>
      </c>
      <c r="O31" s="61">
        <f t="shared" si="16"/>
        <v>317.03778969541867</v>
      </c>
      <c r="P31" s="129">
        <f t="shared" si="4"/>
        <v>344.87164830165528</v>
      </c>
      <c r="Q31" s="129">
        <f t="shared" si="5"/>
        <v>329.44153511314596</v>
      </c>
      <c r="R31" s="129">
        <f t="shared" si="6"/>
        <v>360.83107754522678</v>
      </c>
      <c r="S31" s="61">
        <f t="shared" si="7"/>
        <v>375.73589550749284</v>
      </c>
      <c r="T31" s="61">
        <f t="shared" si="1"/>
        <v>671.86872526024422</v>
      </c>
      <c r="U31" s="61">
        <f t="shared" si="17"/>
        <v>344.56040511979984</v>
      </c>
      <c r="V31" s="61"/>
      <c r="Y31" s="163" t="s">
        <v>51</v>
      </c>
      <c r="Z31" s="163" t="s">
        <v>71</v>
      </c>
      <c r="AA31" s="163" t="s">
        <v>200</v>
      </c>
      <c r="AB31" s="163">
        <f t="shared" si="22"/>
        <v>3</v>
      </c>
      <c r="AC31" s="166">
        <f t="shared" si="23"/>
        <v>200.98363998495768</v>
      </c>
      <c r="AD31" s="166">
        <f t="shared" si="24"/>
        <v>412.93308031800501</v>
      </c>
      <c r="AE31" s="163"/>
      <c r="AF31" s="163">
        <f t="shared" si="10"/>
        <v>11</v>
      </c>
      <c r="AG31" s="168">
        <f t="shared" si="11"/>
        <v>31</v>
      </c>
      <c r="AH31" s="166">
        <f t="shared" si="12"/>
        <v>335.53439921204478</v>
      </c>
      <c r="AI31" s="166">
        <f t="shared" si="13"/>
        <v>225.42636459083704</v>
      </c>
      <c r="AJ31" s="166">
        <f t="shared" si="14"/>
        <v>479.56550893240734</v>
      </c>
      <c r="AK31" s="168">
        <f t="shared" si="15"/>
        <v>5</v>
      </c>
    </row>
    <row r="32" spans="1:37" x14ac:dyDescent="0.2">
      <c r="A32" s="62"/>
      <c r="B32" s="62" t="s">
        <v>171</v>
      </c>
      <c r="C32" s="62"/>
      <c r="D32" s="62"/>
      <c r="E32" s="62"/>
      <c r="F32" s="128">
        <v>1924</v>
      </c>
      <c r="G32" s="129">
        <v>344.87164830165528</v>
      </c>
      <c r="H32" s="129">
        <v>329.44153511314596</v>
      </c>
      <c r="I32" s="129">
        <v>360.83107754522678</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820</v>
      </c>
      <c r="G44" s="129">
        <v>345.58262428209366</v>
      </c>
      <c r="H44" s="129">
        <v>322.24300088131088</v>
      </c>
      <c r="I44" s="129">
        <v>370.16099531926199</v>
      </c>
      <c r="J44" s="129">
        <f>VLOOKUP($C44,$AA$6:$AD$13,3,FALSE)</f>
        <v>269.80675379337799</v>
      </c>
      <c r="K44" s="129">
        <f>VLOOKUP($C44,$AA$6:$AD$13,4,FALSE)</f>
        <v>412.50555062776863</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5</v>
      </c>
      <c r="N44" s="61">
        <f>MIN($G$6:$G$31)</f>
        <v>120.9041189017434</v>
      </c>
      <c r="O44" s="61">
        <f>VLOOKUP(7,$E$5:$G$39,3,FALSE)</f>
        <v>317.03778969541867</v>
      </c>
      <c r="P44" s="129">
        <f>$G$32</f>
        <v>344.87164830165528</v>
      </c>
      <c r="Q44" s="129">
        <f>$H$32</f>
        <v>329.44153511314596</v>
      </c>
      <c r="R44" s="129">
        <f>$I$32</f>
        <v>360.83107754522678</v>
      </c>
      <c r="S44" s="61">
        <f>VLOOKUP(20,$E$5:$G$39,3,FALSE)</f>
        <v>375.73589550749284</v>
      </c>
      <c r="T44" s="61">
        <f>MAX($G$6:$G$31)</f>
        <v>671.86872526024422</v>
      </c>
    </row>
    <row r="45" spans="1:22" x14ac:dyDescent="0.2">
      <c r="C45" s="62" t="s">
        <v>201</v>
      </c>
      <c r="D45" s="62"/>
      <c r="E45" s="62"/>
      <c r="F45" s="128">
        <v>469</v>
      </c>
      <c r="G45" s="129">
        <v>344.56040511979984</v>
      </c>
      <c r="H45" s="129">
        <v>312.67045746936259</v>
      </c>
      <c r="I45" s="129">
        <v>378.70930316969481</v>
      </c>
      <c r="J45" s="129">
        <f>VLOOKUP($C45,$AA$14:$AD$22,3,FALSE)</f>
        <v>120.9041189017434</v>
      </c>
      <c r="K45" s="129">
        <f>VLOOKUP($C45,$AA$14:$AD$22,4,FALSE)</f>
        <v>671.86872526024422</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5</v>
      </c>
      <c r="N45" s="61">
        <f>MIN($G$6:$G$31)</f>
        <v>120.9041189017434</v>
      </c>
      <c r="O45" s="61">
        <f>VLOOKUP(7,$E$5:$G$39,3,FALSE)</f>
        <v>317.03778969541867</v>
      </c>
      <c r="P45" s="129">
        <f>$G$32</f>
        <v>344.87164830165528</v>
      </c>
      <c r="Q45" s="129">
        <f t="shared" ref="Q45:Q46" si="25">$H$32</f>
        <v>329.44153511314596</v>
      </c>
      <c r="R45" s="129">
        <f t="shared" ref="R45:R46" si="26">$I$32</f>
        <v>360.83107754522678</v>
      </c>
      <c r="S45" s="61">
        <f>VLOOKUP(20,$E$5:$G$39,3,FALSE)</f>
        <v>375.73589550749284</v>
      </c>
      <c r="T45" s="61">
        <f t="shared" ref="T45:T46" si="27">MAX($G$6:$G$31)</f>
        <v>671.86872526024422</v>
      </c>
    </row>
    <row r="46" spans="1:22" x14ac:dyDescent="0.2">
      <c r="C46" s="62" t="s">
        <v>200</v>
      </c>
      <c r="D46" s="62"/>
      <c r="E46" s="62"/>
      <c r="F46" s="128">
        <v>635</v>
      </c>
      <c r="G46" s="129">
        <v>345.90085752495855</v>
      </c>
      <c r="H46" s="129">
        <v>319.2843769521948</v>
      </c>
      <c r="I46" s="129">
        <v>374.12898451081901</v>
      </c>
      <c r="J46" s="129">
        <f>VLOOKUP($C46,$AA$23:$AD$31,3,FALSE)</f>
        <v>200.98363998495768</v>
      </c>
      <c r="K46" s="129">
        <f>VLOOKUP($C46,$AA$23:$AD$31,4,FALSE)</f>
        <v>412.93308031800501</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5</v>
      </c>
      <c r="N46" s="61">
        <f>MIN($G$6:$G$31)</f>
        <v>120.9041189017434</v>
      </c>
      <c r="O46" s="61">
        <f>VLOOKUP(7,$E$5:$G$39,3,FALSE)</f>
        <v>317.03778969541867</v>
      </c>
      <c r="P46" s="129">
        <f t="shared" ref="P46" si="28">$G$32</f>
        <v>344.87164830165528</v>
      </c>
      <c r="Q46" s="129">
        <f t="shared" si="25"/>
        <v>329.44153511314596</v>
      </c>
      <c r="R46" s="129">
        <f t="shared" si="26"/>
        <v>360.83107754522678</v>
      </c>
      <c r="S46" s="61">
        <f>VLOOKUP(20,$E$5:$G$39,3,FALSE)</f>
        <v>375.73589550749284</v>
      </c>
      <c r="T46" s="61">
        <f t="shared" si="27"/>
        <v>671.86872526024422</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K2:N2" xr:uid="{00000000-0002-0000-1000-000000000000}">
      <formula1>"High = Worst,Low = Worst"</formula1>
    </dataValidation>
    <dataValidation type="list" allowBlank="1" showInputMessage="1" showErrorMessage="1" sqref="C2:D2" xr:uid="{00000000-0002-0000-1000-000001000000}">
      <formula1>"Better / Worse,Higher / Lower,Significance not measured"</formula1>
    </dataValidation>
  </dataValidations>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tabColor theme="6" tint="0.39997558519241921"/>
  </sheetPr>
  <dimension ref="A1:AK55"/>
  <sheetViews>
    <sheetView workbookViewId="0">
      <selection activeCell="F31" sqref="F6:F31"/>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8" width="7.33203125" style="21" customWidth="1"/>
    <col min="9" max="9" width="6.3320312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6" style="21" customWidth="1"/>
    <col min="17" max="18" width="5.5546875" style="21" customWidth="1"/>
    <col min="19" max="19" width="7" style="21" bestFit="1" customWidth="1"/>
    <col min="20" max="20" width="5.6640625" style="21" bestFit="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17</v>
      </c>
      <c r="F6" s="128">
        <v>31</v>
      </c>
      <c r="G6" s="129">
        <v>208.23606773471346</v>
      </c>
      <c r="H6" s="129">
        <v>140.34282149805458</v>
      </c>
      <c r="I6" s="129">
        <v>297.04647681725231</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5</v>
      </c>
      <c r="N6" s="61">
        <f>MIN($G$6:$G$32)</f>
        <v>70.066647490413089</v>
      </c>
      <c r="O6" s="61">
        <f>VLOOKUP(7,$E$5:$G$39,3,FALSE)</f>
        <v>172.35971798956672</v>
      </c>
      <c r="P6" s="129">
        <f>$G$32</f>
        <v>204.14706785210666</v>
      </c>
      <c r="Q6" s="129">
        <f>$H$32</f>
        <v>192.8521776079748</v>
      </c>
      <c r="R6" s="129">
        <f>$I$32</f>
        <v>215.92444609743353</v>
      </c>
      <c r="S6" s="61">
        <f>VLOOKUP(20,$E$5:$G$39,3,FALSE)</f>
        <v>227.02512790699762</v>
      </c>
      <c r="T6" s="61">
        <f t="shared" ref="T6:T31" si="1">MAX($G$6:$G$31)</f>
        <v>386.97649423620487</v>
      </c>
      <c r="U6" s="61">
        <f>VLOOKUP(C6,$C$43:$I$46,5,FALSE)</f>
        <v>195.80543987035691</v>
      </c>
      <c r="V6" s="61"/>
      <c r="Y6" s="159" t="s">
        <v>33</v>
      </c>
      <c r="Z6" s="159" t="s">
        <v>58</v>
      </c>
      <c r="AA6" s="159" t="s">
        <v>163</v>
      </c>
      <c r="AB6" s="159">
        <f>RANK(AH6,$AH$6:$AH$13,1)</f>
        <v>8</v>
      </c>
      <c r="AC6" s="164">
        <f>MIN($AH$6:$AH$13)</f>
        <v>169.43843963881977</v>
      </c>
      <c r="AD6" s="164">
        <f>MAX($AH$6:$AH$13)</f>
        <v>243.42839452961715</v>
      </c>
      <c r="AE6" s="159"/>
      <c r="AF6" s="159">
        <f>VLOOKUP($Y6,$A$6:$I$31,5,FALSE)</f>
        <v>22</v>
      </c>
      <c r="AG6" s="160">
        <f>VLOOKUP($Y6,$A$6:$I$31,6,FALSE)</f>
        <v>67</v>
      </c>
      <c r="AH6" s="161">
        <f>VLOOKUP($Y6,$A$6:$I$31,7,FALSE)</f>
        <v>243.42839452961715</v>
      </c>
      <c r="AI6" s="161">
        <f>VLOOKUP($Y6,$A$6:$I$31,8,FALSE)</f>
        <v>187.94480599848481</v>
      </c>
      <c r="AJ6" s="161">
        <f>VLOOKUP($Y6,$A$6:$I$31,9,FALSE)</f>
        <v>309.99009788574784</v>
      </c>
      <c r="AK6" s="160">
        <f>VLOOKUP($Y6,$A$6:$M$31,13,FALSE)</f>
        <v>5</v>
      </c>
    </row>
    <row r="7" spans="1:37" x14ac:dyDescent="0.2">
      <c r="A7" s="62" t="s">
        <v>30</v>
      </c>
      <c r="B7" s="62" t="s">
        <v>56</v>
      </c>
      <c r="C7" s="62" t="s">
        <v>200</v>
      </c>
      <c r="D7" s="62"/>
      <c r="E7" s="62">
        <f t="shared" ref="E7:E31" si="2">RANK(G7,$G$6:$G$31,1)</f>
        <v>24</v>
      </c>
      <c r="F7" s="128">
        <v>83</v>
      </c>
      <c r="G7" s="129">
        <v>263.14016207186091</v>
      </c>
      <c r="H7" s="129">
        <v>208.8109741223509</v>
      </c>
      <c r="I7" s="129">
        <v>327.1147486547768</v>
      </c>
      <c r="J7" s="129"/>
      <c r="K7" s="129"/>
      <c r="L7" s="129"/>
      <c r="M7" s="60">
        <f>IF($C$2="Significance not measured",6,IF(AND($C$2="Better / Worse",$K$2="Low = Worst",I7&lt;Q7),1,IF(AND($C$2="Better / Worse",$K$2="Low = Worst",H7&gt;R7),2,IF(AND($C$2="Better / Worse",$K$2="High = Worst",I7&lt;Q7),2,IF(AND($C$2="Better / Worse",$K$2="High = Worst",H7&gt;R7),1,IF(AND($C$2="Higher / Lower",I7&lt;Q7),3,IF(AND($C$2="Higher / Lower",H7&gt;R7),4,5)))))))</f>
        <v>5</v>
      </c>
      <c r="N7" s="61">
        <f t="shared" ref="N7:N31" si="3">MIN($G$6:$G$32)</f>
        <v>70.066647490413089</v>
      </c>
      <c r="O7" s="61">
        <f>VLOOKUP(7,$E$5:$G$39,3,FALSE)</f>
        <v>172.35971798956672</v>
      </c>
      <c r="P7" s="129">
        <f t="shared" ref="P7:P31" si="4">$G$32</f>
        <v>204.14706785210666</v>
      </c>
      <c r="Q7" s="129">
        <f t="shared" ref="Q7:Q31" si="5">$H$32</f>
        <v>192.8521776079748</v>
      </c>
      <c r="R7" s="129">
        <f t="shared" ref="R7:R31" si="6">$I$32</f>
        <v>215.92444609743353</v>
      </c>
      <c r="S7" s="61">
        <f t="shared" ref="S7:S31" si="7">VLOOKUP(20,$E$5:$G$39,3,FALSE)</f>
        <v>227.02512790699762</v>
      </c>
      <c r="T7" s="61">
        <f t="shared" si="1"/>
        <v>386.97649423620487</v>
      </c>
      <c r="U7" s="61">
        <f>VLOOKUP(C7,$C$43:$I$46,5,FALSE)</f>
        <v>210.94408404142479</v>
      </c>
      <c r="V7" s="61"/>
      <c r="Y7" s="159" t="s">
        <v>35</v>
      </c>
      <c r="Z7" s="159" t="s">
        <v>60</v>
      </c>
      <c r="AA7" s="159" t="s">
        <v>163</v>
      </c>
      <c r="AB7" s="159">
        <f t="shared" ref="AB7:AB12" si="8">RANK(AH7,$AH$6:$AH$13,1)</f>
        <v>7</v>
      </c>
      <c r="AC7" s="164">
        <f>MIN($AH$6:$AH$13)</f>
        <v>169.43843963881977</v>
      </c>
      <c r="AD7" s="164">
        <f t="shared" ref="AD7:AD13" si="9">MAX($AH$6:$AH$13)</f>
        <v>243.42839452961715</v>
      </c>
      <c r="AE7" s="159"/>
      <c r="AF7" s="159">
        <f t="shared" ref="AF7:AF31" si="10">VLOOKUP($Y7,$A$6:$I$31,5,FALSE)</f>
        <v>19</v>
      </c>
      <c r="AG7" s="160">
        <f t="shared" ref="AG7:AG31" si="11">VLOOKUP($Y7,$A$6:$I$31,6,FALSE)</f>
        <v>86</v>
      </c>
      <c r="AH7" s="161">
        <f t="shared" ref="AH7:AH31" si="12">VLOOKUP($Y7,$A$6:$I$31,7,FALSE)</f>
        <v>216.96103754220331</v>
      </c>
      <c r="AI7" s="161">
        <f t="shared" ref="AI7:AI31" si="13">VLOOKUP($Y7,$A$6:$I$31,8,FALSE)</f>
        <v>173.42052424846977</v>
      </c>
      <c r="AJ7" s="161">
        <f t="shared" ref="AJ7:AJ31" si="14">VLOOKUP($Y7,$A$6:$I$31,9,FALSE)</f>
        <v>268.0832849163188</v>
      </c>
      <c r="AK7" s="160">
        <f t="shared" ref="AK7:AK31" si="15">VLOOKUP($Y7,$A$6:$M$31,13,FALSE)</f>
        <v>5</v>
      </c>
    </row>
    <row r="8" spans="1:37" x14ac:dyDescent="0.2">
      <c r="A8" s="62" t="s">
        <v>31</v>
      </c>
      <c r="B8" s="62" t="s">
        <v>57</v>
      </c>
      <c r="C8" s="62" t="s">
        <v>200</v>
      </c>
      <c r="D8" s="62"/>
      <c r="E8" s="62">
        <f t="shared" si="2"/>
        <v>11</v>
      </c>
      <c r="F8" s="128">
        <v>70</v>
      </c>
      <c r="G8" s="129">
        <v>194.46903320311475</v>
      </c>
      <c r="H8" s="129">
        <v>151.5248194457667</v>
      </c>
      <c r="I8" s="129">
        <v>245.78335000386176</v>
      </c>
      <c r="J8" s="129"/>
      <c r="K8" s="129"/>
      <c r="L8" s="129"/>
      <c r="M8" s="60">
        <f t="shared" si="0"/>
        <v>5</v>
      </c>
      <c r="N8" s="61">
        <f t="shared" si="3"/>
        <v>70.066647490413089</v>
      </c>
      <c r="O8" s="61">
        <f t="shared" ref="O8:O31" si="16">VLOOKUP(7,$E$5:$G$39,3,FALSE)</f>
        <v>172.35971798956672</v>
      </c>
      <c r="P8" s="129">
        <f t="shared" si="4"/>
        <v>204.14706785210666</v>
      </c>
      <c r="Q8" s="129">
        <f t="shared" si="5"/>
        <v>192.8521776079748</v>
      </c>
      <c r="R8" s="129">
        <f t="shared" si="6"/>
        <v>215.92444609743353</v>
      </c>
      <c r="S8" s="61">
        <f t="shared" si="7"/>
        <v>227.02512790699762</v>
      </c>
      <c r="T8" s="61">
        <f t="shared" si="1"/>
        <v>386.97649423620487</v>
      </c>
      <c r="U8" s="61">
        <f t="shared" ref="U8:U31" si="17">VLOOKUP(C8,$C$43:$I$46,5,FALSE)</f>
        <v>210.94408404142479</v>
      </c>
      <c r="V8" s="61"/>
      <c r="Y8" s="159" t="s">
        <v>41</v>
      </c>
      <c r="Z8" s="159" t="s">
        <v>64</v>
      </c>
      <c r="AA8" s="159" t="s">
        <v>163</v>
      </c>
      <c r="AB8" s="159">
        <f t="shared" si="8"/>
        <v>4</v>
      </c>
      <c r="AC8" s="164">
        <f t="shared" ref="AC8:AC13" si="18">MIN($AH$6:$AH$13)</f>
        <v>169.43843963881977</v>
      </c>
      <c r="AD8" s="164">
        <f>MAX($AH$6:$AH$13)</f>
        <v>243.42839452961715</v>
      </c>
      <c r="AE8" s="159"/>
      <c r="AF8" s="159">
        <f t="shared" si="10"/>
        <v>14</v>
      </c>
      <c r="AG8" s="160">
        <f t="shared" si="11"/>
        <v>72</v>
      </c>
      <c r="AH8" s="161">
        <f t="shared" si="12"/>
        <v>204.56671816375254</v>
      </c>
      <c r="AI8" s="161">
        <f t="shared" si="13"/>
        <v>159.92587548731169</v>
      </c>
      <c r="AJ8" s="161">
        <f t="shared" si="14"/>
        <v>257.7746422067861</v>
      </c>
      <c r="AK8" s="160">
        <f t="shared" si="15"/>
        <v>5</v>
      </c>
    </row>
    <row r="9" spans="1:37" x14ac:dyDescent="0.2">
      <c r="A9" s="62" t="s">
        <v>32</v>
      </c>
      <c r="B9" s="62" t="s">
        <v>156</v>
      </c>
      <c r="C9" s="62" t="s">
        <v>201</v>
      </c>
      <c r="D9" s="62"/>
      <c r="E9" s="62">
        <f t="shared" si="2"/>
        <v>21</v>
      </c>
      <c r="F9" s="128">
        <v>62</v>
      </c>
      <c r="G9" s="129">
        <v>238.08554792999732</v>
      </c>
      <c r="H9" s="129">
        <v>180.46906527393827</v>
      </c>
      <c r="I9" s="129">
        <v>307.70944373555454</v>
      </c>
      <c r="J9" s="129"/>
      <c r="K9" s="129"/>
      <c r="L9" s="129"/>
      <c r="M9" s="60">
        <f t="shared" si="0"/>
        <v>5</v>
      </c>
      <c r="N9" s="61">
        <f t="shared" si="3"/>
        <v>70.066647490413089</v>
      </c>
      <c r="O9" s="61">
        <f t="shared" si="16"/>
        <v>172.35971798956672</v>
      </c>
      <c r="P9" s="129">
        <f t="shared" si="4"/>
        <v>204.14706785210666</v>
      </c>
      <c r="Q9" s="129">
        <f t="shared" si="5"/>
        <v>192.8521776079748</v>
      </c>
      <c r="R9" s="129">
        <f t="shared" si="6"/>
        <v>215.92444609743353</v>
      </c>
      <c r="S9" s="61">
        <f t="shared" si="7"/>
        <v>227.02512790699762</v>
      </c>
      <c r="T9" s="61">
        <f t="shared" si="1"/>
        <v>386.97649423620487</v>
      </c>
      <c r="U9" s="61">
        <f t="shared" si="17"/>
        <v>195.80543987035691</v>
      </c>
      <c r="V9" s="61"/>
      <c r="X9" s="63"/>
      <c r="Y9" s="159" t="s">
        <v>45</v>
      </c>
      <c r="Z9" s="159" t="s">
        <v>67</v>
      </c>
      <c r="AA9" s="159" t="s">
        <v>163</v>
      </c>
      <c r="AB9" s="159">
        <f t="shared" si="8"/>
        <v>5</v>
      </c>
      <c r="AC9" s="164">
        <f t="shared" si="18"/>
        <v>169.43843963881977</v>
      </c>
      <c r="AD9" s="164">
        <f t="shared" si="9"/>
        <v>243.42839452961715</v>
      </c>
      <c r="AE9" s="159"/>
      <c r="AF9" s="159">
        <f t="shared" si="10"/>
        <v>16</v>
      </c>
      <c r="AG9" s="160">
        <f t="shared" si="11"/>
        <v>48</v>
      </c>
      <c r="AH9" s="161">
        <f t="shared" si="12"/>
        <v>206.10541685439284</v>
      </c>
      <c r="AI9" s="161">
        <f t="shared" si="13"/>
        <v>151.61401206807255</v>
      </c>
      <c r="AJ9" s="161">
        <f t="shared" si="14"/>
        <v>273.69267811613361</v>
      </c>
      <c r="AK9" s="160">
        <f t="shared" si="15"/>
        <v>5</v>
      </c>
    </row>
    <row r="10" spans="1:37" x14ac:dyDescent="0.2">
      <c r="A10" s="62" t="s">
        <v>33</v>
      </c>
      <c r="B10" s="62" t="s">
        <v>58</v>
      </c>
      <c r="C10" s="62" t="s">
        <v>163</v>
      </c>
      <c r="D10" s="62"/>
      <c r="E10" s="62">
        <f t="shared" si="2"/>
        <v>22</v>
      </c>
      <c r="F10" s="128">
        <v>67</v>
      </c>
      <c r="G10" s="129">
        <v>243.42839452961715</v>
      </c>
      <c r="H10" s="129">
        <v>187.94480599848481</v>
      </c>
      <c r="I10" s="129">
        <v>309.99009788574784</v>
      </c>
      <c r="J10" s="129"/>
      <c r="K10" s="129"/>
      <c r="L10" s="129"/>
      <c r="M10" s="60">
        <f t="shared" si="0"/>
        <v>5</v>
      </c>
      <c r="N10" s="61">
        <f t="shared" si="3"/>
        <v>70.066647490413089</v>
      </c>
      <c r="O10" s="61">
        <f t="shared" si="16"/>
        <v>172.35971798956672</v>
      </c>
      <c r="P10" s="129">
        <f t="shared" si="4"/>
        <v>204.14706785210666</v>
      </c>
      <c r="Q10" s="129">
        <f t="shared" si="5"/>
        <v>192.8521776079748</v>
      </c>
      <c r="R10" s="129">
        <f t="shared" si="6"/>
        <v>215.92444609743353</v>
      </c>
      <c r="S10" s="61">
        <f t="shared" si="7"/>
        <v>227.02512790699762</v>
      </c>
      <c r="T10" s="61">
        <f t="shared" si="1"/>
        <v>386.97649423620487</v>
      </c>
      <c r="U10" s="61">
        <f t="shared" si="17"/>
        <v>204.31179726569945</v>
      </c>
      <c r="V10" s="61"/>
      <c r="Y10" s="159" t="s">
        <v>46</v>
      </c>
      <c r="Z10" s="159" t="s">
        <v>68</v>
      </c>
      <c r="AA10" s="159" t="s">
        <v>163</v>
      </c>
      <c r="AB10" s="159">
        <f t="shared" si="8"/>
        <v>2</v>
      </c>
      <c r="AC10" s="164">
        <f t="shared" si="18"/>
        <v>169.43843963881977</v>
      </c>
      <c r="AD10" s="164">
        <f t="shared" si="9"/>
        <v>243.42839452961715</v>
      </c>
      <c r="AE10" s="159"/>
      <c r="AF10" s="159">
        <f t="shared" si="10"/>
        <v>7</v>
      </c>
      <c r="AG10" s="160">
        <f t="shared" si="11"/>
        <v>63</v>
      </c>
      <c r="AH10" s="161">
        <f t="shared" si="12"/>
        <v>172.35971798956672</v>
      </c>
      <c r="AI10" s="161">
        <f t="shared" si="13"/>
        <v>132.23690165770424</v>
      </c>
      <c r="AJ10" s="161">
        <f t="shared" si="14"/>
        <v>220.77055657985807</v>
      </c>
      <c r="AK10" s="160">
        <f t="shared" si="15"/>
        <v>5</v>
      </c>
    </row>
    <row r="11" spans="1:37" x14ac:dyDescent="0.2">
      <c r="A11" s="62" t="s">
        <v>34</v>
      </c>
      <c r="B11" s="62" t="s">
        <v>59</v>
      </c>
      <c r="C11" s="62" t="s">
        <v>200</v>
      </c>
      <c r="D11" s="62"/>
      <c r="E11" s="62">
        <f t="shared" si="2"/>
        <v>23</v>
      </c>
      <c r="F11" s="128">
        <v>83</v>
      </c>
      <c r="G11" s="129">
        <v>258.18622306999907</v>
      </c>
      <c r="H11" s="129">
        <v>204.61724771759822</v>
      </c>
      <c r="I11" s="129">
        <v>321.26563178534991</v>
      </c>
      <c r="J11" s="129"/>
      <c r="K11" s="129"/>
      <c r="L11" s="129"/>
      <c r="M11" s="60">
        <f t="shared" si="0"/>
        <v>5</v>
      </c>
      <c r="N11" s="61">
        <f t="shared" si="3"/>
        <v>70.066647490413089</v>
      </c>
      <c r="O11" s="61">
        <f t="shared" si="16"/>
        <v>172.35971798956672</v>
      </c>
      <c r="P11" s="129">
        <f t="shared" si="4"/>
        <v>204.14706785210666</v>
      </c>
      <c r="Q11" s="129">
        <f t="shared" si="5"/>
        <v>192.8521776079748</v>
      </c>
      <c r="R11" s="129">
        <f t="shared" si="6"/>
        <v>215.92444609743353</v>
      </c>
      <c r="S11" s="61">
        <f t="shared" si="7"/>
        <v>227.02512790699762</v>
      </c>
      <c r="T11" s="61">
        <f t="shared" si="1"/>
        <v>386.97649423620487</v>
      </c>
      <c r="U11" s="61">
        <f t="shared" si="17"/>
        <v>210.94408404142479</v>
      </c>
      <c r="V11" s="61"/>
      <c r="Y11" s="159" t="s">
        <v>47</v>
      </c>
      <c r="Z11" s="159" t="s">
        <v>69</v>
      </c>
      <c r="AA11" s="159" t="s">
        <v>163</v>
      </c>
      <c r="AB11" s="159">
        <f t="shared" si="8"/>
        <v>1</v>
      </c>
      <c r="AC11" s="164">
        <f t="shared" si="18"/>
        <v>169.43843963881977</v>
      </c>
      <c r="AD11" s="164">
        <f t="shared" si="9"/>
        <v>243.42839452961715</v>
      </c>
      <c r="AE11" s="159"/>
      <c r="AF11" s="159">
        <f t="shared" si="10"/>
        <v>6</v>
      </c>
      <c r="AG11" s="160">
        <f t="shared" si="11"/>
        <v>25</v>
      </c>
      <c r="AH11" s="161">
        <f t="shared" si="12"/>
        <v>169.43843963881977</v>
      </c>
      <c r="AI11" s="161">
        <f t="shared" si="13"/>
        <v>108.71939364840588</v>
      </c>
      <c r="AJ11" s="161">
        <f t="shared" si="14"/>
        <v>251.35211625133178</v>
      </c>
      <c r="AK11" s="160">
        <f t="shared" si="15"/>
        <v>5</v>
      </c>
    </row>
    <row r="12" spans="1:37" x14ac:dyDescent="0.2">
      <c r="A12" s="62" t="s">
        <v>35</v>
      </c>
      <c r="B12" s="62" t="s">
        <v>60</v>
      </c>
      <c r="C12" s="62" t="s">
        <v>163</v>
      </c>
      <c r="D12" s="62"/>
      <c r="E12" s="62">
        <f t="shared" si="2"/>
        <v>19</v>
      </c>
      <c r="F12" s="128">
        <v>86</v>
      </c>
      <c r="G12" s="129">
        <v>216.96103754220331</v>
      </c>
      <c r="H12" s="129">
        <v>173.42052424846977</v>
      </c>
      <c r="I12" s="129">
        <v>268.0832849163188</v>
      </c>
      <c r="J12" s="129"/>
      <c r="K12" s="129"/>
      <c r="L12" s="129"/>
      <c r="M12" s="60">
        <f t="shared" si="0"/>
        <v>5</v>
      </c>
      <c r="N12" s="61">
        <f t="shared" si="3"/>
        <v>70.066647490413089</v>
      </c>
      <c r="O12" s="61">
        <f t="shared" si="16"/>
        <v>172.35971798956672</v>
      </c>
      <c r="P12" s="129">
        <f t="shared" si="4"/>
        <v>204.14706785210666</v>
      </c>
      <c r="Q12" s="129">
        <f t="shared" si="5"/>
        <v>192.8521776079748</v>
      </c>
      <c r="R12" s="129">
        <f t="shared" si="6"/>
        <v>215.92444609743353</v>
      </c>
      <c r="S12" s="61">
        <f t="shared" si="7"/>
        <v>227.02512790699762</v>
      </c>
      <c r="T12" s="61">
        <f t="shared" si="1"/>
        <v>386.97649423620487</v>
      </c>
      <c r="U12" s="61">
        <f t="shared" si="17"/>
        <v>204.31179726569945</v>
      </c>
      <c r="V12" s="61"/>
      <c r="Y12" s="159" t="s">
        <v>50</v>
      </c>
      <c r="Z12" s="159" t="s">
        <v>161</v>
      </c>
      <c r="AA12" s="159" t="s">
        <v>163</v>
      </c>
      <c r="AB12" s="159">
        <f t="shared" si="8"/>
        <v>6</v>
      </c>
      <c r="AC12" s="164">
        <f t="shared" si="18"/>
        <v>169.43843963881977</v>
      </c>
      <c r="AD12" s="164">
        <f t="shared" si="9"/>
        <v>243.42839452961715</v>
      </c>
      <c r="AE12" s="159"/>
      <c r="AF12" s="159">
        <f t="shared" si="10"/>
        <v>18</v>
      </c>
      <c r="AG12" s="160">
        <f t="shared" si="11"/>
        <v>29</v>
      </c>
      <c r="AH12" s="161">
        <f t="shared" si="12"/>
        <v>210.10207176822084</v>
      </c>
      <c r="AI12" s="161">
        <f t="shared" si="13"/>
        <v>140.36532442942357</v>
      </c>
      <c r="AJ12" s="161">
        <f t="shared" si="14"/>
        <v>302.16737415872853</v>
      </c>
      <c r="AK12" s="160">
        <f t="shared" si="15"/>
        <v>5</v>
      </c>
    </row>
    <row r="13" spans="1:37" x14ac:dyDescent="0.2">
      <c r="A13" s="62" t="s">
        <v>36</v>
      </c>
      <c r="B13" s="62" t="s">
        <v>61</v>
      </c>
      <c r="C13" s="62" t="s">
        <v>201</v>
      </c>
      <c r="D13" s="62"/>
      <c r="E13" s="62">
        <f t="shared" si="2"/>
        <v>2</v>
      </c>
      <c r="F13" s="128">
        <v>10</v>
      </c>
      <c r="G13" s="129">
        <v>81.199567856405849</v>
      </c>
      <c r="H13" s="129">
        <v>15.167029455747391</v>
      </c>
      <c r="I13" s="129">
        <v>187.50249127712138</v>
      </c>
      <c r="J13" s="129"/>
      <c r="K13" s="129"/>
      <c r="L13" s="129"/>
      <c r="M13" s="60">
        <f t="shared" si="0"/>
        <v>2</v>
      </c>
      <c r="N13" s="61">
        <f t="shared" si="3"/>
        <v>70.066647490413089</v>
      </c>
      <c r="O13" s="61">
        <f t="shared" si="16"/>
        <v>172.35971798956672</v>
      </c>
      <c r="P13" s="129">
        <f t="shared" si="4"/>
        <v>204.14706785210666</v>
      </c>
      <c r="Q13" s="129">
        <f t="shared" si="5"/>
        <v>192.8521776079748</v>
      </c>
      <c r="R13" s="129">
        <f t="shared" si="6"/>
        <v>215.92444609743353</v>
      </c>
      <c r="S13" s="61">
        <f t="shared" si="7"/>
        <v>227.02512790699762</v>
      </c>
      <c r="T13" s="61">
        <f t="shared" si="1"/>
        <v>386.97649423620487</v>
      </c>
      <c r="U13" s="61">
        <f t="shared" si="17"/>
        <v>195.80543987035691</v>
      </c>
      <c r="V13" s="61"/>
      <c r="Y13" s="159" t="s">
        <v>53</v>
      </c>
      <c r="Z13" s="159" t="s">
        <v>162</v>
      </c>
      <c r="AA13" s="159" t="s">
        <v>163</v>
      </c>
      <c r="AB13" s="159">
        <f>RANK(AH13,$AH$6:$AH$13,1)</f>
        <v>3</v>
      </c>
      <c r="AC13" s="164">
        <f t="shared" si="18"/>
        <v>169.43843963881977</v>
      </c>
      <c r="AD13" s="164">
        <f t="shared" si="9"/>
        <v>243.42839452961715</v>
      </c>
      <c r="AE13" s="159"/>
      <c r="AF13" s="159">
        <f t="shared" si="10"/>
        <v>13</v>
      </c>
      <c r="AG13" s="160">
        <f t="shared" si="11"/>
        <v>142</v>
      </c>
      <c r="AH13" s="161">
        <f t="shared" si="12"/>
        <v>201.59756459366105</v>
      </c>
      <c r="AI13" s="161">
        <f t="shared" si="13"/>
        <v>169.48512027786725</v>
      </c>
      <c r="AJ13" s="161">
        <f t="shared" si="14"/>
        <v>237.975636795963</v>
      </c>
      <c r="AK13" s="160">
        <f t="shared" si="15"/>
        <v>5</v>
      </c>
    </row>
    <row r="14" spans="1:37" x14ac:dyDescent="0.2">
      <c r="A14" s="62" t="s">
        <v>37</v>
      </c>
      <c r="B14" s="62" t="s">
        <v>157</v>
      </c>
      <c r="C14" s="62" t="s">
        <v>201</v>
      </c>
      <c r="D14" s="62"/>
      <c r="E14" s="62">
        <f t="shared" si="2"/>
        <v>12</v>
      </c>
      <c r="F14" s="128">
        <v>55</v>
      </c>
      <c r="G14" s="129">
        <v>194.66833014860259</v>
      </c>
      <c r="H14" s="129">
        <v>141.53513491532817</v>
      </c>
      <c r="I14" s="129">
        <v>259.63581764312772</v>
      </c>
      <c r="J14" s="129"/>
      <c r="K14" s="129"/>
      <c r="L14" s="129"/>
      <c r="M14" s="60">
        <f t="shared" si="0"/>
        <v>5</v>
      </c>
      <c r="N14" s="61">
        <f t="shared" si="3"/>
        <v>70.066647490413089</v>
      </c>
      <c r="O14" s="61">
        <f t="shared" si="16"/>
        <v>172.35971798956672</v>
      </c>
      <c r="P14" s="129">
        <f t="shared" si="4"/>
        <v>204.14706785210666</v>
      </c>
      <c r="Q14" s="129">
        <f t="shared" si="5"/>
        <v>192.8521776079748</v>
      </c>
      <c r="R14" s="129">
        <f t="shared" si="6"/>
        <v>215.92444609743353</v>
      </c>
      <c r="S14" s="61">
        <f t="shared" si="7"/>
        <v>227.02512790699762</v>
      </c>
      <c r="T14" s="61">
        <f t="shared" si="1"/>
        <v>386.97649423620487</v>
      </c>
      <c r="U14" s="61">
        <f t="shared" si="17"/>
        <v>195.80543987035691</v>
      </c>
      <c r="V14" s="61"/>
      <c r="Y14" s="162" t="s">
        <v>29</v>
      </c>
      <c r="Z14" s="162" t="s">
        <v>55</v>
      </c>
      <c r="AA14" s="162" t="s">
        <v>201</v>
      </c>
      <c r="AB14" s="162">
        <f>RANK(AH14,$AH$14:$AH$22,1)</f>
        <v>7</v>
      </c>
      <c r="AC14" s="165">
        <f t="shared" ref="AC14:AC22" si="19">MIN($AH$14:$AH$22)</f>
        <v>70.066647490413089</v>
      </c>
      <c r="AD14" s="165">
        <f>MAX($AH$14:$AH$22)</f>
        <v>386.97649423620487</v>
      </c>
      <c r="AE14" s="162"/>
      <c r="AF14" s="162">
        <f t="shared" si="10"/>
        <v>17</v>
      </c>
      <c r="AG14" s="167">
        <f t="shared" si="11"/>
        <v>31</v>
      </c>
      <c r="AH14" s="165">
        <f t="shared" si="12"/>
        <v>208.23606773471346</v>
      </c>
      <c r="AI14" s="165">
        <f t="shared" si="13"/>
        <v>140.34282149805458</v>
      </c>
      <c r="AJ14" s="165">
        <f t="shared" si="14"/>
        <v>297.04647681725231</v>
      </c>
      <c r="AK14" s="167">
        <f t="shared" si="15"/>
        <v>5</v>
      </c>
    </row>
    <row r="15" spans="1:37" x14ac:dyDescent="0.2">
      <c r="A15" s="62" t="s">
        <v>38</v>
      </c>
      <c r="B15" s="62" t="s">
        <v>62</v>
      </c>
      <c r="C15" s="62" t="s">
        <v>201</v>
      </c>
      <c r="D15" s="62"/>
      <c r="E15" s="62">
        <f t="shared" si="2"/>
        <v>8</v>
      </c>
      <c r="F15" s="128">
        <v>32</v>
      </c>
      <c r="G15" s="129">
        <v>173.57145432239011</v>
      </c>
      <c r="H15" s="129">
        <v>118.5271109476881</v>
      </c>
      <c r="I15" s="129">
        <v>245.26735125352607</v>
      </c>
      <c r="J15" s="129"/>
      <c r="K15" s="129"/>
      <c r="L15" s="129"/>
      <c r="M15" s="60">
        <f t="shared" si="0"/>
        <v>5</v>
      </c>
      <c r="N15" s="61">
        <f t="shared" si="3"/>
        <v>70.066647490413089</v>
      </c>
      <c r="O15" s="61">
        <f t="shared" si="16"/>
        <v>172.35971798956672</v>
      </c>
      <c r="P15" s="129">
        <f t="shared" si="4"/>
        <v>204.14706785210666</v>
      </c>
      <c r="Q15" s="129">
        <f t="shared" si="5"/>
        <v>192.8521776079748</v>
      </c>
      <c r="R15" s="129">
        <f t="shared" si="6"/>
        <v>215.92444609743353</v>
      </c>
      <c r="S15" s="61">
        <f t="shared" si="7"/>
        <v>227.02512790699762</v>
      </c>
      <c r="T15" s="61">
        <f t="shared" si="1"/>
        <v>386.97649423620487</v>
      </c>
      <c r="U15" s="61">
        <f t="shared" si="17"/>
        <v>195.80543987035691</v>
      </c>
      <c r="V15" s="61"/>
      <c r="Y15" s="162" t="s">
        <v>32</v>
      </c>
      <c r="Z15" s="162" t="s">
        <v>156</v>
      </c>
      <c r="AA15" s="162" t="s">
        <v>201</v>
      </c>
      <c r="AB15" s="162">
        <f>RANK(AH15,$AH$14:$AH$22,1)</f>
        <v>8</v>
      </c>
      <c r="AC15" s="165">
        <f t="shared" si="19"/>
        <v>70.066647490413089</v>
      </c>
      <c r="AD15" s="165">
        <f t="shared" ref="AD15:AD22" si="20">MAX($AH$14:$AH$22)</f>
        <v>386.97649423620487</v>
      </c>
      <c r="AE15" s="162"/>
      <c r="AF15" s="162">
        <f t="shared" si="10"/>
        <v>21</v>
      </c>
      <c r="AG15" s="167">
        <f t="shared" si="11"/>
        <v>62</v>
      </c>
      <c r="AH15" s="165">
        <f t="shared" si="12"/>
        <v>238.08554792999732</v>
      </c>
      <c r="AI15" s="165">
        <f t="shared" si="13"/>
        <v>180.46906527393827</v>
      </c>
      <c r="AJ15" s="165">
        <f t="shared" si="14"/>
        <v>307.70944373555454</v>
      </c>
      <c r="AK15" s="167">
        <f t="shared" si="15"/>
        <v>5</v>
      </c>
    </row>
    <row r="16" spans="1:37" x14ac:dyDescent="0.2">
      <c r="A16" s="62" t="s">
        <v>39</v>
      </c>
      <c r="B16" s="62" t="s">
        <v>158</v>
      </c>
      <c r="C16" s="62" t="s">
        <v>200</v>
      </c>
      <c r="D16" s="62"/>
      <c r="E16" s="62">
        <f t="shared" si="2"/>
        <v>10</v>
      </c>
      <c r="F16" s="128">
        <v>57</v>
      </c>
      <c r="G16" s="129">
        <v>194.26499013706342</v>
      </c>
      <c r="H16" s="129">
        <v>146.26656439103056</v>
      </c>
      <c r="I16" s="129">
        <v>252.74378157141018</v>
      </c>
      <c r="J16" s="129"/>
      <c r="K16" s="129"/>
      <c r="L16" s="129"/>
      <c r="M16" s="60">
        <f t="shared" si="0"/>
        <v>5</v>
      </c>
      <c r="N16" s="61">
        <f t="shared" si="3"/>
        <v>70.066647490413089</v>
      </c>
      <c r="O16" s="61">
        <f t="shared" si="16"/>
        <v>172.35971798956672</v>
      </c>
      <c r="P16" s="129">
        <f t="shared" si="4"/>
        <v>204.14706785210666</v>
      </c>
      <c r="Q16" s="129">
        <f t="shared" si="5"/>
        <v>192.8521776079748</v>
      </c>
      <c r="R16" s="129">
        <f t="shared" si="6"/>
        <v>215.92444609743353</v>
      </c>
      <c r="S16" s="61">
        <f t="shared" si="7"/>
        <v>227.02512790699762</v>
      </c>
      <c r="T16" s="61">
        <f t="shared" si="1"/>
        <v>386.97649423620487</v>
      </c>
      <c r="U16" s="61">
        <f t="shared" si="17"/>
        <v>210.94408404142479</v>
      </c>
      <c r="V16" s="61"/>
      <c r="Y16" s="162" t="s">
        <v>36</v>
      </c>
      <c r="Z16" s="162" t="s">
        <v>61</v>
      </c>
      <c r="AA16" s="162" t="s">
        <v>201</v>
      </c>
      <c r="AB16" s="162">
        <f>RANK(AH16,$AH$14:$AH$22,1)</f>
        <v>2</v>
      </c>
      <c r="AC16" s="165">
        <f t="shared" si="19"/>
        <v>70.066647490413089</v>
      </c>
      <c r="AD16" s="165">
        <f t="shared" si="20"/>
        <v>386.97649423620487</v>
      </c>
      <c r="AE16" s="162"/>
      <c r="AF16" s="162">
        <f t="shared" si="10"/>
        <v>2</v>
      </c>
      <c r="AG16" s="167">
        <f t="shared" si="11"/>
        <v>10</v>
      </c>
      <c r="AH16" s="165">
        <f t="shared" si="12"/>
        <v>81.199567856405849</v>
      </c>
      <c r="AI16" s="165">
        <f t="shared" si="13"/>
        <v>15.167029455747391</v>
      </c>
      <c r="AJ16" s="165">
        <f t="shared" si="14"/>
        <v>187.50249127712138</v>
      </c>
      <c r="AK16" s="167">
        <f t="shared" si="15"/>
        <v>2</v>
      </c>
    </row>
    <row r="17" spans="1:37" x14ac:dyDescent="0.2">
      <c r="A17" s="62" t="s">
        <v>40</v>
      </c>
      <c r="B17" s="62" t="s">
        <v>63</v>
      </c>
      <c r="C17" s="62" t="s">
        <v>200</v>
      </c>
      <c r="D17" s="62"/>
      <c r="E17" s="62">
        <f t="shared" si="2"/>
        <v>15</v>
      </c>
      <c r="F17" s="128">
        <v>44</v>
      </c>
      <c r="G17" s="129">
        <v>205.82559883702513</v>
      </c>
      <c r="H17" s="129">
        <v>148.17660925613475</v>
      </c>
      <c r="I17" s="129">
        <v>278.02379003951199</v>
      </c>
      <c r="J17" s="129"/>
      <c r="K17" s="129"/>
      <c r="L17" s="129"/>
      <c r="M17" s="60">
        <f t="shared" si="0"/>
        <v>5</v>
      </c>
      <c r="N17" s="61">
        <f t="shared" si="3"/>
        <v>70.066647490413089</v>
      </c>
      <c r="O17" s="61">
        <f t="shared" si="16"/>
        <v>172.35971798956672</v>
      </c>
      <c r="P17" s="129">
        <f t="shared" si="4"/>
        <v>204.14706785210666</v>
      </c>
      <c r="Q17" s="129">
        <f t="shared" si="5"/>
        <v>192.8521776079748</v>
      </c>
      <c r="R17" s="129">
        <f t="shared" si="6"/>
        <v>215.92444609743353</v>
      </c>
      <c r="S17" s="61">
        <f t="shared" si="7"/>
        <v>227.02512790699762</v>
      </c>
      <c r="T17" s="61">
        <f t="shared" si="1"/>
        <v>386.97649423620487</v>
      </c>
      <c r="U17" s="61">
        <f t="shared" si="17"/>
        <v>210.94408404142479</v>
      </c>
      <c r="V17" s="61"/>
      <c r="Y17" s="162" t="s">
        <v>37</v>
      </c>
      <c r="Z17" s="162" t="s">
        <v>157</v>
      </c>
      <c r="AA17" s="162" t="s">
        <v>201</v>
      </c>
      <c r="AB17" s="162">
        <f t="shared" ref="AB17:AB22" si="21">RANK(AH17,$AH$14:$AH$22,1)</f>
        <v>6</v>
      </c>
      <c r="AC17" s="165">
        <f t="shared" si="19"/>
        <v>70.066647490413089</v>
      </c>
      <c r="AD17" s="165">
        <f>MAX($AH$14:$AH$22)</f>
        <v>386.97649423620487</v>
      </c>
      <c r="AE17" s="162"/>
      <c r="AF17" s="162">
        <f t="shared" si="10"/>
        <v>12</v>
      </c>
      <c r="AG17" s="167">
        <f t="shared" si="11"/>
        <v>55</v>
      </c>
      <c r="AH17" s="165">
        <f t="shared" si="12"/>
        <v>194.66833014860259</v>
      </c>
      <c r="AI17" s="165">
        <f t="shared" si="13"/>
        <v>141.53513491532817</v>
      </c>
      <c r="AJ17" s="165">
        <f t="shared" si="14"/>
        <v>259.63581764312772</v>
      </c>
      <c r="AK17" s="167">
        <f t="shared" si="15"/>
        <v>5</v>
      </c>
    </row>
    <row r="18" spans="1:37" x14ac:dyDescent="0.2">
      <c r="A18" s="62" t="s">
        <v>41</v>
      </c>
      <c r="B18" s="62" t="s">
        <v>64</v>
      </c>
      <c r="C18" s="62" t="s">
        <v>163</v>
      </c>
      <c r="D18" s="62"/>
      <c r="E18" s="62">
        <f t="shared" si="2"/>
        <v>14</v>
      </c>
      <c r="F18" s="128">
        <v>72</v>
      </c>
      <c r="G18" s="129">
        <v>204.56671816375254</v>
      </c>
      <c r="H18" s="129">
        <v>159.92587548731169</v>
      </c>
      <c r="I18" s="129">
        <v>257.7746422067861</v>
      </c>
      <c r="J18" s="129"/>
      <c r="K18" s="129"/>
      <c r="L18" s="129"/>
      <c r="M18" s="60">
        <f t="shared" si="0"/>
        <v>5</v>
      </c>
      <c r="N18" s="61">
        <f t="shared" si="3"/>
        <v>70.066647490413089</v>
      </c>
      <c r="O18" s="61">
        <f t="shared" si="16"/>
        <v>172.35971798956672</v>
      </c>
      <c r="P18" s="129">
        <f t="shared" si="4"/>
        <v>204.14706785210666</v>
      </c>
      <c r="Q18" s="129">
        <f t="shared" si="5"/>
        <v>192.8521776079748</v>
      </c>
      <c r="R18" s="129">
        <f t="shared" si="6"/>
        <v>215.92444609743353</v>
      </c>
      <c r="S18" s="61">
        <f t="shared" si="7"/>
        <v>227.02512790699762</v>
      </c>
      <c r="T18" s="61">
        <f t="shared" si="1"/>
        <v>386.97649423620487</v>
      </c>
      <c r="U18" s="61">
        <f t="shared" si="17"/>
        <v>204.31179726569945</v>
      </c>
      <c r="V18" s="61"/>
      <c r="Y18" s="162" t="s">
        <v>38</v>
      </c>
      <c r="Z18" s="162" t="s">
        <v>62</v>
      </c>
      <c r="AA18" s="162" t="s">
        <v>201</v>
      </c>
      <c r="AB18" s="162">
        <f t="shared" si="21"/>
        <v>4</v>
      </c>
      <c r="AC18" s="165">
        <f t="shared" si="19"/>
        <v>70.066647490413089</v>
      </c>
      <c r="AD18" s="165">
        <f t="shared" si="20"/>
        <v>386.97649423620487</v>
      </c>
      <c r="AE18" s="162"/>
      <c r="AF18" s="162">
        <f t="shared" si="10"/>
        <v>8</v>
      </c>
      <c r="AG18" s="167">
        <f t="shared" si="11"/>
        <v>32</v>
      </c>
      <c r="AH18" s="165">
        <f t="shared" si="12"/>
        <v>173.57145432239011</v>
      </c>
      <c r="AI18" s="165">
        <f t="shared" si="13"/>
        <v>118.5271109476881</v>
      </c>
      <c r="AJ18" s="165">
        <f t="shared" si="14"/>
        <v>245.26735125352607</v>
      </c>
      <c r="AK18" s="167">
        <f t="shared" si="15"/>
        <v>5</v>
      </c>
    </row>
    <row r="19" spans="1:37" x14ac:dyDescent="0.2">
      <c r="A19" s="62" t="s">
        <v>42</v>
      </c>
      <c r="B19" s="62" t="s">
        <v>65</v>
      </c>
      <c r="C19" s="62" t="s">
        <v>200</v>
      </c>
      <c r="D19" s="62"/>
      <c r="E19" s="62">
        <f t="shared" si="2"/>
        <v>25</v>
      </c>
      <c r="F19" s="128">
        <v>22</v>
      </c>
      <c r="G19" s="129">
        <v>265.04393836549673</v>
      </c>
      <c r="H19" s="129">
        <v>163.53908728474411</v>
      </c>
      <c r="I19" s="129">
        <v>404.74535550814005</v>
      </c>
      <c r="J19" s="129"/>
      <c r="K19" s="129"/>
      <c r="L19" s="129"/>
      <c r="M19" s="60">
        <f t="shared" si="0"/>
        <v>5</v>
      </c>
      <c r="N19" s="61">
        <f t="shared" si="3"/>
        <v>70.066647490413089</v>
      </c>
      <c r="O19" s="61">
        <f t="shared" si="16"/>
        <v>172.35971798956672</v>
      </c>
      <c r="P19" s="129">
        <f t="shared" si="4"/>
        <v>204.14706785210666</v>
      </c>
      <c r="Q19" s="129">
        <f t="shared" si="5"/>
        <v>192.8521776079748</v>
      </c>
      <c r="R19" s="129">
        <f t="shared" si="6"/>
        <v>215.92444609743353</v>
      </c>
      <c r="S19" s="61">
        <f t="shared" si="7"/>
        <v>227.02512790699762</v>
      </c>
      <c r="T19" s="61">
        <f t="shared" si="1"/>
        <v>386.97649423620487</v>
      </c>
      <c r="U19" s="61">
        <f t="shared" si="17"/>
        <v>210.94408404142479</v>
      </c>
      <c r="V19" s="61"/>
      <c r="Y19" s="162" t="s">
        <v>43</v>
      </c>
      <c r="Z19" s="162" t="s">
        <v>159</v>
      </c>
      <c r="AA19" s="162" t="s">
        <v>201</v>
      </c>
      <c r="AB19" s="162">
        <f t="shared" si="21"/>
        <v>5</v>
      </c>
      <c r="AC19" s="165">
        <f t="shared" si="19"/>
        <v>70.066647490413089</v>
      </c>
      <c r="AD19" s="165">
        <f t="shared" si="20"/>
        <v>386.97649423620487</v>
      </c>
      <c r="AE19" s="162"/>
      <c r="AF19" s="162">
        <f t="shared" si="10"/>
        <v>9</v>
      </c>
      <c r="AG19" s="167">
        <f t="shared" si="11"/>
        <v>43</v>
      </c>
      <c r="AH19" s="165">
        <f t="shared" si="12"/>
        <v>190.32789514855691</v>
      </c>
      <c r="AI19" s="165">
        <f t="shared" si="13"/>
        <v>136.80144335337681</v>
      </c>
      <c r="AJ19" s="165">
        <f t="shared" si="14"/>
        <v>257.53938156936414</v>
      </c>
      <c r="AK19" s="167">
        <f t="shared" si="15"/>
        <v>5</v>
      </c>
    </row>
    <row r="20" spans="1:37" x14ac:dyDescent="0.2">
      <c r="A20" s="62" t="s">
        <v>43</v>
      </c>
      <c r="B20" s="62" t="s">
        <v>159</v>
      </c>
      <c r="C20" s="62" t="s">
        <v>201</v>
      </c>
      <c r="D20" s="62"/>
      <c r="E20" s="62">
        <f t="shared" si="2"/>
        <v>9</v>
      </c>
      <c r="F20" s="128">
        <v>43</v>
      </c>
      <c r="G20" s="129">
        <v>190.32789514855691</v>
      </c>
      <c r="H20" s="129">
        <v>136.80144335337681</v>
      </c>
      <c r="I20" s="129">
        <v>257.53938156936414</v>
      </c>
      <c r="J20" s="129"/>
      <c r="K20" s="129"/>
      <c r="L20" s="129"/>
      <c r="M20" s="60">
        <f t="shared" si="0"/>
        <v>5</v>
      </c>
      <c r="N20" s="61">
        <f t="shared" si="3"/>
        <v>70.066647490413089</v>
      </c>
      <c r="O20" s="61">
        <f t="shared" si="16"/>
        <v>172.35971798956672</v>
      </c>
      <c r="P20" s="129">
        <f t="shared" si="4"/>
        <v>204.14706785210666</v>
      </c>
      <c r="Q20" s="129">
        <f t="shared" si="5"/>
        <v>192.8521776079748</v>
      </c>
      <c r="R20" s="129">
        <f t="shared" si="6"/>
        <v>215.92444609743353</v>
      </c>
      <c r="S20" s="61">
        <f t="shared" si="7"/>
        <v>227.02512790699762</v>
      </c>
      <c r="T20" s="61">
        <f t="shared" si="1"/>
        <v>386.97649423620487</v>
      </c>
      <c r="U20" s="61">
        <f t="shared" si="17"/>
        <v>195.80543987035691</v>
      </c>
      <c r="V20" s="61"/>
      <c r="Y20" s="162" t="s">
        <v>48</v>
      </c>
      <c r="Z20" s="162" t="s">
        <v>160</v>
      </c>
      <c r="AA20" s="162" t="s">
        <v>201</v>
      </c>
      <c r="AB20" s="162">
        <f t="shared" si="21"/>
        <v>3</v>
      </c>
      <c r="AC20" s="165">
        <f t="shared" si="19"/>
        <v>70.066647490413089</v>
      </c>
      <c r="AD20" s="165">
        <f t="shared" si="20"/>
        <v>386.97649423620487</v>
      </c>
      <c r="AE20" s="162"/>
      <c r="AF20" s="162">
        <f t="shared" si="10"/>
        <v>3</v>
      </c>
      <c r="AG20" s="167">
        <f t="shared" si="11"/>
        <v>19</v>
      </c>
      <c r="AH20" s="165">
        <f t="shared" si="12"/>
        <v>104.57904726288251</v>
      </c>
      <c r="AI20" s="165">
        <f t="shared" si="13"/>
        <v>62.812932385205222</v>
      </c>
      <c r="AJ20" s="165">
        <f t="shared" si="14"/>
        <v>163.49277903981482</v>
      </c>
      <c r="AK20" s="167">
        <f t="shared" si="15"/>
        <v>2</v>
      </c>
    </row>
    <row r="21" spans="1:37" x14ac:dyDescent="0.2">
      <c r="A21" s="62" t="s">
        <v>44</v>
      </c>
      <c r="B21" s="62" t="s">
        <v>66</v>
      </c>
      <c r="C21" s="62" t="s">
        <v>200</v>
      </c>
      <c r="D21" s="62"/>
      <c r="E21" s="62">
        <f t="shared" si="2"/>
        <v>5</v>
      </c>
      <c r="F21" s="128">
        <v>15</v>
      </c>
      <c r="G21" s="129">
        <v>141.7347002114972</v>
      </c>
      <c r="H21" s="129">
        <v>77.826394403945073</v>
      </c>
      <c r="I21" s="129">
        <v>235.91047068434804</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5</v>
      </c>
      <c r="N21" s="61">
        <f t="shared" si="3"/>
        <v>70.066647490413089</v>
      </c>
      <c r="O21" s="61">
        <f t="shared" si="16"/>
        <v>172.35971798956672</v>
      </c>
      <c r="P21" s="129">
        <f t="shared" si="4"/>
        <v>204.14706785210666</v>
      </c>
      <c r="Q21" s="129">
        <f t="shared" si="5"/>
        <v>192.8521776079748</v>
      </c>
      <c r="R21" s="129">
        <f t="shared" si="6"/>
        <v>215.92444609743353</v>
      </c>
      <c r="S21" s="61">
        <f t="shared" si="7"/>
        <v>227.02512790699762</v>
      </c>
      <c r="T21" s="61">
        <f t="shared" si="1"/>
        <v>386.97649423620487</v>
      </c>
      <c r="U21" s="61">
        <f t="shared" si="17"/>
        <v>210.94408404142479</v>
      </c>
      <c r="V21" s="61"/>
      <c r="Y21" s="162" t="s">
        <v>52</v>
      </c>
      <c r="Z21" s="162" t="s">
        <v>72</v>
      </c>
      <c r="AA21" s="162" t="s">
        <v>201</v>
      </c>
      <c r="AB21" s="162">
        <f t="shared" si="21"/>
        <v>9</v>
      </c>
      <c r="AC21" s="165">
        <f t="shared" si="19"/>
        <v>70.066647490413089</v>
      </c>
      <c r="AD21" s="165">
        <f t="shared" si="20"/>
        <v>386.97649423620487</v>
      </c>
      <c r="AE21" s="162"/>
      <c r="AF21" s="162">
        <f t="shared" si="10"/>
        <v>26</v>
      </c>
      <c r="AG21" s="167">
        <f t="shared" si="11"/>
        <v>16</v>
      </c>
      <c r="AH21" s="165">
        <f t="shared" si="12"/>
        <v>386.97649423620487</v>
      </c>
      <c r="AI21" s="165">
        <f t="shared" si="13"/>
        <v>218.42143280078639</v>
      </c>
      <c r="AJ21" s="165">
        <f t="shared" si="14"/>
        <v>632.28365566467335</v>
      </c>
      <c r="AK21" s="167">
        <f t="shared" si="15"/>
        <v>1</v>
      </c>
    </row>
    <row r="22" spans="1:37" x14ac:dyDescent="0.2">
      <c r="A22" s="62" t="s">
        <v>45</v>
      </c>
      <c r="B22" s="62" t="s">
        <v>67</v>
      </c>
      <c r="C22" s="62" t="s">
        <v>163</v>
      </c>
      <c r="D22" s="62"/>
      <c r="E22" s="62">
        <f t="shared" si="2"/>
        <v>16</v>
      </c>
      <c r="F22" s="128">
        <v>48</v>
      </c>
      <c r="G22" s="129">
        <v>206.10541685439284</v>
      </c>
      <c r="H22" s="129">
        <v>151.61401206807255</v>
      </c>
      <c r="I22" s="129">
        <v>273.69267811613361</v>
      </c>
      <c r="J22" s="129"/>
      <c r="K22" s="129"/>
      <c r="L22" s="129"/>
      <c r="M22" s="60">
        <f t="shared" si="0"/>
        <v>5</v>
      </c>
      <c r="N22" s="61">
        <f t="shared" si="3"/>
        <v>70.066647490413089</v>
      </c>
      <c r="O22" s="61">
        <f t="shared" si="16"/>
        <v>172.35971798956672</v>
      </c>
      <c r="P22" s="129">
        <f t="shared" si="4"/>
        <v>204.14706785210666</v>
      </c>
      <c r="Q22" s="129">
        <f t="shared" si="5"/>
        <v>192.8521776079748</v>
      </c>
      <c r="R22" s="129">
        <f t="shared" si="6"/>
        <v>215.92444609743353</v>
      </c>
      <c r="S22" s="61">
        <f t="shared" si="7"/>
        <v>227.02512790699762</v>
      </c>
      <c r="T22" s="61">
        <f t="shared" si="1"/>
        <v>386.97649423620487</v>
      </c>
      <c r="U22" s="61">
        <f>VLOOKUP(C22,$C$43:$I$46,5,FALSE)</f>
        <v>204.31179726569945</v>
      </c>
      <c r="V22" s="61"/>
      <c r="Y22" s="162" t="s">
        <v>54</v>
      </c>
      <c r="Z22" s="162" t="s">
        <v>73</v>
      </c>
      <c r="AA22" s="162" t="s">
        <v>201</v>
      </c>
      <c r="AB22" s="162">
        <f t="shared" si="21"/>
        <v>1</v>
      </c>
      <c r="AC22" s="165">
        <f t="shared" si="19"/>
        <v>70.066647490413089</v>
      </c>
      <c r="AD22" s="165">
        <f t="shared" si="20"/>
        <v>386.97649423620487</v>
      </c>
      <c r="AE22" s="162"/>
      <c r="AF22" s="162">
        <f t="shared" si="10"/>
        <v>1</v>
      </c>
      <c r="AG22" s="167">
        <f t="shared" si="11"/>
        <v>7</v>
      </c>
      <c r="AH22" s="165">
        <f t="shared" si="12"/>
        <v>70.066647490413089</v>
      </c>
      <c r="AI22" s="165">
        <f t="shared" si="13"/>
        <v>13.585594108370959</v>
      </c>
      <c r="AJ22" s="165">
        <f t="shared" si="14"/>
        <v>169.99913756401193</v>
      </c>
      <c r="AK22" s="167">
        <f t="shared" si="15"/>
        <v>2</v>
      </c>
    </row>
    <row r="23" spans="1:37" x14ac:dyDescent="0.2">
      <c r="A23" s="62" t="s">
        <v>46</v>
      </c>
      <c r="B23" s="62" t="s">
        <v>68</v>
      </c>
      <c r="C23" s="62" t="s">
        <v>163</v>
      </c>
      <c r="D23" s="62"/>
      <c r="E23" s="62">
        <f t="shared" si="2"/>
        <v>7</v>
      </c>
      <c r="F23" s="128">
        <v>63</v>
      </c>
      <c r="G23" s="129">
        <v>172.35971798956672</v>
      </c>
      <c r="H23" s="129">
        <v>132.23690165770424</v>
      </c>
      <c r="I23" s="129">
        <v>220.77055657985807</v>
      </c>
      <c r="J23" s="129"/>
      <c r="K23" s="129"/>
      <c r="L23" s="129"/>
      <c r="M23" s="60">
        <f t="shared" si="0"/>
        <v>5</v>
      </c>
      <c r="N23" s="61">
        <f t="shared" si="3"/>
        <v>70.066647490413089</v>
      </c>
      <c r="O23" s="61">
        <f t="shared" si="16"/>
        <v>172.35971798956672</v>
      </c>
      <c r="P23" s="129">
        <f t="shared" si="4"/>
        <v>204.14706785210666</v>
      </c>
      <c r="Q23" s="129">
        <f t="shared" si="5"/>
        <v>192.8521776079748</v>
      </c>
      <c r="R23" s="129">
        <f t="shared" si="6"/>
        <v>215.92444609743353</v>
      </c>
      <c r="S23" s="61">
        <f t="shared" si="7"/>
        <v>227.02512790699762</v>
      </c>
      <c r="T23" s="61">
        <f t="shared" si="1"/>
        <v>386.97649423620487</v>
      </c>
      <c r="U23" s="61">
        <f t="shared" si="17"/>
        <v>204.31179726569945</v>
      </c>
      <c r="V23" s="61"/>
      <c r="Y23" s="163" t="s">
        <v>30</v>
      </c>
      <c r="Z23" s="163" t="s">
        <v>56</v>
      </c>
      <c r="AA23" s="163" t="s">
        <v>200</v>
      </c>
      <c r="AB23" s="163">
        <f>RANK(AH23,$AH$23:$AH$31,1)</f>
        <v>8</v>
      </c>
      <c r="AC23" s="166">
        <f>MIN($AH$23:$AH$31)</f>
        <v>116.54035881419082</v>
      </c>
      <c r="AD23" s="166">
        <f>MAX($AH$23:$AH$31)</f>
        <v>265.04393836549673</v>
      </c>
      <c r="AE23" s="163"/>
      <c r="AF23" s="163">
        <f t="shared" si="10"/>
        <v>24</v>
      </c>
      <c r="AG23" s="168">
        <f t="shared" si="11"/>
        <v>83</v>
      </c>
      <c r="AH23" s="166">
        <f t="shared" si="12"/>
        <v>263.14016207186091</v>
      </c>
      <c r="AI23" s="166">
        <f t="shared" si="13"/>
        <v>208.8109741223509</v>
      </c>
      <c r="AJ23" s="166">
        <f t="shared" si="14"/>
        <v>327.1147486547768</v>
      </c>
      <c r="AK23" s="168">
        <f t="shared" si="15"/>
        <v>5</v>
      </c>
    </row>
    <row r="24" spans="1:37" x14ac:dyDescent="0.2">
      <c r="A24" s="62" t="s">
        <v>47</v>
      </c>
      <c r="B24" s="62" t="s">
        <v>69</v>
      </c>
      <c r="C24" s="62" t="s">
        <v>163</v>
      </c>
      <c r="D24" s="62"/>
      <c r="E24" s="62">
        <f t="shared" si="2"/>
        <v>6</v>
      </c>
      <c r="F24" s="128">
        <v>25</v>
      </c>
      <c r="G24" s="129">
        <v>169.43843963881977</v>
      </c>
      <c r="H24" s="129">
        <v>108.71939364840588</v>
      </c>
      <c r="I24" s="129">
        <v>251.35211625133178</v>
      </c>
      <c r="J24" s="129"/>
      <c r="K24" s="129"/>
      <c r="L24" s="129"/>
      <c r="M24" s="60">
        <f t="shared" si="0"/>
        <v>5</v>
      </c>
      <c r="N24" s="61">
        <f t="shared" si="3"/>
        <v>70.066647490413089</v>
      </c>
      <c r="O24" s="61">
        <f t="shared" si="16"/>
        <v>172.35971798956672</v>
      </c>
      <c r="P24" s="129">
        <f t="shared" si="4"/>
        <v>204.14706785210666</v>
      </c>
      <c r="Q24" s="129">
        <f t="shared" si="5"/>
        <v>192.8521776079748</v>
      </c>
      <c r="R24" s="129">
        <f t="shared" si="6"/>
        <v>215.92444609743353</v>
      </c>
      <c r="S24" s="61">
        <f t="shared" si="7"/>
        <v>227.02512790699762</v>
      </c>
      <c r="T24" s="61">
        <f t="shared" si="1"/>
        <v>386.97649423620487</v>
      </c>
      <c r="U24" s="61">
        <f t="shared" si="17"/>
        <v>204.31179726569945</v>
      </c>
      <c r="V24" s="61"/>
      <c r="Y24" s="163" t="s">
        <v>31</v>
      </c>
      <c r="Z24" s="163" t="s">
        <v>57</v>
      </c>
      <c r="AA24" s="163" t="s">
        <v>200</v>
      </c>
      <c r="AB24" s="163">
        <f t="shared" ref="AB24:AB31" si="22">RANK(AH24,$AH$23:$AH$31,1)</f>
        <v>4</v>
      </c>
      <c r="AC24" s="166">
        <f t="shared" ref="AC24:AC31" si="23">MIN($AH$23:$AH$31)</f>
        <v>116.54035881419082</v>
      </c>
      <c r="AD24" s="166">
        <f t="shared" ref="AD24:AD31" si="24">MAX($AH$23:$AH$31)</f>
        <v>265.04393836549673</v>
      </c>
      <c r="AE24" s="163"/>
      <c r="AF24" s="163">
        <f t="shared" si="10"/>
        <v>11</v>
      </c>
      <c r="AG24" s="168">
        <f t="shared" si="11"/>
        <v>70</v>
      </c>
      <c r="AH24" s="166">
        <f t="shared" si="12"/>
        <v>194.46903320311475</v>
      </c>
      <c r="AI24" s="166">
        <f t="shared" si="13"/>
        <v>151.5248194457667</v>
      </c>
      <c r="AJ24" s="166">
        <f t="shared" si="14"/>
        <v>245.78335000386176</v>
      </c>
      <c r="AK24" s="168">
        <f t="shared" si="15"/>
        <v>5</v>
      </c>
    </row>
    <row r="25" spans="1:37" x14ac:dyDescent="0.2">
      <c r="A25" s="62" t="s">
        <v>48</v>
      </c>
      <c r="B25" s="62" t="s">
        <v>160</v>
      </c>
      <c r="C25" s="62" t="s">
        <v>201</v>
      </c>
      <c r="D25" s="62"/>
      <c r="E25" s="62">
        <f t="shared" si="2"/>
        <v>3</v>
      </c>
      <c r="F25" s="128">
        <v>19</v>
      </c>
      <c r="G25" s="129">
        <v>104.57904726288251</v>
      </c>
      <c r="H25" s="129">
        <v>62.812932385205222</v>
      </c>
      <c r="I25" s="129">
        <v>163.49277903981482</v>
      </c>
      <c r="J25" s="129"/>
      <c r="K25" s="129"/>
      <c r="L25" s="129"/>
      <c r="M25" s="60">
        <f t="shared" si="0"/>
        <v>2</v>
      </c>
      <c r="N25" s="61">
        <f t="shared" si="3"/>
        <v>70.066647490413089</v>
      </c>
      <c r="O25" s="61">
        <f t="shared" si="16"/>
        <v>172.35971798956672</v>
      </c>
      <c r="P25" s="129">
        <f t="shared" si="4"/>
        <v>204.14706785210666</v>
      </c>
      <c r="Q25" s="129">
        <f t="shared" si="5"/>
        <v>192.8521776079748</v>
      </c>
      <c r="R25" s="129">
        <f t="shared" si="6"/>
        <v>215.92444609743353</v>
      </c>
      <c r="S25" s="61">
        <f t="shared" si="7"/>
        <v>227.02512790699762</v>
      </c>
      <c r="T25" s="61">
        <f t="shared" si="1"/>
        <v>386.97649423620487</v>
      </c>
      <c r="U25" s="61">
        <f t="shared" si="17"/>
        <v>195.80543987035691</v>
      </c>
      <c r="V25" s="61"/>
      <c r="Y25" s="163" t="s">
        <v>34</v>
      </c>
      <c r="Z25" s="163" t="s">
        <v>59</v>
      </c>
      <c r="AA25" s="163" t="s">
        <v>200</v>
      </c>
      <c r="AB25" s="163">
        <f t="shared" si="22"/>
        <v>7</v>
      </c>
      <c r="AC25" s="166">
        <f t="shared" si="23"/>
        <v>116.54035881419082</v>
      </c>
      <c r="AD25" s="166">
        <f t="shared" si="24"/>
        <v>265.04393836549673</v>
      </c>
      <c r="AE25" s="163"/>
      <c r="AF25" s="163">
        <f t="shared" si="10"/>
        <v>23</v>
      </c>
      <c r="AG25" s="168">
        <f t="shared" si="11"/>
        <v>83</v>
      </c>
      <c r="AH25" s="166">
        <f t="shared" si="12"/>
        <v>258.18622306999907</v>
      </c>
      <c r="AI25" s="166">
        <f t="shared" si="13"/>
        <v>204.61724771759822</v>
      </c>
      <c r="AJ25" s="166">
        <f t="shared" si="14"/>
        <v>321.26563178534991</v>
      </c>
      <c r="AK25" s="168">
        <f t="shared" si="15"/>
        <v>5</v>
      </c>
    </row>
    <row r="26" spans="1:37" x14ac:dyDescent="0.2">
      <c r="A26" s="62" t="s">
        <v>49</v>
      </c>
      <c r="B26" s="62" t="s">
        <v>70</v>
      </c>
      <c r="C26" s="62" t="s">
        <v>200</v>
      </c>
      <c r="D26" s="62"/>
      <c r="E26" s="62">
        <f t="shared" si="2"/>
        <v>4</v>
      </c>
      <c r="F26" s="128">
        <v>25</v>
      </c>
      <c r="G26" s="129">
        <v>116.54035881419082</v>
      </c>
      <c r="H26" s="129">
        <v>74.140203435575515</v>
      </c>
      <c r="I26" s="129">
        <v>173.74074066064611</v>
      </c>
      <c r="J26" s="129"/>
      <c r="K26" s="129"/>
      <c r="L26" s="129"/>
      <c r="M26" s="60">
        <f t="shared" si="0"/>
        <v>2</v>
      </c>
      <c r="N26" s="61">
        <f t="shared" si="3"/>
        <v>70.066647490413089</v>
      </c>
      <c r="O26" s="61">
        <f t="shared" si="16"/>
        <v>172.35971798956672</v>
      </c>
      <c r="P26" s="129">
        <f t="shared" si="4"/>
        <v>204.14706785210666</v>
      </c>
      <c r="Q26" s="129">
        <f t="shared" si="5"/>
        <v>192.8521776079748</v>
      </c>
      <c r="R26" s="129">
        <f t="shared" si="6"/>
        <v>215.92444609743353</v>
      </c>
      <c r="S26" s="61">
        <f t="shared" si="7"/>
        <v>227.02512790699762</v>
      </c>
      <c r="T26" s="61">
        <f t="shared" si="1"/>
        <v>386.97649423620487</v>
      </c>
      <c r="U26" s="61">
        <f t="shared" si="17"/>
        <v>210.94408404142479</v>
      </c>
      <c r="V26" s="61"/>
      <c r="Y26" s="163" t="s">
        <v>39</v>
      </c>
      <c r="Z26" s="163" t="s">
        <v>158</v>
      </c>
      <c r="AA26" s="163" t="s">
        <v>200</v>
      </c>
      <c r="AB26" s="163">
        <f t="shared" si="22"/>
        <v>3</v>
      </c>
      <c r="AC26" s="166">
        <f t="shared" si="23"/>
        <v>116.54035881419082</v>
      </c>
      <c r="AD26" s="166">
        <f t="shared" si="24"/>
        <v>265.04393836549673</v>
      </c>
      <c r="AE26" s="163"/>
      <c r="AF26" s="163">
        <f t="shared" si="10"/>
        <v>10</v>
      </c>
      <c r="AG26" s="168">
        <f t="shared" si="11"/>
        <v>57</v>
      </c>
      <c r="AH26" s="166">
        <f t="shared" si="12"/>
        <v>194.26499013706342</v>
      </c>
      <c r="AI26" s="166">
        <f t="shared" si="13"/>
        <v>146.26656439103056</v>
      </c>
      <c r="AJ26" s="166">
        <f t="shared" si="14"/>
        <v>252.74378157141018</v>
      </c>
      <c r="AK26" s="168">
        <f t="shared" si="15"/>
        <v>5</v>
      </c>
    </row>
    <row r="27" spans="1:37" x14ac:dyDescent="0.2">
      <c r="A27" s="62" t="s">
        <v>50</v>
      </c>
      <c r="B27" s="62" t="s">
        <v>161</v>
      </c>
      <c r="C27" s="62" t="s">
        <v>163</v>
      </c>
      <c r="D27" s="62"/>
      <c r="E27" s="62">
        <f t="shared" si="2"/>
        <v>18</v>
      </c>
      <c r="F27" s="128">
        <v>29</v>
      </c>
      <c r="G27" s="129">
        <v>210.10207176822084</v>
      </c>
      <c r="H27" s="129">
        <v>140.36532442942357</v>
      </c>
      <c r="I27" s="129">
        <v>302.16737415872853</v>
      </c>
      <c r="J27" s="129"/>
      <c r="K27" s="129"/>
      <c r="L27" s="129"/>
      <c r="M27" s="60">
        <f t="shared" si="0"/>
        <v>5</v>
      </c>
      <c r="N27" s="61">
        <f t="shared" si="3"/>
        <v>70.066647490413089</v>
      </c>
      <c r="O27" s="61">
        <f t="shared" si="16"/>
        <v>172.35971798956672</v>
      </c>
      <c r="P27" s="129">
        <f t="shared" si="4"/>
        <v>204.14706785210666</v>
      </c>
      <c r="Q27" s="129">
        <f t="shared" si="5"/>
        <v>192.8521776079748</v>
      </c>
      <c r="R27" s="129">
        <f t="shared" si="6"/>
        <v>215.92444609743353</v>
      </c>
      <c r="S27" s="61">
        <f t="shared" si="7"/>
        <v>227.02512790699762</v>
      </c>
      <c r="T27" s="61">
        <f t="shared" si="1"/>
        <v>386.97649423620487</v>
      </c>
      <c r="U27" s="61">
        <f t="shared" si="17"/>
        <v>204.31179726569945</v>
      </c>
      <c r="V27" s="61"/>
      <c r="Y27" s="163" t="s">
        <v>40</v>
      </c>
      <c r="Z27" s="163" t="s">
        <v>63</v>
      </c>
      <c r="AA27" s="163" t="s">
        <v>200</v>
      </c>
      <c r="AB27" s="163">
        <f t="shared" si="22"/>
        <v>5</v>
      </c>
      <c r="AC27" s="166">
        <f t="shared" si="23"/>
        <v>116.54035881419082</v>
      </c>
      <c r="AD27" s="166">
        <f t="shared" si="24"/>
        <v>265.04393836549673</v>
      </c>
      <c r="AE27" s="163"/>
      <c r="AF27" s="163">
        <f t="shared" si="10"/>
        <v>15</v>
      </c>
      <c r="AG27" s="168">
        <f t="shared" si="11"/>
        <v>44</v>
      </c>
      <c r="AH27" s="166">
        <f t="shared" si="12"/>
        <v>205.82559883702513</v>
      </c>
      <c r="AI27" s="166">
        <f t="shared" si="13"/>
        <v>148.17660925613475</v>
      </c>
      <c r="AJ27" s="166">
        <f t="shared" si="14"/>
        <v>278.02379003951199</v>
      </c>
      <c r="AK27" s="168">
        <f t="shared" si="15"/>
        <v>5</v>
      </c>
    </row>
    <row r="28" spans="1:37" x14ac:dyDescent="0.2">
      <c r="A28" s="62" t="s">
        <v>51</v>
      </c>
      <c r="B28" s="62" t="s">
        <v>71</v>
      </c>
      <c r="C28" s="62" t="s">
        <v>200</v>
      </c>
      <c r="D28" s="62"/>
      <c r="E28" s="62">
        <f t="shared" si="2"/>
        <v>20</v>
      </c>
      <c r="F28" s="128">
        <v>22</v>
      </c>
      <c r="G28" s="129">
        <v>227.02512790699762</v>
      </c>
      <c r="H28" s="129">
        <v>139.53168676878849</v>
      </c>
      <c r="I28" s="129">
        <v>347.44260143218156</v>
      </c>
      <c r="J28" s="129"/>
      <c r="K28" s="129"/>
      <c r="L28" s="129"/>
      <c r="M28" s="60">
        <f t="shared" si="0"/>
        <v>5</v>
      </c>
      <c r="N28" s="61">
        <f t="shared" si="3"/>
        <v>70.066647490413089</v>
      </c>
      <c r="O28" s="61">
        <f t="shared" si="16"/>
        <v>172.35971798956672</v>
      </c>
      <c r="P28" s="129">
        <f t="shared" si="4"/>
        <v>204.14706785210666</v>
      </c>
      <c r="Q28" s="129">
        <f t="shared" si="5"/>
        <v>192.8521776079748</v>
      </c>
      <c r="R28" s="129">
        <f t="shared" si="6"/>
        <v>215.92444609743353</v>
      </c>
      <c r="S28" s="61">
        <f t="shared" si="7"/>
        <v>227.02512790699762</v>
      </c>
      <c r="T28" s="61">
        <f t="shared" si="1"/>
        <v>386.97649423620487</v>
      </c>
      <c r="U28" s="61">
        <f t="shared" si="17"/>
        <v>210.94408404142479</v>
      </c>
      <c r="V28" s="61"/>
      <c r="Y28" s="163" t="s">
        <v>42</v>
      </c>
      <c r="Z28" s="163" t="s">
        <v>65</v>
      </c>
      <c r="AA28" s="163" t="s">
        <v>200</v>
      </c>
      <c r="AB28" s="163">
        <f t="shared" si="22"/>
        <v>9</v>
      </c>
      <c r="AC28" s="166">
        <f t="shared" si="23"/>
        <v>116.54035881419082</v>
      </c>
      <c r="AD28" s="166">
        <f t="shared" si="24"/>
        <v>265.04393836549673</v>
      </c>
      <c r="AE28" s="163"/>
      <c r="AF28" s="163">
        <f t="shared" si="10"/>
        <v>25</v>
      </c>
      <c r="AG28" s="168">
        <f t="shared" si="11"/>
        <v>22</v>
      </c>
      <c r="AH28" s="166">
        <f t="shared" si="12"/>
        <v>265.04393836549673</v>
      </c>
      <c r="AI28" s="166">
        <f t="shared" si="13"/>
        <v>163.53908728474411</v>
      </c>
      <c r="AJ28" s="166">
        <f t="shared" si="14"/>
        <v>404.74535550814005</v>
      </c>
      <c r="AK28" s="168">
        <f t="shared" si="15"/>
        <v>5</v>
      </c>
    </row>
    <row r="29" spans="1:37" x14ac:dyDescent="0.2">
      <c r="A29" s="62" t="s">
        <v>52</v>
      </c>
      <c r="B29" s="62" t="s">
        <v>72</v>
      </c>
      <c r="C29" s="62" t="s">
        <v>201</v>
      </c>
      <c r="D29" s="62"/>
      <c r="E29" s="62">
        <f t="shared" si="2"/>
        <v>26</v>
      </c>
      <c r="F29" s="128">
        <v>16</v>
      </c>
      <c r="G29" s="129">
        <v>386.97649423620487</v>
      </c>
      <c r="H29" s="129">
        <v>218.42143280078639</v>
      </c>
      <c r="I29" s="129">
        <v>632.28365566467335</v>
      </c>
      <c r="J29" s="129"/>
      <c r="K29" s="129"/>
      <c r="L29" s="129"/>
      <c r="M29" s="60">
        <f t="shared" si="0"/>
        <v>1</v>
      </c>
      <c r="N29" s="61">
        <f t="shared" si="3"/>
        <v>70.066647490413089</v>
      </c>
      <c r="O29" s="61">
        <f t="shared" si="16"/>
        <v>172.35971798956672</v>
      </c>
      <c r="P29" s="129">
        <f t="shared" si="4"/>
        <v>204.14706785210666</v>
      </c>
      <c r="Q29" s="129">
        <f t="shared" si="5"/>
        <v>192.8521776079748</v>
      </c>
      <c r="R29" s="129">
        <f t="shared" si="6"/>
        <v>215.92444609743353</v>
      </c>
      <c r="S29" s="61">
        <f t="shared" si="7"/>
        <v>227.02512790699762</v>
      </c>
      <c r="T29" s="61">
        <f t="shared" si="1"/>
        <v>386.97649423620487</v>
      </c>
      <c r="U29" s="61">
        <f t="shared" si="17"/>
        <v>195.80543987035691</v>
      </c>
      <c r="V29" s="61"/>
      <c r="Y29" s="163" t="s">
        <v>44</v>
      </c>
      <c r="Z29" s="163" t="s">
        <v>66</v>
      </c>
      <c r="AA29" s="163" t="s">
        <v>200</v>
      </c>
      <c r="AB29" s="163">
        <f t="shared" si="22"/>
        <v>2</v>
      </c>
      <c r="AC29" s="166">
        <f t="shared" si="23"/>
        <v>116.54035881419082</v>
      </c>
      <c r="AD29" s="166">
        <f t="shared" si="24"/>
        <v>265.04393836549673</v>
      </c>
      <c r="AE29" s="163"/>
      <c r="AF29" s="163">
        <f t="shared" si="10"/>
        <v>5</v>
      </c>
      <c r="AG29" s="168">
        <f t="shared" si="11"/>
        <v>15</v>
      </c>
      <c r="AH29" s="166">
        <f t="shared" si="12"/>
        <v>141.7347002114972</v>
      </c>
      <c r="AI29" s="166">
        <f t="shared" si="13"/>
        <v>77.826394403945073</v>
      </c>
      <c r="AJ29" s="166">
        <f t="shared" si="14"/>
        <v>235.91047068434804</v>
      </c>
      <c r="AK29" s="168">
        <f t="shared" si="15"/>
        <v>5</v>
      </c>
    </row>
    <row r="30" spans="1:37" x14ac:dyDescent="0.2">
      <c r="A30" s="62" t="s">
        <v>53</v>
      </c>
      <c r="B30" s="62" t="s">
        <v>162</v>
      </c>
      <c r="C30" s="62" t="s">
        <v>163</v>
      </c>
      <c r="D30" s="62"/>
      <c r="E30" s="62">
        <f t="shared" si="2"/>
        <v>13</v>
      </c>
      <c r="F30" s="128">
        <v>142</v>
      </c>
      <c r="G30" s="129">
        <v>201.59756459366105</v>
      </c>
      <c r="H30" s="129">
        <v>169.48512027786725</v>
      </c>
      <c r="I30" s="129">
        <v>237.975636795963</v>
      </c>
      <c r="J30" s="129"/>
      <c r="K30" s="129"/>
      <c r="L30" s="129"/>
      <c r="M30" s="60">
        <f t="shared" si="0"/>
        <v>5</v>
      </c>
      <c r="N30" s="61">
        <f t="shared" si="3"/>
        <v>70.066647490413089</v>
      </c>
      <c r="O30" s="61">
        <f t="shared" si="16"/>
        <v>172.35971798956672</v>
      </c>
      <c r="P30" s="129">
        <f>$G$32</f>
        <v>204.14706785210666</v>
      </c>
      <c r="Q30" s="129">
        <f t="shared" si="5"/>
        <v>192.8521776079748</v>
      </c>
      <c r="R30" s="129">
        <f t="shared" si="6"/>
        <v>215.92444609743353</v>
      </c>
      <c r="S30" s="61">
        <f t="shared" si="7"/>
        <v>227.02512790699762</v>
      </c>
      <c r="T30" s="61">
        <f t="shared" si="1"/>
        <v>386.97649423620487</v>
      </c>
      <c r="U30" s="61">
        <f t="shared" si="17"/>
        <v>204.31179726569945</v>
      </c>
      <c r="V30" s="61"/>
      <c r="Y30" s="163" t="s">
        <v>49</v>
      </c>
      <c r="Z30" s="163" t="s">
        <v>70</v>
      </c>
      <c r="AA30" s="163" t="s">
        <v>200</v>
      </c>
      <c r="AB30" s="163">
        <f t="shared" si="22"/>
        <v>1</v>
      </c>
      <c r="AC30" s="166">
        <f t="shared" si="23"/>
        <v>116.54035881419082</v>
      </c>
      <c r="AD30" s="166">
        <f t="shared" si="24"/>
        <v>265.04393836549673</v>
      </c>
      <c r="AE30" s="163"/>
      <c r="AF30" s="163">
        <f t="shared" si="10"/>
        <v>4</v>
      </c>
      <c r="AG30" s="168">
        <f t="shared" si="11"/>
        <v>25</v>
      </c>
      <c r="AH30" s="166">
        <f t="shared" si="12"/>
        <v>116.54035881419082</v>
      </c>
      <c r="AI30" s="166">
        <f t="shared" si="13"/>
        <v>74.140203435575515</v>
      </c>
      <c r="AJ30" s="166">
        <f t="shared" si="14"/>
        <v>173.74074066064611</v>
      </c>
      <c r="AK30" s="168">
        <f t="shared" si="15"/>
        <v>2</v>
      </c>
    </row>
    <row r="31" spans="1:37" x14ac:dyDescent="0.2">
      <c r="A31" s="62" t="s">
        <v>54</v>
      </c>
      <c r="B31" s="62" t="s">
        <v>73</v>
      </c>
      <c r="C31" s="62" t="s">
        <v>201</v>
      </c>
      <c r="D31" s="62"/>
      <c r="E31" s="62">
        <f t="shared" si="2"/>
        <v>1</v>
      </c>
      <c r="F31" s="128">
        <v>7</v>
      </c>
      <c r="G31" s="129">
        <v>70.066647490413089</v>
      </c>
      <c r="H31" s="129">
        <v>13.585594108370959</v>
      </c>
      <c r="I31" s="129">
        <v>169.99913756401193</v>
      </c>
      <c r="J31" s="129"/>
      <c r="K31" s="129"/>
      <c r="L31" s="129"/>
      <c r="M31" s="60">
        <f t="shared" si="0"/>
        <v>2</v>
      </c>
      <c r="N31" s="61">
        <f t="shared" si="3"/>
        <v>70.066647490413089</v>
      </c>
      <c r="O31" s="61">
        <f t="shared" si="16"/>
        <v>172.35971798956672</v>
      </c>
      <c r="P31" s="129">
        <f t="shared" si="4"/>
        <v>204.14706785210666</v>
      </c>
      <c r="Q31" s="129">
        <f t="shared" si="5"/>
        <v>192.8521776079748</v>
      </c>
      <c r="R31" s="129">
        <f t="shared" si="6"/>
        <v>215.92444609743353</v>
      </c>
      <c r="S31" s="61">
        <f t="shared" si="7"/>
        <v>227.02512790699762</v>
      </c>
      <c r="T31" s="61">
        <f t="shared" si="1"/>
        <v>386.97649423620487</v>
      </c>
      <c r="U31" s="61">
        <f t="shared" si="17"/>
        <v>195.80543987035691</v>
      </c>
      <c r="V31" s="61"/>
      <c r="Y31" s="163" t="s">
        <v>51</v>
      </c>
      <c r="Z31" s="163" t="s">
        <v>71</v>
      </c>
      <c r="AA31" s="163" t="s">
        <v>200</v>
      </c>
      <c r="AB31" s="163">
        <f t="shared" si="22"/>
        <v>6</v>
      </c>
      <c r="AC31" s="166">
        <f t="shared" si="23"/>
        <v>116.54035881419082</v>
      </c>
      <c r="AD31" s="166">
        <f t="shared" si="24"/>
        <v>265.04393836549673</v>
      </c>
      <c r="AE31" s="163"/>
      <c r="AF31" s="163">
        <f t="shared" si="10"/>
        <v>20</v>
      </c>
      <c r="AG31" s="168">
        <f t="shared" si="11"/>
        <v>22</v>
      </c>
      <c r="AH31" s="166">
        <f t="shared" si="12"/>
        <v>227.02512790699762</v>
      </c>
      <c r="AI31" s="166">
        <f t="shared" si="13"/>
        <v>139.53168676878849</v>
      </c>
      <c r="AJ31" s="166">
        <f t="shared" si="14"/>
        <v>347.44260143218156</v>
      </c>
      <c r="AK31" s="168">
        <f t="shared" si="15"/>
        <v>5</v>
      </c>
    </row>
    <row r="32" spans="1:37" x14ac:dyDescent="0.2">
      <c r="A32" s="62"/>
      <c r="B32" s="62" t="s">
        <v>171</v>
      </c>
      <c r="C32" s="62"/>
      <c r="D32" s="62"/>
      <c r="E32" s="62"/>
      <c r="F32" s="128">
        <v>1252</v>
      </c>
      <c r="G32" s="129">
        <v>204.14706785210666</v>
      </c>
      <c r="H32" s="129">
        <v>192.8521776079748</v>
      </c>
      <c r="I32" s="129">
        <v>215.92444609743353</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532</v>
      </c>
      <c r="G44" s="129">
        <v>204.31179726569945</v>
      </c>
      <c r="H44" s="129">
        <v>187.24850254109253</v>
      </c>
      <c r="I44" s="129">
        <v>222.50731623218388</v>
      </c>
      <c r="J44" s="129">
        <f>VLOOKUP($C44,$AA$6:$AD$13,3,FALSE)</f>
        <v>169.43843963881977</v>
      </c>
      <c r="K44" s="129">
        <f>VLOOKUP($C44,$AA$6:$AD$13,4,FALSE)</f>
        <v>243.42839452961715</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5</v>
      </c>
      <c r="N44" s="61">
        <f>MIN($G$6:$G$31)</f>
        <v>70.066647490413089</v>
      </c>
      <c r="O44" s="61">
        <f>VLOOKUP(7,$E$5:$G$39,3,FALSE)</f>
        <v>172.35971798956672</v>
      </c>
      <c r="P44" s="129">
        <f>$G$32</f>
        <v>204.14706785210666</v>
      </c>
      <c r="Q44" s="129">
        <f>$H$32</f>
        <v>192.8521776079748</v>
      </c>
      <c r="R44" s="129">
        <f>$I$32</f>
        <v>215.92444609743353</v>
      </c>
      <c r="S44" s="61">
        <f>VLOOKUP(20,$E$5:$G$39,3,FALSE)</f>
        <v>227.02512790699762</v>
      </c>
      <c r="T44" s="61">
        <f>MAX($G$6:$G$31)</f>
        <v>386.97649423620487</v>
      </c>
    </row>
    <row r="45" spans="1:22" x14ac:dyDescent="0.2">
      <c r="C45" s="62" t="s">
        <v>201</v>
      </c>
      <c r="D45" s="62"/>
      <c r="E45" s="62"/>
      <c r="F45" s="128">
        <v>299</v>
      </c>
      <c r="G45" s="129">
        <v>195.80543987035691</v>
      </c>
      <c r="H45" s="129">
        <v>173.17051042080496</v>
      </c>
      <c r="I45" s="129">
        <v>220.46795100755051</v>
      </c>
      <c r="J45" s="129">
        <f>VLOOKUP($C45,$AA$14:$AD$22,3,FALSE)</f>
        <v>70.066647490413089</v>
      </c>
      <c r="K45" s="129">
        <f>VLOOKUP($C45,$AA$14:$AD$22,4,FALSE)</f>
        <v>386.97649423620487</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5</v>
      </c>
      <c r="N45" s="61">
        <f>MIN($G$6:$G$31)</f>
        <v>70.066647490413089</v>
      </c>
      <c r="O45" s="61">
        <f>VLOOKUP(7,$E$5:$G$39,3,FALSE)</f>
        <v>172.35971798956672</v>
      </c>
      <c r="P45" s="129">
        <f>$G$32</f>
        <v>204.14706785210666</v>
      </c>
      <c r="Q45" s="129">
        <f t="shared" ref="Q45:Q46" si="25">$H$32</f>
        <v>192.8521776079748</v>
      </c>
      <c r="R45" s="129">
        <f t="shared" ref="R45:R46" si="26">$I$32</f>
        <v>215.92444609743353</v>
      </c>
      <c r="S45" s="61">
        <f>VLOOKUP(20,$E$5:$G$39,3,FALSE)</f>
        <v>227.02512790699762</v>
      </c>
      <c r="T45" s="61">
        <f t="shared" ref="T45:T46" si="27">MAX($G$6:$G$31)</f>
        <v>386.97649423620487</v>
      </c>
    </row>
    <row r="46" spans="1:22" x14ac:dyDescent="0.2">
      <c r="C46" s="62" t="s">
        <v>200</v>
      </c>
      <c r="D46" s="62"/>
      <c r="E46" s="62"/>
      <c r="F46" s="128">
        <v>421</v>
      </c>
      <c r="G46" s="129">
        <v>210.94408404142479</v>
      </c>
      <c r="H46" s="129">
        <v>191.10016764939988</v>
      </c>
      <c r="I46" s="129">
        <v>232.2747811150808</v>
      </c>
      <c r="J46" s="129">
        <f>VLOOKUP($C46,$AA$23:$AD$31,3,FALSE)</f>
        <v>116.54035881419082</v>
      </c>
      <c r="K46" s="129">
        <f>VLOOKUP($C46,$AA$23:$AD$31,4,FALSE)</f>
        <v>265.04393836549673</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5</v>
      </c>
      <c r="N46" s="61">
        <f>MIN($G$6:$G$31)</f>
        <v>70.066647490413089</v>
      </c>
      <c r="O46" s="61">
        <f>VLOOKUP(7,$E$5:$G$39,3,FALSE)</f>
        <v>172.35971798956672</v>
      </c>
      <c r="P46" s="129">
        <f t="shared" ref="P46" si="28">$G$32</f>
        <v>204.14706785210666</v>
      </c>
      <c r="Q46" s="129">
        <f t="shared" si="25"/>
        <v>192.8521776079748</v>
      </c>
      <c r="R46" s="129">
        <f t="shared" si="26"/>
        <v>215.92444609743353</v>
      </c>
      <c r="S46" s="61">
        <f>VLOOKUP(20,$E$5:$G$39,3,FALSE)</f>
        <v>227.02512790699762</v>
      </c>
      <c r="T46" s="61">
        <f t="shared" si="27"/>
        <v>386.97649423620487</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C2:D2" xr:uid="{00000000-0002-0000-1100-000000000000}">
      <formula1>"Better / Worse,Higher / Lower,Significance not measured"</formula1>
    </dataValidation>
    <dataValidation type="list" allowBlank="1" showInputMessage="1" showErrorMessage="1" sqref="K2:N2" xr:uid="{00000000-0002-0000-1100-000001000000}">
      <formula1>"High = Worst,Low = Worst"</formula1>
    </dataValidation>
  </dataValidations>
  <pageMargins left="0.75" right="0.75" top="1" bottom="1"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theme="6" tint="0.39997558519241921"/>
  </sheetPr>
  <dimension ref="A1:AK55"/>
  <sheetViews>
    <sheetView workbookViewId="0">
      <selection activeCell="F6" sqref="F6:F31"/>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8" width="7.33203125" style="21" customWidth="1"/>
    <col min="9" max="9" width="6.886718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5.554687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18</v>
      </c>
      <c r="F6" s="128">
        <v>1077</v>
      </c>
      <c r="G6" s="129">
        <v>187.41878550891593</v>
      </c>
      <c r="H6" s="129">
        <v>175.76804016906146</v>
      </c>
      <c r="I6" s="129">
        <v>199.60711317661099</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5</v>
      </c>
      <c r="N6" s="61">
        <f>MIN($G$6:$G$32)</f>
        <v>85.335855567458964</v>
      </c>
      <c r="O6" s="61">
        <f>VLOOKUP(7,$E$5:$G$39,3,FALSE)</f>
        <v>153.27069412093047</v>
      </c>
      <c r="P6" s="129">
        <f>$G$32</f>
        <v>177.10942742743939</v>
      </c>
      <c r="Q6" s="129">
        <f>$H$32</f>
        <v>175.25797022114097</v>
      </c>
      <c r="R6" s="129">
        <f>$I$32</f>
        <v>178.97528152529867</v>
      </c>
      <c r="S6" s="61">
        <f>VLOOKUP(20,$E$5:$G$39,3,FALSE)</f>
        <v>198.35777426836756</v>
      </c>
      <c r="T6" s="61">
        <f t="shared" ref="T6:T31" si="1">MAX($G$6:$G$31)</f>
        <v>228.71451664344383</v>
      </c>
      <c r="U6" s="61">
        <f>VLOOKUP(C6,$C$43:$I$46,5,FALSE)</f>
        <v>155.59867612594553</v>
      </c>
      <c r="V6" s="61"/>
      <c r="Y6" s="159" t="s">
        <v>33</v>
      </c>
      <c r="Z6" s="159" t="s">
        <v>58</v>
      </c>
      <c r="AA6" s="159" t="s">
        <v>163</v>
      </c>
      <c r="AB6" s="159">
        <f>RANK(AH6,$AH$6:$AH$13,1)</f>
        <v>2</v>
      </c>
      <c r="AC6" s="164">
        <f>MIN($AH$6:$AH$13)</f>
        <v>142.85581263851503</v>
      </c>
      <c r="AD6" s="164">
        <f>MAX($AH$6:$AH$13)</f>
        <v>207.26130039389551</v>
      </c>
      <c r="AE6" s="159"/>
      <c r="AF6" s="159">
        <f>VLOOKUP($Y6,$A$6:$I$31,5,FALSE)</f>
        <v>7</v>
      </c>
      <c r="AG6" s="160">
        <f>VLOOKUP($Y6,$A$6:$I$31,6,FALSE)</f>
        <v>1555</v>
      </c>
      <c r="AH6" s="161">
        <f>VLOOKUP($Y6,$A$6:$I$31,7,FALSE)</f>
        <v>153.27069412093047</v>
      </c>
      <c r="AI6" s="161">
        <f>VLOOKUP($Y6,$A$6:$I$31,8,FALSE)</f>
        <v>145.62014628335399</v>
      </c>
      <c r="AJ6" s="161">
        <f>VLOOKUP($Y6,$A$6:$I$31,9,FALSE)</f>
        <v>161.2137875255097</v>
      </c>
      <c r="AK6" s="160">
        <f>VLOOKUP($Y6,$A$6:$M$31,13,FALSE)</f>
        <v>2</v>
      </c>
    </row>
    <row r="7" spans="1:37" x14ac:dyDescent="0.2">
      <c r="A7" s="62" t="s">
        <v>30</v>
      </c>
      <c r="B7" s="62" t="s">
        <v>56</v>
      </c>
      <c r="C7" s="62" t="s">
        <v>200</v>
      </c>
      <c r="D7" s="62"/>
      <c r="E7" s="62">
        <f t="shared" ref="E7:E31" si="2">RANK(G7,$G$6:$G$31,1)</f>
        <v>24</v>
      </c>
      <c r="F7" s="128">
        <v>2063</v>
      </c>
      <c r="G7" s="129">
        <v>207.68092907445583</v>
      </c>
      <c r="H7" s="129">
        <v>198.70521382416794</v>
      </c>
      <c r="I7" s="129">
        <v>216.95380272861487</v>
      </c>
      <c r="J7" s="129"/>
      <c r="K7" s="129"/>
      <c r="L7" s="129"/>
      <c r="M7" s="60">
        <f t="shared" si="0"/>
        <v>1</v>
      </c>
      <c r="N7" s="61">
        <f t="shared" ref="N7:N31" si="3">MIN($G$6:$G$32)</f>
        <v>85.335855567458964</v>
      </c>
      <c r="O7" s="61">
        <f>VLOOKUP(7,$E$5:$G$39,3,FALSE)</f>
        <v>153.27069412093047</v>
      </c>
      <c r="P7" s="129">
        <f t="shared" ref="P7:P31" si="4">$G$32</f>
        <v>177.10942742743939</v>
      </c>
      <c r="Q7" s="129">
        <f t="shared" ref="Q7:Q31" si="5">$H$32</f>
        <v>175.25797022114097</v>
      </c>
      <c r="R7" s="129">
        <f t="shared" ref="R7:R31" si="6">$I$32</f>
        <v>178.97528152529867</v>
      </c>
      <c r="S7" s="61">
        <f t="shared" ref="S7:S31" si="7">VLOOKUP(20,$E$5:$G$39,3,FALSE)</f>
        <v>198.35777426836756</v>
      </c>
      <c r="T7" s="61">
        <f t="shared" si="1"/>
        <v>228.71451664344383</v>
      </c>
      <c r="U7" s="61">
        <f>VLOOKUP(C7,$C$43:$I$46,5,FALSE)</f>
        <v>189.57973969778232</v>
      </c>
      <c r="V7" s="61"/>
      <c r="Y7" s="159" t="s">
        <v>35</v>
      </c>
      <c r="Z7" s="159" t="s">
        <v>60</v>
      </c>
      <c r="AA7" s="159" t="s">
        <v>163</v>
      </c>
      <c r="AB7" s="159">
        <f t="shared" ref="AB7:AB12" si="8">RANK(AH7,$AH$6:$AH$13,1)</f>
        <v>6</v>
      </c>
      <c r="AC7" s="164">
        <f>MIN($AH$6:$AH$13)</f>
        <v>142.85581263851503</v>
      </c>
      <c r="AD7" s="164">
        <f t="shared" ref="AD7:AD13" si="9">MAX($AH$6:$AH$13)</f>
        <v>207.26130039389551</v>
      </c>
      <c r="AE7" s="159"/>
      <c r="AF7" s="159">
        <f t="shared" ref="AF7:AF31" si="10">VLOOKUP($Y7,$A$6:$I$31,5,FALSE)</f>
        <v>19</v>
      </c>
      <c r="AG7" s="160">
        <f t="shared" ref="AG7:AG31" si="11">VLOOKUP($Y7,$A$6:$I$31,6,FALSE)</f>
        <v>2468</v>
      </c>
      <c r="AH7" s="161">
        <f t="shared" ref="AH7:AH31" si="12">VLOOKUP($Y7,$A$6:$I$31,7,FALSE)</f>
        <v>191.28125621486367</v>
      </c>
      <c r="AI7" s="161">
        <f t="shared" ref="AI7:AI31" si="13">VLOOKUP($Y7,$A$6:$I$31,8,FALSE)</f>
        <v>183.76680720111509</v>
      </c>
      <c r="AJ7" s="161">
        <f t="shared" ref="AJ7:AJ31" si="14">VLOOKUP($Y7,$A$6:$I$31,9,FALSE)</f>
        <v>199.02280525399462</v>
      </c>
      <c r="AK7" s="160">
        <f t="shared" ref="AK7:AK31" si="15">VLOOKUP($Y7,$A$6:$M$31,13,FALSE)</f>
        <v>1</v>
      </c>
    </row>
    <row r="8" spans="1:37" x14ac:dyDescent="0.2">
      <c r="A8" s="62" t="s">
        <v>31</v>
      </c>
      <c r="B8" s="62" t="s">
        <v>57</v>
      </c>
      <c r="C8" s="62" t="s">
        <v>200</v>
      </c>
      <c r="D8" s="62"/>
      <c r="E8" s="62">
        <f t="shared" si="2"/>
        <v>9</v>
      </c>
      <c r="F8" s="128">
        <v>1876</v>
      </c>
      <c r="G8" s="129">
        <v>156.41883253764595</v>
      </c>
      <c r="H8" s="129">
        <v>149.39066963429741</v>
      </c>
      <c r="I8" s="129">
        <v>163.69121346827518</v>
      </c>
      <c r="J8" s="129"/>
      <c r="K8" s="129"/>
      <c r="L8" s="129"/>
      <c r="M8" s="60">
        <f t="shared" si="0"/>
        <v>2</v>
      </c>
      <c r="N8" s="61">
        <f t="shared" si="3"/>
        <v>85.335855567458964</v>
      </c>
      <c r="O8" s="61">
        <f t="shared" ref="O8:O31" si="16">VLOOKUP(7,$E$5:$G$39,3,FALSE)</f>
        <v>153.27069412093047</v>
      </c>
      <c r="P8" s="129">
        <f t="shared" si="4"/>
        <v>177.10942742743939</v>
      </c>
      <c r="Q8" s="129">
        <f t="shared" si="5"/>
        <v>175.25797022114097</v>
      </c>
      <c r="R8" s="129">
        <f t="shared" si="6"/>
        <v>178.97528152529867</v>
      </c>
      <c r="S8" s="61">
        <f t="shared" si="7"/>
        <v>198.35777426836756</v>
      </c>
      <c r="T8" s="61">
        <f t="shared" si="1"/>
        <v>228.71451664344383</v>
      </c>
      <c r="U8" s="61">
        <f t="shared" ref="U8:U31" si="17">VLOOKUP(C8,$C$43:$I$46,5,FALSE)</f>
        <v>189.57973969778232</v>
      </c>
      <c r="V8" s="61"/>
      <c r="Y8" s="159" t="s">
        <v>41</v>
      </c>
      <c r="Z8" s="159" t="s">
        <v>64</v>
      </c>
      <c r="AA8" s="159" t="s">
        <v>163</v>
      </c>
      <c r="AB8" s="159">
        <f t="shared" si="8"/>
        <v>8</v>
      </c>
      <c r="AC8" s="164">
        <f t="shared" ref="AC8:AC13" si="18">MIN($AH$6:$AH$13)</f>
        <v>142.85581263851503</v>
      </c>
      <c r="AD8" s="164">
        <f>MAX($AH$6:$AH$13)</f>
        <v>207.26130039389551</v>
      </c>
      <c r="AE8" s="159"/>
      <c r="AF8" s="159">
        <f t="shared" si="10"/>
        <v>23</v>
      </c>
      <c r="AG8" s="160">
        <f t="shared" si="11"/>
        <v>2233</v>
      </c>
      <c r="AH8" s="161">
        <f t="shared" si="12"/>
        <v>207.26130039389551</v>
      </c>
      <c r="AI8" s="161">
        <f t="shared" si="13"/>
        <v>198.70795603665209</v>
      </c>
      <c r="AJ8" s="161">
        <f t="shared" si="14"/>
        <v>216.08663544467416</v>
      </c>
      <c r="AK8" s="160">
        <f t="shared" si="15"/>
        <v>1</v>
      </c>
    </row>
    <row r="9" spans="1:37" x14ac:dyDescent="0.2">
      <c r="A9" s="62" t="s">
        <v>32</v>
      </c>
      <c r="B9" s="62" t="s">
        <v>156</v>
      </c>
      <c r="C9" s="62" t="s">
        <v>201</v>
      </c>
      <c r="D9" s="62"/>
      <c r="E9" s="62">
        <f t="shared" si="2"/>
        <v>13</v>
      </c>
      <c r="F9" s="128">
        <v>1520</v>
      </c>
      <c r="G9" s="129">
        <v>169.56383900015541</v>
      </c>
      <c r="H9" s="129">
        <v>160.60276028830523</v>
      </c>
      <c r="I9" s="129">
        <v>178.87158169761022</v>
      </c>
      <c r="J9" s="129"/>
      <c r="K9" s="129"/>
      <c r="L9" s="129"/>
      <c r="M9" s="60">
        <f t="shared" si="0"/>
        <v>5</v>
      </c>
      <c r="N9" s="61">
        <f t="shared" si="3"/>
        <v>85.335855567458964</v>
      </c>
      <c r="O9" s="61">
        <f t="shared" si="16"/>
        <v>153.27069412093047</v>
      </c>
      <c r="P9" s="129">
        <f t="shared" si="4"/>
        <v>177.10942742743939</v>
      </c>
      <c r="Q9" s="129">
        <f t="shared" si="5"/>
        <v>175.25797022114097</v>
      </c>
      <c r="R9" s="129">
        <f t="shared" si="6"/>
        <v>178.97528152529867</v>
      </c>
      <c r="S9" s="61">
        <f t="shared" si="7"/>
        <v>198.35777426836756</v>
      </c>
      <c r="T9" s="61">
        <f t="shared" si="1"/>
        <v>228.71451664344383</v>
      </c>
      <c r="U9" s="61">
        <f t="shared" si="17"/>
        <v>155.59867612594553</v>
      </c>
      <c r="V9" s="61"/>
      <c r="X9" s="63"/>
      <c r="Y9" s="159" t="s">
        <v>45</v>
      </c>
      <c r="Z9" s="159" t="s">
        <v>67</v>
      </c>
      <c r="AA9" s="159" t="s">
        <v>163</v>
      </c>
      <c r="AB9" s="159">
        <f t="shared" si="8"/>
        <v>3</v>
      </c>
      <c r="AC9" s="164">
        <f t="shared" si="18"/>
        <v>142.85581263851503</v>
      </c>
      <c r="AD9" s="164">
        <f t="shared" si="9"/>
        <v>207.26130039389551</v>
      </c>
      <c r="AE9" s="159"/>
      <c r="AF9" s="159">
        <f t="shared" si="10"/>
        <v>8</v>
      </c>
      <c r="AG9" s="160">
        <f t="shared" si="11"/>
        <v>1193</v>
      </c>
      <c r="AH9" s="161">
        <f t="shared" si="12"/>
        <v>156.33164766149793</v>
      </c>
      <c r="AI9" s="161">
        <f t="shared" si="13"/>
        <v>147.51426175555474</v>
      </c>
      <c r="AJ9" s="161">
        <f t="shared" si="14"/>
        <v>165.53511050681612</v>
      </c>
      <c r="AK9" s="160">
        <f t="shared" si="15"/>
        <v>2</v>
      </c>
    </row>
    <row r="10" spans="1:37" x14ac:dyDescent="0.2">
      <c r="A10" s="62" t="s">
        <v>33</v>
      </c>
      <c r="B10" s="62" t="s">
        <v>58</v>
      </c>
      <c r="C10" s="62" t="s">
        <v>163</v>
      </c>
      <c r="D10" s="62"/>
      <c r="E10" s="62">
        <f t="shared" si="2"/>
        <v>7</v>
      </c>
      <c r="F10" s="128">
        <v>1555</v>
      </c>
      <c r="G10" s="129">
        <v>153.27069412093047</v>
      </c>
      <c r="H10" s="129">
        <v>145.62014628335399</v>
      </c>
      <c r="I10" s="129">
        <v>161.2137875255097</v>
      </c>
      <c r="J10" s="129"/>
      <c r="K10" s="129"/>
      <c r="L10" s="129"/>
      <c r="M10" s="60">
        <f t="shared" si="0"/>
        <v>2</v>
      </c>
      <c r="N10" s="61">
        <f t="shared" si="3"/>
        <v>85.335855567458964</v>
      </c>
      <c r="O10" s="61">
        <f t="shared" si="16"/>
        <v>153.27069412093047</v>
      </c>
      <c r="P10" s="129">
        <f t="shared" si="4"/>
        <v>177.10942742743939</v>
      </c>
      <c r="Q10" s="129">
        <f t="shared" si="5"/>
        <v>175.25797022114097</v>
      </c>
      <c r="R10" s="129">
        <f t="shared" si="6"/>
        <v>178.97528152529867</v>
      </c>
      <c r="S10" s="61">
        <f t="shared" si="7"/>
        <v>198.35777426836756</v>
      </c>
      <c r="T10" s="61">
        <f t="shared" si="1"/>
        <v>228.71451664344383</v>
      </c>
      <c r="U10" s="61">
        <f t="shared" si="17"/>
        <v>182.41164829957881</v>
      </c>
      <c r="V10" s="61"/>
      <c r="Y10" s="159" t="s">
        <v>46</v>
      </c>
      <c r="Z10" s="159" t="s">
        <v>68</v>
      </c>
      <c r="AA10" s="159" t="s">
        <v>163</v>
      </c>
      <c r="AB10" s="159">
        <f t="shared" si="8"/>
        <v>5</v>
      </c>
      <c r="AC10" s="164">
        <f t="shared" si="18"/>
        <v>142.85581263851503</v>
      </c>
      <c r="AD10" s="164">
        <f t="shared" si="9"/>
        <v>207.26130039389551</v>
      </c>
      <c r="AE10" s="159"/>
      <c r="AF10" s="159">
        <f t="shared" si="10"/>
        <v>15</v>
      </c>
      <c r="AG10" s="160">
        <f t="shared" si="11"/>
        <v>2134</v>
      </c>
      <c r="AH10" s="161">
        <f t="shared" si="12"/>
        <v>180.70386499539637</v>
      </c>
      <c r="AI10" s="161">
        <f t="shared" si="13"/>
        <v>173.04669280261086</v>
      </c>
      <c r="AJ10" s="161">
        <f t="shared" si="14"/>
        <v>188.61021391280488</v>
      </c>
      <c r="AK10" s="160">
        <f t="shared" si="15"/>
        <v>5</v>
      </c>
    </row>
    <row r="11" spans="1:37" x14ac:dyDescent="0.2">
      <c r="A11" s="62" t="s">
        <v>34</v>
      </c>
      <c r="B11" s="62" t="s">
        <v>59</v>
      </c>
      <c r="C11" s="62" t="s">
        <v>200</v>
      </c>
      <c r="D11" s="62"/>
      <c r="E11" s="62">
        <f t="shared" si="2"/>
        <v>21</v>
      </c>
      <c r="F11" s="128">
        <v>2402</v>
      </c>
      <c r="G11" s="129">
        <v>199.29076982885749</v>
      </c>
      <c r="H11" s="129">
        <v>191.16541713325032</v>
      </c>
      <c r="I11" s="129">
        <v>207.66509233991979</v>
      </c>
      <c r="J11" s="129"/>
      <c r="K11" s="129"/>
      <c r="L11" s="129"/>
      <c r="M11" s="60">
        <f t="shared" si="0"/>
        <v>1</v>
      </c>
      <c r="N11" s="61">
        <f t="shared" si="3"/>
        <v>85.335855567458964</v>
      </c>
      <c r="O11" s="61">
        <f t="shared" si="16"/>
        <v>153.27069412093047</v>
      </c>
      <c r="P11" s="129">
        <f t="shared" si="4"/>
        <v>177.10942742743939</v>
      </c>
      <c r="Q11" s="129">
        <f t="shared" si="5"/>
        <v>175.25797022114097</v>
      </c>
      <c r="R11" s="129">
        <f t="shared" si="6"/>
        <v>178.97528152529867</v>
      </c>
      <c r="S11" s="61">
        <f t="shared" si="7"/>
        <v>198.35777426836756</v>
      </c>
      <c r="T11" s="61">
        <f t="shared" si="1"/>
        <v>228.71451664344383</v>
      </c>
      <c r="U11" s="61">
        <f t="shared" si="17"/>
        <v>189.57973969778232</v>
      </c>
      <c r="V11" s="61"/>
      <c r="Y11" s="159" t="s">
        <v>47</v>
      </c>
      <c r="Z11" s="159" t="s">
        <v>69</v>
      </c>
      <c r="AA11" s="159" t="s">
        <v>163</v>
      </c>
      <c r="AB11" s="159">
        <f t="shared" si="8"/>
        <v>4</v>
      </c>
      <c r="AC11" s="164">
        <f t="shared" si="18"/>
        <v>142.85581263851503</v>
      </c>
      <c r="AD11" s="164">
        <f t="shared" si="9"/>
        <v>207.26130039389551</v>
      </c>
      <c r="AE11" s="159"/>
      <c r="AF11" s="159">
        <f t="shared" si="10"/>
        <v>11</v>
      </c>
      <c r="AG11" s="160">
        <f t="shared" si="11"/>
        <v>800</v>
      </c>
      <c r="AH11" s="161">
        <f t="shared" si="12"/>
        <v>168.12412481705255</v>
      </c>
      <c r="AI11" s="161">
        <f t="shared" si="13"/>
        <v>156.49404427293712</v>
      </c>
      <c r="AJ11" s="161">
        <f t="shared" si="14"/>
        <v>180.379362761191</v>
      </c>
      <c r="AK11" s="160">
        <f t="shared" si="15"/>
        <v>5</v>
      </c>
    </row>
    <row r="12" spans="1:37" x14ac:dyDescent="0.2">
      <c r="A12" s="62" t="s">
        <v>35</v>
      </c>
      <c r="B12" s="62" t="s">
        <v>60</v>
      </c>
      <c r="C12" s="62" t="s">
        <v>163</v>
      </c>
      <c r="D12" s="62"/>
      <c r="E12" s="62">
        <f t="shared" si="2"/>
        <v>19</v>
      </c>
      <c r="F12" s="128">
        <v>2468</v>
      </c>
      <c r="G12" s="129">
        <v>191.28125621486367</v>
      </c>
      <c r="H12" s="129">
        <v>183.76680720111509</v>
      </c>
      <c r="I12" s="129">
        <v>199.02280525399462</v>
      </c>
      <c r="J12" s="129"/>
      <c r="K12" s="129"/>
      <c r="L12" s="129"/>
      <c r="M12" s="60">
        <f t="shared" si="0"/>
        <v>1</v>
      </c>
      <c r="N12" s="61">
        <f t="shared" si="3"/>
        <v>85.335855567458964</v>
      </c>
      <c r="O12" s="61">
        <f t="shared" si="16"/>
        <v>153.27069412093047</v>
      </c>
      <c r="P12" s="129">
        <f t="shared" si="4"/>
        <v>177.10942742743939</v>
      </c>
      <c r="Q12" s="129">
        <f t="shared" si="5"/>
        <v>175.25797022114097</v>
      </c>
      <c r="R12" s="129">
        <f t="shared" si="6"/>
        <v>178.97528152529867</v>
      </c>
      <c r="S12" s="61">
        <f t="shared" si="7"/>
        <v>198.35777426836756</v>
      </c>
      <c r="T12" s="61">
        <f t="shared" si="1"/>
        <v>228.71451664344383</v>
      </c>
      <c r="U12" s="61">
        <f t="shared" si="17"/>
        <v>182.41164829957881</v>
      </c>
      <c r="V12" s="61"/>
      <c r="Y12" s="159" t="s">
        <v>50</v>
      </c>
      <c r="Z12" s="159" t="s">
        <v>161</v>
      </c>
      <c r="AA12" s="159" t="s">
        <v>163</v>
      </c>
      <c r="AB12" s="159">
        <f t="shared" si="8"/>
        <v>1</v>
      </c>
      <c r="AC12" s="164">
        <f t="shared" si="18"/>
        <v>142.85581263851503</v>
      </c>
      <c r="AD12" s="164">
        <f t="shared" si="9"/>
        <v>207.26130039389551</v>
      </c>
      <c r="AE12" s="159"/>
      <c r="AF12" s="159">
        <f t="shared" si="10"/>
        <v>3</v>
      </c>
      <c r="AG12" s="160">
        <f t="shared" si="11"/>
        <v>658</v>
      </c>
      <c r="AH12" s="161">
        <f t="shared" si="12"/>
        <v>142.85581263851503</v>
      </c>
      <c r="AI12" s="161">
        <f t="shared" si="13"/>
        <v>132.06540662287102</v>
      </c>
      <c r="AJ12" s="161">
        <f t="shared" si="14"/>
        <v>154.28769329240674</v>
      </c>
      <c r="AK12" s="160">
        <f t="shared" si="15"/>
        <v>2</v>
      </c>
    </row>
    <row r="13" spans="1:37" x14ac:dyDescent="0.2">
      <c r="A13" s="62" t="s">
        <v>36</v>
      </c>
      <c r="B13" s="62" t="s">
        <v>61</v>
      </c>
      <c r="C13" s="62" t="s">
        <v>201</v>
      </c>
      <c r="D13" s="62"/>
      <c r="E13" s="62">
        <f t="shared" si="2"/>
        <v>14</v>
      </c>
      <c r="F13" s="128">
        <v>449</v>
      </c>
      <c r="G13" s="129">
        <v>174.76047983046723</v>
      </c>
      <c r="H13" s="129">
        <v>151.55583281170897</v>
      </c>
      <c r="I13" s="129">
        <v>199.6464722196034</v>
      </c>
      <c r="J13" s="129"/>
      <c r="K13" s="129"/>
      <c r="L13" s="129"/>
      <c r="M13" s="60">
        <f t="shared" si="0"/>
        <v>5</v>
      </c>
      <c r="N13" s="61">
        <f t="shared" si="3"/>
        <v>85.335855567458964</v>
      </c>
      <c r="O13" s="61">
        <f t="shared" si="16"/>
        <v>153.27069412093047</v>
      </c>
      <c r="P13" s="129">
        <f t="shared" si="4"/>
        <v>177.10942742743939</v>
      </c>
      <c r="Q13" s="129">
        <f t="shared" si="5"/>
        <v>175.25797022114097</v>
      </c>
      <c r="R13" s="129">
        <f t="shared" si="6"/>
        <v>178.97528152529867</v>
      </c>
      <c r="S13" s="61">
        <f t="shared" si="7"/>
        <v>198.35777426836756</v>
      </c>
      <c r="T13" s="61">
        <f t="shared" si="1"/>
        <v>228.71451664344383</v>
      </c>
      <c r="U13" s="61">
        <f t="shared" si="17"/>
        <v>155.59867612594553</v>
      </c>
      <c r="V13" s="61"/>
      <c r="Y13" s="159" t="s">
        <v>53</v>
      </c>
      <c r="Z13" s="159" t="s">
        <v>162</v>
      </c>
      <c r="AA13" s="159" t="s">
        <v>163</v>
      </c>
      <c r="AB13" s="159">
        <f>RANK(AH13,$AH$6:$AH$13,1)</f>
        <v>7</v>
      </c>
      <c r="AC13" s="164">
        <f t="shared" si="18"/>
        <v>142.85581263851503</v>
      </c>
      <c r="AD13" s="164">
        <f t="shared" si="9"/>
        <v>207.26130039389551</v>
      </c>
      <c r="AE13" s="159"/>
      <c r="AF13" s="159">
        <f t="shared" si="10"/>
        <v>22</v>
      </c>
      <c r="AG13" s="160">
        <f t="shared" si="11"/>
        <v>4603</v>
      </c>
      <c r="AH13" s="161">
        <f t="shared" si="12"/>
        <v>200.47840094687112</v>
      </c>
      <c r="AI13" s="161">
        <f t="shared" si="13"/>
        <v>194.65187937663458</v>
      </c>
      <c r="AJ13" s="161">
        <f t="shared" si="14"/>
        <v>206.43328919208676</v>
      </c>
      <c r="AK13" s="160">
        <f t="shared" si="15"/>
        <v>1</v>
      </c>
    </row>
    <row r="14" spans="1:37" x14ac:dyDescent="0.2">
      <c r="A14" s="62" t="s">
        <v>37</v>
      </c>
      <c r="B14" s="62" t="s">
        <v>157</v>
      </c>
      <c r="C14" s="62" t="s">
        <v>201</v>
      </c>
      <c r="D14" s="62"/>
      <c r="E14" s="62">
        <f t="shared" si="2"/>
        <v>17</v>
      </c>
      <c r="F14" s="128">
        <v>859</v>
      </c>
      <c r="G14" s="129">
        <v>186.04305753375786</v>
      </c>
      <c r="H14" s="129">
        <v>172.6693060925092</v>
      </c>
      <c r="I14" s="129">
        <v>200.10985925556921</v>
      </c>
      <c r="J14" s="129"/>
      <c r="K14" s="129"/>
      <c r="L14" s="129"/>
      <c r="M14" s="60">
        <f t="shared" si="0"/>
        <v>5</v>
      </c>
      <c r="N14" s="61">
        <f t="shared" si="3"/>
        <v>85.335855567458964</v>
      </c>
      <c r="O14" s="61">
        <f t="shared" si="16"/>
        <v>153.27069412093047</v>
      </c>
      <c r="P14" s="129">
        <f t="shared" si="4"/>
        <v>177.10942742743939</v>
      </c>
      <c r="Q14" s="129">
        <f t="shared" si="5"/>
        <v>175.25797022114097</v>
      </c>
      <c r="R14" s="129">
        <f t="shared" si="6"/>
        <v>178.97528152529867</v>
      </c>
      <c r="S14" s="61">
        <f t="shared" si="7"/>
        <v>198.35777426836756</v>
      </c>
      <c r="T14" s="61">
        <f t="shared" si="1"/>
        <v>228.71451664344383</v>
      </c>
      <c r="U14" s="61">
        <f t="shared" si="17"/>
        <v>155.59867612594553</v>
      </c>
      <c r="V14" s="61"/>
      <c r="Y14" s="162" t="s">
        <v>29</v>
      </c>
      <c r="Z14" s="162" t="s">
        <v>55</v>
      </c>
      <c r="AA14" s="162" t="s">
        <v>201</v>
      </c>
      <c r="AB14" s="162">
        <f>RANK(AH14,$AH$14:$AH$22,1)</f>
        <v>9</v>
      </c>
      <c r="AC14" s="165">
        <f t="shared" ref="AC14:AC22" si="19">MIN($AH$14:$AH$22)</f>
        <v>85.335855567458964</v>
      </c>
      <c r="AD14" s="165">
        <f>MAX($AH$14:$AH$22)</f>
        <v>187.41878550891593</v>
      </c>
      <c r="AE14" s="162"/>
      <c r="AF14" s="162">
        <f t="shared" si="10"/>
        <v>18</v>
      </c>
      <c r="AG14" s="167">
        <f t="shared" si="11"/>
        <v>1077</v>
      </c>
      <c r="AH14" s="165">
        <f t="shared" si="12"/>
        <v>187.41878550891593</v>
      </c>
      <c r="AI14" s="165">
        <f t="shared" si="13"/>
        <v>175.76804016906146</v>
      </c>
      <c r="AJ14" s="165">
        <f t="shared" si="14"/>
        <v>199.60711317661099</v>
      </c>
      <c r="AK14" s="167">
        <f t="shared" si="15"/>
        <v>5</v>
      </c>
    </row>
    <row r="15" spans="1:37" x14ac:dyDescent="0.2">
      <c r="A15" s="62" t="s">
        <v>38</v>
      </c>
      <c r="B15" s="62" t="s">
        <v>62</v>
      </c>
      <c r="C15" s="62" t="s">
        <v>201</v>
      </c>
      <c r="D15" s="62"/>
      <c r="E15" s="62">
        <f t="shared" si="2"/>
        <v>16</v>
      </c>
      <c r="F15" s="128">
        <v>1180</v>
      </c>
      <c r="G15" s="129">
        <v>181.86001528375132</v>
      </c>
      <c r="H15" s="129">
        <v>171.53987323796176</v>
      </c>
      <c r="I15" s="129">
        <v>192.63457576337743</v>
      </c>
      <c r="J15" s="129"/>
      <c r="K15" s="129"/>
      <c r="L15" s="129"/>
      <c r="M15" s="60">
        <f t="shared" si="0"/>
        <v>5</v>
      </c>
      <c r="N15" s="61">
        <f t="shared" si="3"/>
        <v>85.335855567458964</v>
      </c>
      <c r="O15" s="61">
        <f t="shared" si="16"/>
        <v>153.27069412093047</v>
      </c>
      <c r="P15" s="129">
        <f t="shared" si="4"/>
        <v>177.10942742743939</v>
      </c>
      <c r="Q15" s="129">
        <f t="shared" si="5"/>
        <v>175.25797022114097</v>
      </c>
      <c r="R15" s="129">
        <f t="shared" si="6"/>
        <v>178.97528152529867</v>
      </c>
      <c r="S15" s="61">
        <f t="shared" si="7"/>
        <v>198.35777426836756</v>
      </c>
      <c r="T15" s="61">
        <f t="shared" si="1"/>
        <v>228.71451664344383</v>
      </c>
      <c r="U15" s="61">
        <f t="shared" si="17"/>
        <v>155.59867612594553</v>
      </c>
      <c r="V15" s="61"/>
      <c r="Y15" s="162" t="s">
        <v>32</v>
      </c>
      <c r="Z15" s="162" t="s">
        <v>156</v>
      </c>
      <c r="AA15" s="162" t="s">
        <v>201</v>
      </c>
      <c r="AB15" s="162">
        <f>RANK(AH15,$AH$14:$AH$22,1)</f>
        <v>5</v>
      </c>
      <c r="AC15" s="165">
        <f t="shared" si="19"/>
        <v>85.335855567458964</v>
      </c>
      <c r="AD15" s="165">
        <f t="shared" ref="AD15:AD22" si="20">MAX($AH$14:$AH$22)</f>
        <v>187.41878550891593</v>
      </c>
      <c r="AE15" s="162"/>
      <c r="AF15" s="162">
        <f t="shared" si="10"/>
        <v>13</v>
      </c>
      <c r="AG15" s="167">
        <f t="shared" si="11"/>
        <v>1520</v>
      </c>
      <c r="AH15" s="165">
        <f t="shared" si="12"/>
        <v>169.56383900015541</v>
      </c>
      <c r="AI15" s="165">
        <f t="shared" si="13"/>
        <v>160.60276028830523</v>
      </c>
      <c r="AJ15" s="165">
        <f t="shared" si="14"/>
        <v>178.87158169761022</v>
      </c>
      <c r="AK15" s="167">
        <f t="shared" si="15"/>
        <v>5</v>
      </c>
    </row>
    <row r="16" spans="1:37" x14ac:dyDescent="0.2">
      <c r="A16" s="62" t="s">
        <v>39</v>
      </c>
      <c r="B16" s="62" t="s">
        <v>158</v>
      </c>
      <c r="C16" s="62" t="s">
        <v>200</v>
      </c>
      <c r="D16" s="62"/>
      <c r="E16" s="62">
        <f t="shared" si="2"/>
        <v>20</v>
      </c>
      <c r="F16" s="128">
        <v>2537</v>
      </c>
      <c r="G16" s="129">
        <v>198.35777426836756</v>
      </c>
      <c r="H16" s="129">
        <v>190.55508477317258</v>
      </c>
      <c r="I16" s="129">
        <v>206.39299324104766</v>
      </c>
      <c r="J16" s="129"/>
      <c r="K16" s="129"/>
      <c r="L16" s="129"/>
      <c r="M16" s="60">
        <f t="shared" si="0"/>
        <v>1</v>
      </c>
      <c r="N16" s="61">
        <f t="shared" si="3"/>
        <v>85.335855567458964</v>
      </c>
      <c r="O16" s="61">
        <f t="shared" si="16"/>
        <v>153.27069412093047</v>
      </c>
      <c r="P16" s="129">
        <f t="shared" si="4"/>
        <v>177.10942742743939</v>
      </c>
      <c r="Q16" s="129">
        <f t="shared" si="5"/>
        <v>175.25797022114097</v>
      </c>
      <c r="R16" s="129">
        <f t="shared" si="6"/>
        <v>178.97528152529867</v>
      </c>
      <c r="S16" s="61">
        <f t="shared" si="7"/>
        <v>198.35777426836756</v>
      </c>
      <c r="T16" s="61">
        <f t="shared" si="1"/>
        <v>228.71451664344383</v>
      </c>
      <c r="U16" s="61">
        <f t="shared" si="17"/>
        <v>189.57973969778232</v>
      </c>
      <c r="V16" s="61"/>
      <c r="Y16" s="162" t="s">
        <v>36</v>
      </c>
      <c r="Z16" s="162" t="s">
        <v>61</v>
      </c>
      <c r="AA16" s="162" t="s">
        <v>201</v>
      </c>
      <c r="AB16" s="162">
        <f>RANK(AH16,$AH$14:$AH$22,1)</f>
        <v>6</v>
      </c>
      <c r="AC16" s="165">
        <f t="shared" si="19"/>
        <v>85.335855567458964</v>
      </c>
      <c r="AD16" s="165">
        <f t="shared" si="20"/>
        <v>187.41878550891593</v>
      </c>
      <c r="AE16" s="162"/>
      <c r="AF16" s="162">
        <f t="shared" si="10"/>
        <v>14</v>
      </c>
      <c r="AG16" s="167">
        <f t="shared" si="11"/>
        <v>449</v>
      </c>
      <c r="AH16" s="165">
        <f t="shared" si="12"/>
        <v>174.76047983046723</v>
      </c>
      <c r="AI16" s="165">
        <f t="shared" si="13"/>
        <v>151.55583281170897</v>
      </c>
      <c r="AJ16" s="165">
        <f t="shared" si="14"/>
        <v>199.6464722196034</v>
      </c>
      <c r="AK16" s="167">
        <f t="shared" si="15"/>
        <v>5</v>
      </c>
    </row>
    <row r="17" spans="1:37" x14ac:dyDescent="0.2">
      <c r="A17" s="62" t="s">
        <v>40</v>
      </c>
      <c r="B17" s="62" t="s">
        <v>63</v>
      </c>
      <c r="C17" s="62" t="s">
        <v>200</v>
      </c>
      <c r="D17" s="62"/>
      <c r="E17" s="62">
        <f t="shared" si="2"/>
        <v>26</v>
      </c>
      <c r="F17" s="128">
        <v>1554</v>
      </c>
      <c r="G17" s="129">
        <v>228.71451664344383</v>
      </c>
      <c r="H17" s="129">
        <v>217.15175713448807</v>
      </c>
      <c r="I17" s="129">
        <v>240.71956408747337</v>
      </c>
      <c r="J17" s="129"/>
      <c r="K17" s="129"/>
      <c r="L17" s="129"/>
      <c r="M17" s="60">
        <f t="shared" si="0"/>
        <v>1</v>
      </c>
      <c r="N17" s="61">
        <f t="shared" si="3"/>
        <v>85.335855567458964</v>
      </c>
      <c r="O17" s="61">
        <f t="shared" si="16"/>
        <v>153.27069412093047</v>
      </c>
      <c r="P17" s="129">
        <f t="shared" si="4"/>
        <v>177.10942742743939</v>
      </c>
      <c r="Q17" s="129">
        <f t="shared" si="5"/>
        <v>175.25797022114097</v>
      </c>
      <c r="R17" s="129">
        <f t="shared" si="6"/>
        <v>178.97528152529867</v>
      </c>
      <c r="S17" s="61">
        <f t="shared" si="7"/>
        <v>198.35777426836756</v>
      </c>
      <c r="T17" s="61">
        <f t="shared" si="1"/>
        <v>228.71451664344383</v>
      </c>
      <c r="U17" s="61">
        <f t="shared" si="17"/>
        <v>189.57973969778232</v>
      </c>
      <c r="V17" s="61"/>
      <c r="Y17" s="162" t="s">
        <v>37</v>
      </c>
      <c r="Z17" s="162" t="s">
        <v>157</v>
      </c>
      <c r="AA17" s="162" t="s">
        <v>201</v>
      </c>
      <c r="AB17" s="162">
        <f t="shared" ref="AB17:AB22" si="21">RANK(AH17,$AH$14:$AH$22,1)</f>
        <v>8</v>
      </c>
      <c r="AC17" s="165">
        <f t="shared" si="19"/>
        <v>85.335855567458964</v>
      </c>
      <c r="AD17" s="165">
        <f>MAX($AH$14:$AH$22)</f>
        <v>187.41878550891593</v>
      </c>
      <c r="AE17" s="162"/>
      <c r="AF17" s="162">
        <f t="shared" si="10"/>
        <v>17</v>
      </c>
      <c r="AG17" s="167">
        <f t="shared" si="11"/>
        <v>859</v>
      </c>
      <c r="AH17" s="165">
        <f t="shared" si="12"/>
        <v>186.04305753375786</v>
      </c>
      <c r="AI17" s="165">
        <f t="shared" si="13"/>
        <v>172.6693060925092</v>
      </c>
      <c r="AJ17" s="165">
        <f t="shared" si="14"/>
        <v>200.10985925556921</v>
      </c>
      <c r="AK17" s="167">
        <f t="shared" si="15"/>
        <v>5</v>
      </c>
    </row>
    <row r="18" spans="1:37" x14ac:dyDescent="0.2">
      <c r="A18" s="62" t="s">
        <v>41</v>
      </c>
      <c r="B18" s="62" t="s">
        <v>64</v>
      </c>
      <c r="C18" s="62" t="s">
        <v>163</v>
      </c>
      <c r="D18" s="62"/>
      <c r="E18" s="62">
        <f t="shared" si="2"/>
        <v>23</v>
      </c>
      <c r="F18" s="128">
        <v>2233</v>
      </c>
      <c r="G18" s="129">
        <v>207.26130039389551</v>
      </c>
      <c r="H18" s="129">
        <v>198.70795603665209</v>
      </c>
      <c r="I18" s="129">
        <v>216.08663544467416</v>
      </c>
      <c r="J18" s="129"/>
      <c r="K18" s="129"/>
      <c r="L18" s="129"/>
      <c r="M18" s="60">
        <f t="shared" si="0"/>
        <v>1</v>
      </c>
      <c r="N18" s="61">
        <f t="shared" si="3"/>
        <v>85.335855567458964</v>
      </c>
      <c r="O18" s="61">
        <f t="shared" si="16"/>
        <v>153.27069412093047</v>
      </c>
      <c r="P18" s="129">
        <f t="shared" si="4"/>
        <v>177.10942742743939</v>
      </c>
      <c r="Q18" s="129">
        <f t="shared" si="5"/>
        <v>175.25797022114097</v>
      </c>
      <c r="R18" s="129">
        <f t="shared" si="6"/>
        <v>178.97528152529867</v>
      </c>
      <c r="S18" s="61">
        <f t="shared" si="7"/>
        <v>198.35777426836756</v>
      </c>
      <c r="T18" s="61">
        <f t="shared" si="1"/>
        <v>228.71451664344383</v>
      </c>
      <c r="U18" s="61">
        <f t="shared" si="17"/>
        <v>182.41164829957881</v>
      </c>
      <c r="V18" s="61"/>
      <c r="Y18" s="162" t="s">
        <v>38</v>
      </c>
      <c r="Z18" s="162" t="s">
        <v>62</v>
      </c>
      <c r="AA18" s="162" t="s">
        <v>201</v>
      </c>
      <c r="AB18" s="162">
        <f t="shared" si="21"/>
        <v>7</v>
      </c>
      <c r="AC18" s="165">
        <f t="shared" si="19"/>
        <v>85.335855567458964</v>
      </c>
      <c r="AD18" s="165">
        <f t="shared" si="20"/>
        <v>187.41878550891593</v>
      </c>
      <c r="AE18" s="162"/>
      <c r="AF18" s="162">
        <f t="shared" si="10"/>
        <v>16</v>
      </c>
      <c r="AG18" s="167">
        <f t="shared" si="11"/>
        <v>1180</v>
      </c>
      <c r="AH18" s="165">
        <f t="shared" si="12"/>
        <v>181.86001528375132</v>
      </c>
      <c r="AI18" s="165">
        <f t="shared" si="13"/>
        <v>171.53987323796176</v>
      </c>
      <c r="AJ18" s="165">
        <f t="shared" si="14"/>
        <v>192.63457576337743</v>
      </c>
      <c r="AK18" s="167">
        <f t="shared" si="15"/>
        <v>5</v>
      </c>
    </row>
    <row r="19" spans="1:37" x14ac:dyDescent="0.2">
      <c r="A19" s="62" t="s">
        <v>42</v>
      </c>
      <c r="B19" s="62" t="s">
        <v>65</v>
      </c>
      <c r="C19" s="62" t="s">
        <v>200</v>
      </c>
      <c r="D19" s="62"/>
      <c r="E19" s="62">
        <f t="shared" si="2"/>
        <v>6</v>
      </c>
      <c r="F19" s="128">
        <v>458</v>
      </c>
      <c r="G19" s="129">
        <v>148.12164321550011</v>
      </c>
      <c r="H19" s="129">
        <v>134.32219878743612</v>
      </c>
      <c r="I19" s="129">
        <v>162.91070295355343</v>
      </c>
      <c r="J19" s="129"/>
      <c r="K19" s="129"/>
      <c r="L19" s="129"/>
      <c r="M19" s="60">
        <f t="shared" si="0"/>
        <v>2</v>
      </c>
      <c r="N19" s="61">
        <f t="shared" si="3"/>
        <v>85.335855567458964</v>
      </c>
      <c r="O19" s="61">
        <f t="shared" si="16"/>
        <v>153.27069412093047</v>
      </c>
      <c r="P19" s="129">
        <f t="shared" si="4"/>
        <v>177.10942742743939</v>
      </c>
      <c r="Q19" s="129">
        <f t="shared" si="5"/>
        <v>175.25797022114097</v>
      </c>
      <c r="R19" s="129">
        <f t="shared" si="6"/>
        <v>178.97528152529867</v>
      </c>
      <c r="S19" s="61">
        <f t="shared" si="7"/>
        <v>198.35777426836756</v>
      </c>
      <c r="T19" s="61">
        <f t="shared" si="1"/>
        <v>228.71451664344383</v>
      </c>
      <c r="U19" s="61">
        <f t="shared" si="17"/>
        <v>189.57973969778232</v>
      </c>
      <c r="V19" s="61"/>
      <c r="Y19" s="162" t="s">
        <v>43</v>
      </c>
      <c r="Z19" s="162" t="s">
        <v>159</v>
      </c>
      <c r="AA19" s="162" t="s">
        <v>201</v>
      </c>
      <c r="AB19" s="162">
        <f t="shared" si="21"/>
        <v>2</v>
      </c>
      <c r="AC19" s="165">
        <f t="shared" si="19"/>
        <v>85.335855567458964</v>
      </c>
      <c r="AD19" s="165">
        <f t="shared" si="20"/>
        <v>187.41878550891593</v>
      </c>
      <c r="AE19" s="162"/>
      <c r="AF19" s="162">
        <f t="shared" si="10"/>
        <v>2</v>
      </c>
      <c r="AG19" s="167">
        <f t="shared" si="11"/>
        <v>1072</v>
      </c>
      <c r="AH19" s="165">
        <f t="shared" si="12"/>
        <v>135.58283654484478</v>
      </c>
      <c r="AI19" s="165">
        <f t="shared" si="13"/>
        <v>127.29641863270218</v>
      </c>
      <c r="AJ19" s="165">
        <f t="shared" si="14"/>
        <v>144.25251492453066</v>
      </c>
      <c r="AK19" s="167">
        <f t="shared" si="15"/>
        <v>2</v>
      </c>
    </row>
    <row r="20" spans="1:37" x14ac:dyDescent="0.2">
      <c r="A20" s="62" t="s">
        <v>43</v>
      </c>
      <c r="B20" s="62" t="s">
        <v>159</v>
      </c>
      <c r="C20" s="62" t="s">
        <v>201</v>
      </c>
      <c r="D20" s="62"/>
      <c r="E20" s="62">
        <f t="shared" si="2"/>
        <v>2</v>
      </c>
      <c r="F20" s="128">
        <v>1072</v>
      </c>
      <c r="G20" s="129">
        <v>135.58283654484478</v>
      </c>
      <c r="H20" s="129">
        <v>127.29641863270218</v>
      </c>
      <c r="I20" s="129">
        <v>144.25251492453066</v>
      </c>
      <c r="J20" s="129"/>
      <c r="K20" s="129"/>
      <c r="L20" s="129"/>
      <c r="M20" s="60">
        <f t="shared" si="0"/>
        <v>2</v>
      </c>
      <c r="N20" s="61">
        <f t="shared" si="3"/>
        <v>85.335855567458964</v>
      </c>
      <c r="O20" s="61">
        <f t="shared" si="16"/>
        <v>153.27069412093047</v>
      </c>
      <c r="P20" s="129">
        <f t="shared" si="4"/>
        <v>177.10942742743939</v>
      </c>
      <c r="Q20" s="129">
        <f t="shared" si="5"/>
        <v>175.25797022114097</v>
      </c>
      <c r="R20" s="129">
        <f t="shared" si="6"/>
        <v>178.97528152529867</v>
      </c>
      <c r="S20" s="61">
        <f t="shared" si="7"/>
        <v>198.35777426836756</v>
      </c>
      <c r="T20" s="61">
        <f t="shared" si="1"/>
        <v>228.71451664344383</v>
      </c>
      <c r="U20" s="61">
        <f t="shared" si="17"/>
        <v>155.59867612594553</v>
      </c>
      <c r="V20" s="61"/>
      <c r="Y20" s="162" t="s">
        <v>48</v>
      </c>
      <c r="Z20" s="162" t="s">
        <v>160</v>
      </c>
      <c r="AA20" s="162" t="s">
        <v>201</v>
      </c>
      <c r="AB20" s="162">
        <f t="shared" si="21"/>
        <v>1</v>
      </c>
      <c r="AC20" s="165">
        <f t="shared" si="19"/>
        <v>85.335855567458964</v>
      </c>
      <c r="AD20" s="165">
        <f t="shared" si="20"/>
        <v>187.41878550891593</v>
      </c>
      <c r="AE20" s="162"/>
      <c r="AF20" s="162">
        <f t="shared" si="10"/>
        <v>1</v>
      </c>
      <c r="AG20" s="167">
        <f t="shared" si="11"/>
        <v>475</v>
      </c>
      <c r="AH20" s="165">
        <f t="shared" si="12"/>
        <v>85.335855567458964</v>
      </c>
      <c r="AI20" s="165">
        <f t="shared" si="13"/>
        <v>77.699418519761196</v>
      </c>
      <c r="AJ20" s="165">
        <f t="shared" si="14"/>
        <v>93.509668379492794</v>
      </c>
      <c r="AK20" s="167">
        <f t="shared" si="15"/>
        <v>2</v>
      </c>
    </row>
    <row r="21" spans="1:37" x14ac:dyDescent="0.2">
      <c r="A21" s="62" t="s">
        <v>44</v>
      </c>
      <c r="B21" s="62" t="s">
        <v>66</v>
      </c>
      <c r="C21" s="62" t="s">
        <v>200</v>
      </c>
      <c r="D21" s="62"/>
      <c r="E21" s="62">
        <f t="shared" si="2"/>
        <v>10</v>
      </c>
      <c r="F21" s="128">
        <v>612</v>
      </c>
      <c r="G21" s="129">
        <v>156.99428408681786</v>
      </c>
      <c r="H21" s="129">
        <v>144.28122311696168</v>
      </c>
      <c r="I21" s="129">
        <v>170.49194059957739</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2</v>
      </c>
      <c r="N21" s="61">
        <f t="shared" si="3"/>
        <v>85.335855567458964</v>
      </c>
      <c r="O21" s="61">
        <f t="shared" si="16"/>
        <v>153.27069412093047</v>
      </c>
      <c r="P21" s="129">
        <f t="shared" si="4"/>
        <v>177.10942742743939</v>
      </c>
      <c r="Q21" s="129">
        <f t="shared" si="5"/>
        <v>175.25797022114097</v>
      </c>
      <c r="R21" s="129">
        <f t="shared" si="6"/>
        <v>178.97528152529867</v>
      </c>
      <c r="S21" s="61">
        <f t="shared" si="7"/>
        <v>198.35777426836756</v>
      </c>
      <c r="T21" s="61">
        <f t="shared" si="1"/>
        <v>228.71451664344383</v>
      </c>
      <c r="U21" s="61">
        <f t="shared" si="17"/>
        <v>189.57973969778232</v>
      </c>
      <c r="V21" s="61"/>
      <c r="Y21" s="162" t="s">
        <v>52</v>
      </c>
      <c r="Z21" s="162" t="s">
        <v>72</v>
      </c>
      <c r="AA21" s="162" t="s">
        <v>201</v>
      </c>
      <c r="AB21" s="162">
        <f t="shared" si="21"/>
        <v>3</v>
      </c>
      <c r="AC21" s="165">
        <f t="shared" si="19"/>
        <v>85.335855567458964</v>
      </c>
      <c r="AD21" s="165">
        <f t="shared" si="20"/>
        <v>187.41878550891593</v>
      </c>
      <c r="AE21" s="162"/>
      <c r="AF21" s="162">
        <f t="shared" si="10"/>
        <v>4</v>
      </c>
      <c r="AG21" s="167">
        <f t="shared" si="11"/>
        <v>290</v>
      </c>
      <c r="AH21" s="165">
        <f t="shared" si="12"/>
        <v>145.54541188992332</v>
      </c>
      <c r="AI21" s="165">
        <f t="shared" si="13"/>
        <v>126.98796957602681</v>
      </c>
      <c r="AJ21" s="165">
        <f t="shared" si="14"/>
        <v>165.79202982094444</v>
      </c>
      <c r="AK21" s="167">
        <f t="shared" si="15"/>
        <v>2</v>
      </c>
    </row>
    <row r="22" spans="1:37" x14ac:dyDescent="0.2">
      <c r="A22" s="62" t="s">
        <v>45</v>
      </c>
      <c r="B22" s="62" t="s">
        <v>67</v>
      </c>
      <c r="C22" s="62" t="s">
        <v>163</v>
      </c>
      <c r="D22" s="62"/>
      <c r="E22" s="62">
        <f t="shared" si="2"/>
        <v>8</v>
      </c>
      <c r="F22" s="128">
        <v>1193</v>
      </c>
      <c r="G22" s="129">
        <v>156.33164766149793</v>
      </c>
      <c r="H22" s="129">
        <v>147.51426175555474</v>
      </c>
      <c r="I22" s="129">
        <v>165.53511050681612</v>
      </c>
      <c r="J22" s="129"/>
      <c r="K22" s="129"/>
      <c r="L22" s="129"/>
      <c r="M22" s="60">
        <f t="shared" si="0"/>
        <v>2</v>
      </c>
      <c r="N22" s="61">
        <f t="shared" si="3"/>
        <v>85.335855567458964</v>
      </c>
      <c r="O22" s="61">
        <f t="shared" si="16"/>
        <v>153.27069412093047</v>
      </c>
      <c r="P22" s="129">
        <f t="shared" si="4"/>
        <v>177.10942742743939</v>
      </c>
      <c r="Q22" s="129">
        <f t="shared" si="5"/>
        <v>175.25797022114097</v>
      </c>
      <c r="R22" s="129">
        <f t="shared" si="6"/>
        <v>178.97528152529867</v>
      </c>
      <c r="S22" s="61">
        <f t="shared" si="7"/>
        <v>198.35777426836756</v>
      </c>
      <c r="T22" s="61">
        <f t="shared" si="1"/>
        <v>228.71451664344383</v>
      </c>
      <c r="U22" s="61">
        <f>VLOOKUP(C22,$C$43:$I$46,5,FALSE)</f>
        <v>182.41164829957881</v>
      </c>
      <c r="V22" s="61"/>
      <c r="Y22" s="162" t="s">
        <v>54</v>
      </c>
      <c r="Z22" s="162" t="s">
        <v>73</v>
      </c>
      <c r="AA22" s="162" t="s">
        <v>201</v>
      </c>
      <c r="AB22" s="162">
        <f t="shared" si="21"/>
        <v>4</v>
      </c>
      <c r="AC22" s="165">
        <f t="shared" si="19"/>
        <v>85.335855567458964</v>
      </c>
      <c r="AD22" s="165">
        <f t="shared" si="20"/>
        <v>187.41878550891593</v>
      </c>
      <c r="AE22" s="162"/>
      <c r="AF22" s="162">
        <f t="shared" si="10"/>
        <v>5</v>
      </c>
      <c r="AG22" s="167">
        <f t="shared" si="11"/>
        <v>329</v>
      </c>
      <c r="AH22" s="165">
        <f t="shared" si="12"/>
        <v>145.68236660156902</v>
      </c>
      <c r="AI22" s="165">
        <f t="shared" si="13"/>
        <v>127.85323667471343</v>
      </c>
      <c r="AJ22" s="165">
        <f t="shared" si="14"/>
        <v>165.03062512533151</v>
      </c>
      <c r="AK22" s="167">
        <f t="shared" si="15"/>
        <v>2</v>
      </c>
    </row>
    <row r="23" spans="1:37" x14ac:dyDescent="0.2">
      <c r="A23" s="62" t="s">
        <v>46</v>
      </c>
      <c r="B23" s="62" t="s">
        <v>68</v>
      </c>
      <c r="C23" s="62" t="s">
        <v>163</v>
      </c>
      <c r="D23" s="62"/>
      <c r="E23" s="62">
        <f t="shared" si="2"/>
        <v>15</v>
      </c>
      <c r="F23" s="128">
        <v>2134</v>
      </c>
      <c r="G23" s="129">
        <v>180.70386499539637</v>
      </c>
      <c r="H23" s="129">
        <v>173.04669280261086</v>
      </c>
      <c r="I23" s="129">
        <v>188.61021391280488</v>
      </c>
      <c r="J23" s="129"/>
      <c r="K23" s="129"/>
      <c r="L23" s="129"/>
      <c r="M23" s="60">
        <f t="shared" si="0"/>
        <v>5</v>
      </c>
      <c r="N23" s="61">
        <f t="shared" si="3"/>
        <v>85.335855567458964</v>
      </c>
      <c r="O23" s="61">
        <f t="shared" si="16"/>
        <v>153.27069412093047</v>
      </c>
      <c r="P23" s="129">
        <f t="shared" si="4"/>
        <v>177.10942742743939</v>
      </c>
      <c r="Q23" s="129">
        <f t="shared" si="5"/>
        <v>175.25797022114097</v>
      </c>
      <c r="R23" s="129">
        <f t="shared" si="6"/>
        <v>178.97528152529867</v>
      </c>
      <c r="S23" s="61">
        <f t="shared" si="7"/>
        <v>198.35777426836756</v>
      </c>
      <c r="T23" s="61">
        <f t="shared" si="1"/>
        <v>228.71451664344383</v>
      </c>
      <c r="U23" s="61">
        <f t="shared" si="17"/>
        <v>182.41164829957881</v>
      </c>
      <c r="V23" s="61"/>
      <c r="Y23" s="163" t="s">
        <v>30</v>
      </c>
      <c r="Z23" s="163" t="s">
        <v>56</v>
      </c>
      <c r="AA23" s="163" t="s">
        <v>200</v>
      </c>
      <c r="AB23" s="163">
        <f>RANK(AH23,$AH$23:$AH$31,1)</f>
        <v>7</v>
      </c>
      <c r="AC23" s="166">
        <f>MIN($AH$23:$AH$31)</f>
        <v>148.12164321550011</v>
      </c>
      <c r="AD23" s="166">
        <f>MAX($AH$23:$AH$31)</f>
        <v>228.71451664344383</v>
      </c>
      <c r="AE23" s="163"/>
      <c r="AF23" s="163">
        <f t="shared" si="10"/>
        <v>24</v>
      </c>
      <c r="AG23" s="168">
        <f t="shared" si="11"/>
        <v>2063</v>
      </c>
      <c r="AH23" s="166">
        <f t="shared" si="12"/>
        <v>207.68092907445583</v>
      </c>
      <c r="AI23" s="166">
        <f t="shared" si="13"/>
        <v>198.70521382416794</v>
      </c>
      <c r="AJ23" s="166">
        <f t="shared" si="14"/>
        <v>216.95380272861487</v>
      </c>
      <c r="AK23" s="168">
        <f t="shared" si="15"/>
        <v>1</v>
      </c>
    </row>
    <row r="24" spans="1:37" x14ac:dyDescent="0.2">
      <c r="A24" s="62" t="s">
        <v>47</v>
      </c>
      <c r="B24" s="62" t="s">
        <v>69</v>
      </c>
      <c r="C24" s="62" t="s">
        <v>163</v>
      </c>
      <c r="D24" s="62"/>
      <c r="E24" s="62">
        <f t="shared" si="2"/>
        <v>11</v>
      </c>
      <c r="F24" s="128">
        <v>800</v>
      </c>
      <c r="G24" s="129">
        <v>168.12412481705255</v>
      </c>
      <c r="H24" s="129">
        <v>156.49404427293712</v>
      </c>
      <c r="I24" s="129">
        <v>180.379362761191</v>
      </c>
      <c r="J24" s="129"/>
      <c r="K24" s="129"/>
      <c r="L24" s="129"/>
      <c r="M24" s="60">
        <f t="shared" si="0"/>
        <v>5</v>
      </c>
      <c r="N24" s="61">
        <f t="shared" si="3"/>
        <v>85.335855567458964</v>
      </c>
      <c r="O24" s="61">
        <f t="shared" si="16"/>
        <v>153.27069412093047</v>
      </c>
      <c r="P24" s="129">
        <f t="shared" si="4"/>
        <v>177.10942742743939</v>
      </c>
      <c r="Q24" s="129">
        <f t="shared" si="5"/>
        <v>175.25797022114097</v>
      </c>
      <c r="R24" s="129">
        <f t="shared" si="6"/>
        <v>178.97528152529867</v>
      </c>
      <c r="S24" s="61">
        <f t="shared" si="7"/>
        <v>198.35777426836756</v>
      </c>
      <c r="T24" s="61">
        <f t="shared" si="1"/>
        <v>228.71451664344383</v>
      </c>
      <c r="U24" s="61">
        <f t="shared" si="17"/>
        <v>182.41164829957881</v>
      </c>
      <c r="V24" s="61"/>
      <c r="Y24" s="163" t="s">
        <v>31</v>
      </c>
      <c r="Z24" s="163" t="s">
        <v>57</v>
      </c>
      <c r="AA24" s="163" t="s">
        <v>200</v>
      </c>
      <c r="AB24" s="163">
        <f t="shared" ref="AB24:AB31" si="22">RANK(AH24,$AH$23:$AH$31,1)</f>
        <v>2</v>
      </c>
      <c r="AC24" s="166">
        <f t="shared" ref="AC24:AC31" si="23">MIN($AH$23:$AH$31)</f>
        <v>148.12164321550011</v>
      </c>
      <c r="AD24" s="166">
        <f t="shared" ref="AD24:AD31" si="24">MAX($AH$23:$AH$31)</f>
        <v>228.71451664344383</v>
      </c>
      <c r="AE24" s="163"/>
      <c r="AF24" s="163">
        <f t="shared" si="10"/>
        <v>9</v>
      </c>
      <c r="AG24" s="168">
        <f t="shared" si="11"/>
        <v>1876</v>
      </c>
      <c r="AH24" s="166">
        <f t="shared" si="12"/>
        <v>156.41883253764595</v>
      </c>
      <c r="AI24" s="166">
        <f t="shared" si="13"/>
        <v>149.39066963429741</v>
      </c>
      <c r="AJ24" s="166">
        <f t="shared" si="14"/>
        <v>163.69121346827518</v>
      </c>
      <c r="AK24" s="168">
        <f t="shared" si="15"/>
        <v>2</v>
      </c>
    </row>
    <row r="25" spans="1:37" x14ac:dyDescent="0.2">
      <c r="A25" s="62" t="s">
        <v>48</v>
      </c>
      <c r="B25" s="62" t="s">
        <v>160</v>
      </c>
      <c r="C25" s="62" t="s">
        <v>201</v>
      </c>
      <c r="D25" s="62"/>
      <c r="E25" s="62">
        <f t="shared" si="2"/>
        <v>1</v>
      </c>
      <c r="F25" s="128">
        <v>475</v>
      </c>
      <c r="G25" s="129">
        <v>85.335855567458964</v>
      </c>
      <c r="H25" s="129">
        <v>77.699418519761196</v>
      </c>
      <c r="I25" s="129">
        <v>93.509668379492794</v>
      </c>
      <c r="J25" s="129"/>
      <c r="K25" s="129"/>
      <c r="L25" s="129"/>
      <c r="M25" s="60">
        <f t="shared" si="0"/>
        <v>2</v>
      </c>
      <c r="N25" s="61">
        <f t="shared" si="3"/>
        <v>85.335855567458964</v>
      </c>
      <c r="O25" s="61">
        <f t="shared" si="16"/>
        <v>153.27069412093047</v>
      </c>
      <c r="P25" s="129">
        <f t="shared" si="4"/>
        <v>177.10942742743939</v>
      </c>
      <c r="Q25" s="129">
        <f t="shared" si="5"/>
        <v>175.25797022114097</v>
      </c>
      <c r="R25" s="129">
        <f t="shared" si="6"/>
        <v>178.97528152529867</v>
      </c>
      <c r="S25" s="61">
        <f t="shared" si="7"/>
        <v>198.35777426836756</v>
      </c>
      <c r="T25" s="61">
        <f t="shared" si="1"/>
        <v>228.71451664344383</v>
      </c>
      <c r="U25" s="61">
        <f t="shared" si="17"/>
        <v>155.59867612594553</v>
      </c>
      <c r="V25" s="61"/>
      <c r="Y25" s="163" t="s">
        <v>34</v>
      </c>
      <c r="Z25" s="163" t="s">
        <v>59</v>
      </c>
      <c r="AA25" s="163" t="s">
        <v>200</v>
      </c>
      <c r="AB25" s="163">
        <f t="shared" si="22"/>
        <v>6</v>
      </c>
      <c r="AC25" s="166">
        <f t="shared" si="23"/>
        <v>148.12164321550011</v>
      </c>
      <c r="AD25" s="166">
        <f t="shared" si="24"/>
        <v>228.71451664344383</v>
      </c>
      <c r="AE25" s="163"/>
      <c r="AF25" s="163">
        <f t="shared" si="10"/>
        <v>21</v>
      </c>
      <c r="AG25" s="168">
        <f t="shared" si="11"/>
        <v>2402</v>
      </c>
      <c r="AH25" s="166">
        <f t="shared" si="12"/>
        <v>199.29076982885749</v>
      </c>
      <c r="AI25" s="166">
        <f t="shared" si="13"/>
        <v>191.16541713325032</v>
      </c>
      <c r="AJ25" s="166">
        <f t="shared" si="14"/>
        <v>207.66509233991979</v>
      </c>
      <c r="AK25" s="168">
        <f t="shared" si="15"/>
        <v>1</v>
      </c>
    </row>
    <row r="26" spans="1:37" x14ac:dyDescent="0.2">
      <c r="A26" s="62" t="s">
        <v>49</v>
      </c>
      <c r="B26" s="62" t="s">
        <v>70</v>
      </c>
      <c r="C26" s="62" t="s">
        <v>200</v>
      </c>
      <c r="D26" s="62"/>
      <c r="E26" s="62">
        <f t="shared" si="2"/>
        <v>12</v>
      </c>
      <c r="F26" s="128">
        <v>1100</v>
      </c>
      <c r="G26" s="129">
        <v>168.97070586946262</v>
      </c>
      <c r="H26" s="129">
        <v>158.70444403697545</v>
      </c>
      <c r="I26" s="129">
        <v>179.70556551011751</v>
      </c>
      <c r="J26" s="129"/>
      <c r="K26" s="129"/>
      <c r="L26" s="129"/>
      <c r="M26" s="60">
        <f t="shared" si="0"/>
        <v>5</v>
      </c>
      <c r="N26" s="61">
        <f t="shared" si="3"/>
        <v>85.335855567458964</v>
      </c>
      <c r="O26" s="61">
        <f t="shared" si="16"/>
        <v>153.27069412093047</v>
      </c>
      <c r="P26" s="129">
        <f t="shared" si="4"/>
        <v>177.10942742743939</v>
      </c>
      <c r="Q26" s="129">
        <f t="shared" si="5"/>
        <v>175.25797022114097</v>
      </c>
      <c r="R26" s="129">
        <f t="shared" si="6"/>
        <v>178.97528152529867</v>
      </c>
      <c r="S26" s="61">
        <f t="shared" si="7"/>
        <v>198.35777426836756</v>
      </c>
      <c r="T26" s="61">
        <f t="shared" si="1"/>
        <v>228.71451664344383</v>
      </c>
      <c r="U26" s="61">
        <f t="shared" si="17"/>
        <v>189.57973969778232</v>
      </c>
      <c r="V26" s="61"/>
      <c r="Y26" s="163" t="s">
        <v>39</v>
      </c>
      <c r="Z26" s="163" t="s">
        <v>158</v>
      </c>
      <c r="AA26" s="163" t="s">
        <v>200</v>
      </c>
      <c r="AB26" s="163">
        <f t="shared" si="22"/>
        <v>5</v>
      </c>
      <c r="AC26" s="166">
        <f t="shared" si="23"/>
        <v>148.12164321550011</v>
      </c>
      <c r="AD26" s="166">
        <f t="shared" si="24"/>
        <v>228.71451664344383</v>
      </c>
      <c r="AE26" s="163"/>
      <c r="AF26" s="163">
        <f t="shared" si="10"/>
        <v>20</v>
      </c>
      <c r="AG26" s="168">
        <f t="shared" si="11"/>
        <v>2537</v>
      </c>
      <c r="AH26" s="166">
        <f t="shared" si="12"/>
        <v>198.35777426836756</v>
      </c>
      <c r="AI26" s="166">
        <f t="shared" si="13"/>
        <v>190.55508477317258</v>
      </c>
      <c r="AJ26" s="166">
        <f t="shared" si="14"/>
        <v>206.39299324104766</v>
      </c>
      <c r="AK26" s="168">
        <f t="shared" si="15"/>
        <v>1</v>
      </c>
    </row>
    <row r="27" spans="1:37" x14ac:dyDescent="0.2">
      <c r="A27" s="62" t="s">
        <v>50</v>
      </c>
      <c r="B27" s="62" t="s">
        <v>161</v>
      </c>
      <c r="C27" s="62" t="s">
        <v>163</v>
      </c>
      <c r="D27" s="62"/>
      <c r="E27" s="62">
        <f t="shared" si="2"/>
        <v>3</v>
      </c>
      <c r="F27" s="128">
        <v>658</v>
      </c>
      <c r="G27" s="129">
        <v>142.85581263851503</v>
      </c>
      <c r="H27" s="129">
        <v>132.06540662287102</v>
      </c>
      <c r="I27" s="129">
        <v>154.28769329240674</v>
      </c>
      <c r="J27" s="129"/>
      <c r="K27" s="129"/>
      <c r="L27" s="129"/>
      <c r="M27" s="60">
        <f t="shared" si="0"/>
        <v>2</v>
      </c>
      <c r="N27" s="61">
        <f t="shared" si="3"/>
        <v>85.335855567458964</v>
      </c>
      <c r="O27" s="61">
        <f t="shared" si="16"/>
        <v>153.27069412093047</v>
      </c>
      <c r="P27" s="129">
        <f t="shared" si="4"/>
        <v>177.10942742743939</v>
      </c>
      <c r="Q27" s="129">
        <f t="shared" si="5"/>
        <v>175.25797022114097</v>
      </c>
      <c r="R27" s="129">
        <f t="shared" si="6"/>
        <v>178.97528152529867</v>
      </c>
      <c r="S27" s="61">
        <f t="shared" si="7"/>
        <v>198.35777426836756</v>
      </c>
      <c r="T27" s="61">
        <f t="shared" si="1"/>
        <v>228.71451664344383</v>
      </c>
      <c r="U27" s="61">
        <f t="shared" si="17"/>
        <v>182.41164829957881</v>
      </c>
      <c r="V27" s="61"/>
      <c r="Y27" s="163" t="s">
        <v>40</v>
      </c>
      <c r="Z27" s="163" t="s">
        <v>63</v>
      </c>
      <c r="AA27" s="163" t="s">
        <v>200</v>
      </c>
      <c r="AB27" s="163">
        <f t="shared" si="22"/>
        <v>9</v>
      </c>
      <c r="AC27" s="166">
        <f t="shared" si="23"/>
        <v>148.12164321550011</v>
      </c>
      <c r="AD27" s="166">
        <f t="shared" si="24"/>
        <v>228.71451664344383</v>
      </c>
      <c r="AE27" s="163"/>
      <c r="AF27" s="163">
        <f t="shared" si="10"/>
        <v>26</v>
      </c>
      <c r="AG27" s="168">
        <f t="shared" si="11"/>
        <v>1554</v>
      </c>
      <c r="AH27" s="166">
        <f t="shared" si="12"/>
        <v>228.71451664344383</v>
      </c>
      <c r="AI27" s="166">
        <f t="shared" si="13"/>
        <v>217.15175713448807</v>
      </c>
      <c r="AJ27" s="166">
        <f t="shared" si="14"/>
        <v>240.71956408747337</v>
      </c>
      <c r="AK27" s="168">
        <f t="shared" si="15"/>
        <v>1</v>
      </c>
    </row>
    <row r="28" spans="1:37" x14ac:dyDescent="0.2">
      <c r="A28" s="62" t="s">
        <v>51</v>
      </c>
      <c r="B28" s="62" t="s">
        <v>71</v>
      </c>
      <c r="C28" s="62" t="s">
        <v>200</v>
      </c>
      <c r="D28" s="62"/>
      <c r="E28" s="62">
        <f t="shared" si="2"/>
        <v>25</v>
      </c>
      <c r="F28" s="128">
        <v>816</v>
      </c>
      <c r="G28" s="129">
        <v>211.69130346795771</v>
      </c>
      <c r="H28" s="129">
        <v>196.87753195298265</v>
      </c>
      <c r="I28" s="129">
        <v>227.29329447278823</v>
      </c>
      <c r="J28" s="129"/>
      <c r="K28" s="129"/>
      <c r="L28" s="129"/>
      <c r="M28" s="60">
        <f t="shared" si="0"/>
        <v>1</v>
      </c>
      <c r="N28" s="61">
        <f t="shared" si="3"/>
        <v>85.335855567458964</v>
      </c>
      <c r="O28" s="61">
        <f t="shared" si="16"/>
        <v>153.27069412093047</v>
      </c>
      <c r="P28" s="129">
        <f t="shared" si="4"/>
        <v>177.10942742743939</v>
      </c>
      <c r="Q28" s="129">
        <f t="shared" si="5"/>
        <v>175.25797022114097</v>
      </c>
      <c r="R28" s="129">
        <f t="shared" si="6"/>
        <v>178.97528152529867</v>
      </c>
      <c r="S28" s="61">
        <f t="shared" si="7"/>
        <v>198.35777426836756</v>
      </c>
      <c r="T28" s="61">
        <f t="shared" si="1"/>
        <v>228.71451664344383</v>
      </c>
      <c r="U28" s="61">
        <f t="shared" si="17"/>
        <v>189.57973969778232</v>
      </c>
      <c r="V28" s="61"/>
      <c r="Y28" s="163" t="s">
        <v>42</v>
      </c>
      <c r="Z28" s="163" t="s">
        <v>65</v>
      </c>
      <c r="AA28" s="163" t="s">
        <v>200</v>
      </c>
      <c r="AB28" s="163">
        <f t="shared" si="22"/>
        <v>1</v>
      </c>
      <c r="AC28" s="166">
        <f t="shared" si="23"/>
        <v>148.12164321550011</v>
      </c>
      <c r="AD28" s="166">
        <f t="shared" si="24"/>
        <v>228.71451664344383</v>
      </c>
      <c r="AE28" s="163"/>
      <c r="AF28" s="163">
        <f t="shared" si="10"/>
        <v>6</v>
      </c>
      <c r="AG28" s="168">
        <f t="shared" si="11"/>
        <v>458</v>
      </c>
      <c r="AH28" s="166">
        <f t="shared" si="12"/>
        <v>148.12164321550011</v>
      </c>
      <c r="AI28" s="166">
        <f t="shared" si="13"/>
        <v>134.32219878743612</v>
      </c>
      <c r="AJ28" s="166">
        <f t="shared" si="14"/>
        <v>162.91070295355343</v>
      </c>
      <c r="AK28" s="168">
        <f t="shared" si="15"/>
        <v>2</v>
      </c>
    </row>
    <row r="29" spans="1:37" x14ac:dyDescent="0.2">
      <c r="A29" s="62" t="s">
        <v>52</v>
      </c>
      <c r="B29" s="62" t="s">
        <v>72</v>
      </c>
      <c r="C29" s="62" t="s">
        <v>201</v>
      </c>
      <c r="D29" s="62"/>
      <c r="E29" s="62">
        <f t="shared" si="2"/>
        <v>4</v>
      </c>
      <c r="F29" s="128">
        <v>290</v>
      </c>
      <c r="G29" s="129">
        <v>145.54541188992332</v>
      </c>
      <c r="H29" s="129">
        <v>126.98796957602681</v>
      </c>
      <c r="I29" s="129">
        <v>165.79202982094444</v>
      </c>
      <c r="J29" s="129"/>
      <c r="K29" s="129"/>
      <c r="L29" s="129"/>
      <c r="M29" s="60">
        <f t="shared" si="0"/>
        <v>2</v>
      </c>
      <c r="N29" s="61">
        <f t="shared" si="3"/>
        <v>85.335855567458964</v>
      </c>
      <c r="O29" s="61">
        <f t="shared" si="16"/>
        <v>153.27069412093047</v>
      </c>
      <c r="P29" s="129">
        <f t="shared" si="4"/>
        <v>177.10942742743939</v>
      </c>
      <c r="Q29" s="129">
        <f t="shared" si="5"/>
        <v>175.25797022114097</v>
      </c>
      <c r="R29" s="129">
        <f t="shared" si="6"/>
        <v>178.97528152529867</v>
      </c>
      <c r="S29" s="61">
        <f t="shared" si="7"/>
        <v>198.35777426836756</v>
      </c>
      <c r="T29" s="61">
        <f t="shared" si="1"/>
        <v>228.71451664344383</v>
      </c>
      <c r="U29" s="61">
        <f t="shared" si="17"/>
        <v>155.59867612594553</v>
      </c>
      <c r="V29" s="61"/>
      <c r="Y29" s="163" t="s">
        <v>44</v>
      </c>
      <c r="Z29" s="163" t="s">
        <v>66</v>
      </c>
      <c r="AA29" s="163" t="s">
        <v>200</v>
      </c>
      <c r="AB29" s="163">
        <f t="shared" si="22"/>
        <v>3</v>
      </c>
      <c r="AC29" s="166">
        <f t="shared" si="23"/>
        <v>148.12164321550011</v>
      </c>
      <c r="AD29" s="166">
        <f t="shared" si="24"/>
        <v>228.71451664344383</v>
      </c>
      <c r="AE29" s="163"/>
      <c r="AF29" s="163">
        <f t="shared" si="10"/>
        <v>10</v>
      </c>
      <c r="AG29" s="168">
        <f t="shared" si="11"/>
        <v>612</v>
      </c>
      <c r="AH29" s="166">
        <f t="shared" si="12"/>
        <v>156.99428408681786</v>
      </c>
      <c r="AI29" s="166">
        <f t="shared" si="13"/>
        <v>144.28122311696168</v>
      </c>
      <c r="AJ29" s="166">
        <f t="shared" si="14"/>
        <v>170.49194059957739</v>
      </c>
      <c r="AK29" s="168">
        <f t="shared" si="15"/>
        <v>2</v>
      </c>
    </row>
    <row r="30" spans="1:37" x14ac:dyDescent="0.2">
      <c r="A30" s="62" t="s">
        <v>53</v>
      </c>
      <c r="B30" s="62" t="s">
        <v>162</v>
      </c>
      <c r="C30" s="62" t="s">
        <v>163</v>
      </c>
      <c r="D30" s="62"/>
      <c r="E30" s="62">
        <f t="shared" si="2"/>
        <v>22</v>
      </c>
      <c r="F30" s="128">
        <v>4603</v>
      </c>
      <c r="G30" s="129">
        <v>200.47840094687112</v>
      </c>
      <c r="H30" s="129">
        <v>194.65187937663458</v>
      </c>
      <c r="I30" s="129">
        <v>206.43328919208676</v>
      </c>
      <c r="J30" s="129"/>
      <c r="K30" s="129"/>
      <c r="L30" s="129"/>
      <c r="M30" s="60">
        <f t="shared" si="0"/>
        <v>1</v>
      </c>
      <c r="N30" s="61">
        <f t="shared" si="3"/>
        <v>85.335855567458964</v>
      </c>
      <c r="O30" s="61">
        <f t="shared" si="16"/>
        <v>153.27069412093047</v>
      </c>
      <c r="P30" s="129">
        <f>$G$32</f>
        <v>177.10942742743939</v>
      </c>
      <c r="Q30" s="129">
        <f t="shared" si="5"/>
        <v>175.25797022114097</v>
      </c>
      <c r="R30" s="129">
        <f t="shared" si="6"/>
        <v>178.97528152529867</v>
      </c>
      <c r="S30" s="61">
        <f t="shared" si="7"/>
        <v>198.35777426836756</v>
      </c>
      <c r="T30" s="61">
        <f t="shared" si="1"/>
        <v>228.71451664344383</v>
      </c>
      <c r="U30" s="61">
        <f t="shared" si="17"/>
        <v>182.41164829957881</v>
      </c>
      <c r="V30" s="61"/>
      <c r="Y30" s="163" t="s">
        <v>49</v>
      </c>
      <c r="Z30" s="163" t="s">
        <v>70</v>
      </c>
      <c r="AA30" s="163" t="s">
        <v>200</v>
      </c>
      <c r="AB30" s="163">
        <f t="shared" si="22"/>
        <v>4</v>
      </c>
      <c r="AC30" s="166">
        <f t="shared" si="23"/>
        <v>148.12164321550011</v>
      </c>
      <c r="AD30" s="166">
        <f t="shared" si="24"/>
        <v>228.71451664344383</v>
      </c>
      <c r="AE30" s="163"/>
      <c r="AF30" s="163">
        <f t="shared" si="10"/>
        <v>12</v>
      </c>
      <c r="AG30" s="168">
        <f t="shared" si="11"/>
        <v>1100</v>
      </c>
      <c r="AH30" s="166">
        <f t="shared" si="12"/>
        <v>168.97070586946262</v>
      </c>
      <c r="AI30" s="166">
        <f t="shared" si="13"/>
        <v>158.70444403697545</v>
      </c>
      <c r="AJ30" s="166">
        <f t="shared" si="14"/>
        <v>179.70556551011751</v>
      </c>
      <c r="AK30" s="168">
        <f t="shared" si="15"/>
        <v>5</v>
      </c>
    </row>
    <row r="31" spans="1:37" x14ac:dyDescent="0.2">
      <c r="A31" s="62" t="s">
        <v>54</v>
      </c>
      <c r="B31" s="62" t="s">
        <v>73</v>
      </c>
      <c r="C31" s="62" t="s">
        <v>201</v>
      </c>
      <c r="D31" s="62"/>
      <c r="E31" s="62">
        <f t="shared" si="2"/>
        <v>5</v>
      </c>
      <c r="F31" s="128">
        <v>329</v>
      </c>
      <c r="G31" s="129">
        <v>145.68236660156902</v>
      </c>
      <c r="H31" s="129">
        <v>127.85323667471343</v>
      </c>
      <c r="I31" s="129">
        <v>165.03062512533151</v>
      </c>
      <c r="J31" s="129"/>
      <c r="K31" s="129"/>
      <c r="L31" s="129"/>
      <c r="M31" s="60">
        <f t="shared" si="0"/>
        <v>2</v>
      </c>
      <c r="N31" s="61">
        <f t="shared" si="3"/>
        <v>85.335855567458964</v>
      </c>
      <c r="O31" s="61">
        <f t="shared" si="16"/>
        <v>153.27069412093047</v>
      </c>
      <c r="P31" s="129">
        <f t="shared" si="4"/>
        <v>177.10942742743939</v>
      </c>
      <c r="Q31" s="129">
        <f t="shared" si="5"/>
        <v>175.25797022114097</v>
      </c>
      <c r="R31" s="129">
        <f t="shared" si="6"/>
        <v>178.97528152529867</v>
      </c>
      <c r="S31" s="61">
        <f t="shared" si="7"/>
        <v>198.35777426836756</v>
      </c>
      <c r="T31" s="61">
        <f t="shared" si="1"/>
        <v>228.71451664344383</v>
      </c>
      <c r="U31" s="61">
        <f t="shared" si="17"/>
        <v>155.59867612594553</v>
      </c>
      <c r="V31" s="61"/>
      <c r="Y31" s="163" t="s">
        <v>51</v>
      </c>
      <c r="Z31" s="163" t="s">
        <v>71</v>
      </c>
      <c r="AA31" s="163" t="s">
        <v>200</v>
      </c>
      <c r="AB31" s="163">
        <f t="shared" si="22"/>
        <v>8</v>
      </c>
      <c r="AC31" s="166">
        <f t="shared" si="23"/>
        <v>148.12164321550011</v>
      </c>
      <c r="AD31" s="166">
        <f t="shared" si="24"/>
        <v>228.71451664344383</v>
      </c>
      <c r="AE31" s="163"/>
      <c r="AF31" s="163">
        <f t="shared" si="10"/>
        <v>25</v>
      </c>
      <c r="AG31" s="168">
        <f t="shared" si="11"/>
        <v>816</v>
      </c>
      <c r="AH31" s="166">
        <f t="shared" si="12"/>
        <v>211.69130346795771</v>
      </c>
      <c r="AI31" s="166">
        <f t="shared" si="13"/>
        <v>196.87753195298265</v>
      </c>
      <c r="AJ31" s="166">
        <f t="shared" si="14"/>
        <v>227.29329447278823</v>
      </c>
      <c r="AK31" s="168">
        <f t="shared" si="15"/>
        <v>1</v>
      </c>
    </row>
    <row r="32" spans="1:37" x14ac:dyDescent="0.2">
      <c r="A32" s="62"/>
      <c r="B32" s="62" t="s">
        <v>171</v>
      </c>
      <c r="C32" s="62"/>
      <c r="D32" s="62"/>
      <c r="E32" s="62"/>
      <c r="F32" s="128">
        <v>36377</v>
      </c>
      <c r="G32" s="129">
        <v>177.10942742743939</v>
      </c>
      <c r="H32" s="129">
        <v>175.25797022114097</v>
      </c>
      <c r="I32" s="129">
        <v>178.97528152529867</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15644</v>
      </c>
      <c r="G44" s="129">
        <v>182.41164829957881</v>
      </c>
      <c r="H44" s="129">
        <v>179.54558623138971</v>
      </c>
      <c r="I44" s="129">
        <v>185.31177184699169</v>
      </c>
      <c r="J44" s="129">
        <f>VLOOKUP($C44,$AA$6:$AD$13,3,FALSE)</f>
        <v>142.85581263851503</v>
      </c>
      <c r="K44" s="129">
        <f>VLOOKUP($C44,$AA$6:$AD$13,4,FALSE)</f>
        <v>207.26130039389551</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1</v>
      </c>
      <c r="N44" s="61">
        <f>MIN($G$6:$G$31)</f>
        <v>85.335855567458964</v>
      </c>
      <c r="O44" s="61">
        <f>VLOOKUP(7,$E$5:$G$39,3,FALSE)</f>
        <v>153.27069412093047</v>
      </c>
      <c r="P44" s="129">
        <f>$G$32</f>
        <v>177.10942742743939</v>
      </c>
      <c r="Q44" s="129">
        <f>$H$32</f>
        <v>175.25797022114097</v>
      </c>
      <c r="R44" s="129">
        <f>$I$32</f>
        <v>178.97528152529867</v>
      </c>
      <c r="S44" s="61">
        <f>VLOOKUP(20,$E$5:$G$39,3,FALSE)</f>
        <v>198.35777426836756</v>
      </c>
      <c r="T44" s="61">
        <f>MAX($G$6:$G$31)</f>
        <v>228.71451664344383</v>
      </c>
    </row>
    <row r="45" spans="1:22" x14ac:dyDescent="0.2">
      <c r="C45" s="62" t="s">
        <v>201</v>
      </c>
      <c r="D45" s="62"/>
      <c r="E45" s="62"/>
      <c r="F45" s="128">
        <v>7315</v>
      </c>
      <c r="G45" s="129">
        <v>155.59867612594553</v>
      </c>
      <c r="H45" s="129">
        <v>151.83555447361289</v>
      </c>
      <c r="I45" s="129">
        <v>159.42739939496997</v>
      </c>
      <c r="J45" s="129">
        <f>VLOOKUP($C45,$AA$14:$AD$22,3,FALSE)</f>
        <v>85.335855567458964</v>
      </c>
      <c r="K45" s="129">
        <f>VLOOKUP($C45,$AA$14:$AD$22,4,FALSE)</f>
        <v>187.41878550891593</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2</v>
      </c>
      <c r="N45" s="61">
        <f>MIN($G$6:$G$31)</f>
        <v>85.335855567458964</v>
      </c>
      <c r="O45" s="61">
        <f>VLOOKUP(7,$E$5:$G$39,3,FALSE)</f>
        <v>153.27069412093047</v>
      </c>
      <c r="P45" s="129">
        <f>$G$32</f>
        <v>177.10942742743939</v>
      </c>
      <c r="Q45" s="129">
        <f t="shared" ref="Q45:Q46" si="25">$H$32</f>
        <v>175.25797022114097</v>
      </c>
      <c r="R45" s="129">
        <f t="shared" ref="R45:R46" si="26">$I$32</f>
        <v>178.97528152529867</v>
      </c>
      <c r="S45" s="61">
        <f>VLOOKUP(20,$E$5:$G$39,3,FALSE)</f>
        <v>198.35777426836756</v>
      </c>
      <c r="T45" s="61">
        <f t="shared" ref="T45:T46" si="27">MAX($G$6:$G$31)</f>
        <v>228.71451664344383</v>
      </c>
    </row>
    <row r="46" spans="1:22" x14ac:dyDescent="0.2">
      <c r="C46" s="62" t="s">
        <v>200</v>
      </c>
      <c r="D46" s="62"/>
      <c r="E46" s="62"/>
      <c r="F46" s="128">
        <v>13418</v>
      </c>
      <c r="G46" s="129">
        <v>189.57973969778232</v>
      </c>
      <c r="H46" s="129">
        <v>186.34215552290729</v>
      </c>
      <c r="I46" s="129">
        <v>192.85889166157901</v>
      </c>
      <c r="J46" s="129">
        <f>VLOOKUP($C46,$AA$23:$AD$31,3,FALSE)</f>
        <v>148.12164321550011</v>
      </c>
      <c r="K46" s="129">
        <f>VLOOKUP($C46,$AA$23:$AD$31,4,FALSE)</f>
        <v>228.71451664344383</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1</v>
      </c>
      <c r="N46" s="61">
        <f>MIN($G$6:$G$31)</f>
        <v>85.335855567458964</v>
      </c>
      <c r="O46" s="61">
        <f>VLOOKUP(7,$E$5:$G$39,3,FALSE)</f>
        <v>153.27069412093047</v>
      </c>
      <c r="P46" s="129">
        <f t="shared" ref="P46" si="28">$G$32</f>
        <v>177.10942742743939</v>
      </c>
      <c r="Q46" s="129">
        <f t="shared" si="25"/>
        <v>175.25797022114097</v>
      </c>
      <c r="R46" s="129">
        <f t="shared" si="26"/>
        <v>178.97528152529867</v>
      </c>
      <c r="S46" s="61">
        <f>VLOOKUP(20,$E$5:$G$39,3,FALSE)</f>
        <v>198.35777426836756</v>
      </c>
      <c r="T46" s="61">
        <f t="shared" si="27"/>
        <v>228.71451664344383</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K2:N2" xr:uid="{00000000-0002-0000-1200-000000000000}">
      <formula1>"High = Worst,Low = Worst"</formula1>
    </dataValidation>
    <dataValidation type="list" allowBlank="1" showInputMessage="1" showErrorMessage="1" sqref="C2:D2" xr:uid="{00000000-0002-0000-1200-000001000000}">
      <formula1>"Better / Worse,Higher / Lower,Significance not measured"</formula1>
    </dataValidation>
  </dataValidations>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0">
    <tabColor theme="4"/>
    <pageSetUpPr fitToPage="1"/>
  </sheetPr>
  <dimension ref="B1:AM131"/>
  <sheetViews>
    <sheetView showGridLines="0" zoomScaleNormal="100" workbookViewId="0"/>
  </sheetViews>
  <sheetFormatPr defaultColWidth="2.33203125" defaultRowHeight="15.9" customHeight="1" x14ac:dyDescent="0.25"/>
  <cols>
    <col min="1" max="1" width="1.5546875" style="8" customWidth="1"/>
    <col min="2" max="2" width="6.33203125" style="15" customWidth="1"/>
    <col min="3" max="3" width="4" style="15" customWidth="1"/>
    <col min="4" max="4" width="85.88671875" style="15" customWidth="1"/>
    <col min="5" max="5" width="15.6640625" style="15" customWidth="1"/>
    <col min="6" max="6" width="6.44140625" style="15" customWidth="1"/>
    <col min="7" max="7" width="7" style="15" customWidth="1"/>
    <col min="8" max="8" width="7.109375" style="15" customWidth="1"/>
    <col min="9" max="9" width="8.109375" style="15" customWidth="1"/>
    <col min="10" max="10" width="8.88671875" style="15" customWidth="1"/>
    <col min="11" max="13" width="3.88671875" style="15" customWidth="1"/>
    <col min="14" max="22" width="3.88671875" style="8" customWidth="1"/>
    <col min="23" max="23" width="6.88671875" style="8" customWidth="1"/>
    <col min="24" max="24" width="8" style="8" customWidth="1"/>
    <col min="25" max="26" width="2.33203125" style="8"/>
    <col min="27" max="27" width="7.109375" style="8" customWidth="1"/>
    <col min="28" max="16384" width="2.33203125" style="8"/>
  </cols>
  <sheetData>
    <row r="1" spans="2:28" ht="11.25" customHeight="1" x14ac:dyDescent="0.25"/>
    <row r="2" spans="2:28" ht="30" x14ac:dyDescent="0.5">
      <c r="B2" s="302" t="s">
        <v>409</v>
      </c>
      <c r="C2" s="27"/>
    </row>
    <row r="3" spans="2:28" ht="9" customHeight="1" x14ac:dyDescent="0.3">
      <c r="B3" s="22"/>
      <c r="C3" s="22"/>
    </row>
    <row r="4" spans="2:28" ht="22.8" x14ac:dyDescent="0.4">
      <c r="B4" s="303" t="s">
        <v>120</v>
      </c>
      <c r="C4" s="312"/>
      <c r="D4" s="305"/>
      <c r="E4" s="303" t="s">
        <v>121</v>
      </c>
      <c r="F4" s="305"/>
      <c r="G4" s="305"/>
    </row>
    <row r="5" spans="2:28" ht="3" customHeight="1" x14ac:dyDescent="0.4">
      <c r="B5" s="312"/>
      <c r="C5" s="312"/>
      <c r="D5" s="305"/>
      <c r="F5" s="305"/>
      <c r="G5" s="305"/>
    </row>
    <row r="6" spans="2:28" ht="23.25" customHeight="1" x14ac:dyDescent="0.25">
      <c r="B6" s="390" t="s">
        <v>116</v>
      </c>
      <c r="C6" s="390"/>
      <c r="D6" s="390"/>
      <c r="E6" s="390" t="s">
        <v>101</v>
      </c>
      <c r="F6" s="390"/>
      <c r="G6" s="390"/>
      <c r="H6" s="390"/>
      <c r="I6" s="390"/>
      <c r="J6" s="390"/>
      <c r="K6" s="390"/>
      <c r="L6" s="390"/>
      <c r="M6" s="390"/>
      <c r="N6" s="390"/>
      <c r="O6" s="390"/>
      <c r="P6" s="390"/>
      <c r="Q6" s="390"/>
      <c r="R6" s="341"/>
      <c r="S6" s="341"/>
      <c r="T6" s="341"/>
      <c r="U6" s="341"/>
      <c r="V6" s="341"/>
      <c r="W6" s="341"/>
    </row>
    <row r="7" spans="2:28" ht="22.5" customHeight="1" x14ac:dyDescent="0.4">
      <c r="B7" s="130"/>
      <c r="C7"/>
      <c r="D7"/>
      <c r="E7" s="342" t="str">
        <f>IF(E6="Practice Locality",(VLOOKUP(B6,$D$94:$E$119,2,FALSE)),"")</f>
        <v>West Locality</v>
      </c>
      <c r="F7"/>
      <c r="G7"/>
      <c r="H7"/>
      <c r="J7" s="341"/>
      <c r="K7" s="341"/>
      <c r="L7" s="341"/>
      <c r="M7" s="341"/>
      <c r="N7" s="341"/>
      <c r="O7" s="341"/>
      <c r="P7" s="341"/>
      <c r="Q7" s="341"/>
      <c r="R7" s="341"/>
      <c r="S7" s="341"/>
      <c r="T7" s="341"/>
      <c r="U7" s="341"/>
      <c r="V7" s="341"/>
      <c r="W7" s="341"/>
    </row>
    <row r="8" spans="2:28" ht="18" customHeight="1" x14ac:dyDescent="0.4">
      <c r="B8" s="130"/>
      <c r="C8"/>
      <c r="D8"/>
      <c r="E8"/>
      <c r="F8"/>
      <c r="G8"/>
      <c r="H8"/>
      <c r="I8" s="157"/>
      <c r="J8" s="28"/>
      <c r="K8"/>
      <c r="L8"/>
      <c r="M8"/>
      <c r="N8"/>
      <c r="O8"/>
      <c r="P8"/>
      <c r="Q8"/>
      <c r="R8"/>
      <c r="S8"/>
      <c r="T8"/>
      <c r="U8"/>
      <c r="V8"/>
      <c r="W8"/>
    </row>
    <row r="9" spans="2:28" ht="6" customHeight="1" x14ac:dyDescent="0.3">
      <c r="B9" s="28"/>
      <c r="C9" s="28"/>
      <c r="N9" s="15"/>
    </row>
    <row r="10" spans="2:28" ht="6" customHeight="1" thickBot="1" x14ac:dyDescent="0.35">
      <c r="B10" s="28"/>
      <c r="C10" s="28"/>
      <c r="N10" s="15"/>
    </row>
    <row r="11" spans="2:28" ht="23.25" customHeight="1" x14ac:dyDescent="0.25">
      <c r="B11" s="8"/>
      <c r="C11" s="8"/>
      <c r="D11" s="8"/>
      <c r="E11" s="402" t="s">
        <v>186</v>
      </c>
      <c r="F11" s="417" t="s">
        <v>125</v>
      </c>
      <c r="G11" s="420" t="s">
        <v>20</v>
      </c>
      <c r="H11" s="420" t="s">
        <v>126</v>
      </c>
      <c r="I11" s="414" t="s">
        <v>185</v>
      </c>
      <c r="J11" s="393" t="s">
        <v>188</v>
      </c>
      <c r="N11" s="15"/>
      <c r="X11" s="393" t="s">
        <v>187</v>
      </c>
    </row>
    <row r="12" spans="2:28" s="7" customFormat="1" ht="23.25" customHeight="1" thickBot="1" x14ac:dyDescent="0.3">
      <c r="E12" s="403"/>
      <c r="F12" s="418"/>
      <c r="G12" s="421"/>
      <c r="H12" s="421"/>
      <c r="I12" s="415"/>
      <c r="J12" s="394"/>
      <c r="X12" s="399"/>
      <c r="Y12" s="127"/>
    </row>
    <row r="13" spans="2:28" ht="25.5" customHeight="1" thickBot="1" x14ac:dyDescent="0.3">
      <c r="B13" s="30"/>
      <c r="C13" s="411" t="s">
        <v>0</v>
      </c>
      <c r="D13" s="412"/>
      <c r="E13" s="404"/>
      <c r="F13" s="419"/>
      <c r="G13" s="422"/>
      <c r="H13" s="422"/>
      <c r="I13" s="416"/>
      <c r="J13" s="394"/>
      <c r="K13" s="409"/>
      <c r="L13" s="410"/>
      <c r="M13" s="410"/>
      <c r="N13" s="47"/>
      <c r="O13" s="47"/>
      <c r="P13" s="47"/>
      <c r="Q13" s="47"/>
      <c r="R13" s="47"/>
      <c r="S13" s="47"/>
      <c r="T13" s="47"/>
      <c r="U13" s="410"/>
      <c r="V13" s="410"/>
      <c r="W13" s="413"/>
      <c r="X13" s="399"/>
      <c r="Y13" s="184"/>
    </row>
    <row r="14" spans="2:28" s="9" customFormat="1" ht="4.5" customHeight="1" x14ac:dyDescent="0.25">
      <c r="B14" s="405" t="s">
        <v>196</v>
      </c>
      <c r="C14" s="40"/>
      <c r="D14" s="36"/>
      <c r="E14" s="176"/>
      <c r="F14" s="44"/>
      <c r="G14" s="45"/>
      <c r="H14" s="45"/>
      <c r="I14" s="46"/>
      <c r="J14" s="198" t="str">
        <f>IF(ISBLANK(Calculation!M10), "",Calculation!U10)</f>
        <v/>
      </c>
      <c r="K14" s="298"/>
      <c r="L14" s="298"/>
      <c r="M14" s="298"/>
      <c r="N14" s="298"/>
      <c r="O14" s="298"/>
      <c r="P14" s="298"/>
      <c r="Q14" s="298"/>
      <c r="R14" s="298"/>
      <c r="S14" s="298"/>
      <c r="T14" s="298"/>
      <c r="U14" s="298"/>
      <c r="V14" s="298"/>
      <c r="W14" s="299"/>
      <c r="X14" s="367" t="str">
        <f>IF(ISBLANK(Calculation!M10), "",Calculation!T10)</f>
        <v/>
      </c>
    </row>
    <row r="15" spans="2:28" s="9" customFormat="1" ht="18.75" customHeight="1" x14ac:dyDescent="0.25">
      <c r="B15" s="406"/>
      <c r="C15" s="41">
        <f>Calculation!B11</f>
        <v>1</v>
      </c>
      <c r="D15" s="37" t="str">
        <f>Calculation!C11</f>
        <v>% Registered patients aged 0-4 years</v>
      </c>
      <c r="E15" s="204">
        <f>'Spine Chart (Locality)'!E15</f>
        <v>2019</v>
      </c>
      <c r="F15" s="190">
        <f ca="1">IF(Calculation!F11="","N/A",IF(Calculation!F11&lt;6,"N/A",Calculation!F11))</f>
        <v>458</v>
      </c>
      <c r="G15" s="345">
        <f ca="1">IF(Calculation!G11="","N/A",Calculation!G11)</f>
        <v>4.9041653281935966</v>
      </c>
      <c r="H15" s="346">
        <f ca="1">Calculation!S11</f>
        <v>5.7919649041791734</v>
      </c>
      <c r="I15" s="347">
        <f ca="1">Calculation!M11</f>
        <v>5.476312119412877</v>
      </c>
      <c r="J15" s="348">
        <f ca="1">Calculation!U11</f>
        <v>1.3017689360138576</v>
      </c>
      <c r="K15" s="24"/>
      <c r="L15" s="24"/>
      <c r="M15" s="24"/>
      <c r="N15" s="24"/>
      <c r="O15" s="24"/>
      <c r="P15" s="24"/>
      <c r="Q15" s="24"/>
      <c r="R15" s="24"/>
      <c r="S15" s="24"/>
      <c r="T15" s="24"/>
      <c r="U15" s="24"/>
      <c r="V15" s="24"/>
      <c r="W15" s="227"/>
      <c r="X15" s="368">
        <f ca="1">Calculation!T11</f>
        <v>7.8571935552558738</v>
      </c>
      <c r="AA15" s="376"/>
    </row>
    <row r="16" spans="2:28" ht="18.75" customHeight="1" x14ac:dyDescent="0.25">
      <c r="B16" s="406"/>
      <c r="C16" s="41">
        <f>Calculation!B12</f>
        <v>2</v>
      </c>
      <c r="D16" s="38" t="str">
        <f>Calculation!C12</f>
        <v xml:space="preserve">% Registered patients aged 0-17 years </v>
      </c>
      <c r="E16" s="204">
        <f>'Spine Chart (Locality)'!E16</f>
        <v>2019</v>
      </c>
      <c r="F16" s="190">
        <f ca="1">IF(Calculation!F12="","N/A",IF(Calculation!F12&lt;6,"N/A",Calculation!F12))</f>
        <v>1516</v>
      </c>
      <c r="G16" s="349">
        <f ca="1">IF(Calculation!G12="","N/A",Calculation!G12)</f>
        <v>16.233001392011992</v>
      </c>
      <c r="H16" s="349">
        <f ca="1">Calculation!S12</f>
        <v>20.895867005310549</v>
      </c>
      <c r="I16" s="350">
        <f ca="1">Calculation!M12</f>
        <v>18.814984603913228</v>
      </c>
      <c r="J16" s="351">
        <f ca="1">Calculation!U12</f>
        <v>3.9735446958164928</v>
      </c>
      <c r="K16" s="24"/>
      <c r="L16" s="24"/>
      <c r="M16" s="24"/>
      <c r="N16" s="24"/>
      <c r="O16" s="24"/>
      <c r="P16" s="24"/>
      <c r="Q16" s="24"/>
      <c r="R16" s="24"/>
      <c r="S16" s="24"/>
      <c r="T16" s="24"/>
      <c r="U16" s="24"/>
      <c r="V16" s="24"/>
      <c r="W16" s="227"/>
      <c r="X16" s="369">
        <f ca="1">Calculation!T12</f>
        <v>25.920931222939885</v>
      </c>
      <c r="Y16" s="9"/>
      <c r="Z16" s="9"/>
      <c r="AA16" s="9"/>
      <c r="AB16" s="10"/>
    </row>
    <row r="17" spans="2:39" ht="18.75" customHeight="1" x14ac:dyDescent="0.25">
      <c r="B17" s="406"/>
      <c r="C17" s="41">
        <f>Calculation!B13</f>
        <v>3</v>
      </c>
      <c r="D17" s="38" t="str">
        <f>Calculation!C13</f>
        <v xml:space="preserve">% Registered patients 18-64 years </v>
      </c>
      <c r="E17" s="204">
        <f>'Spine Chart (Locality)'!E17</f>
        <v>2019</v>
      </c>
      <c r="F17" s="190">
        <f ca="1">IF(Calculation!F13="","N/A",IF(Calculation!F13&lt;6,"N/A",Calculation!F13))</f>
        <v>6665</v>
      </c>
      <c r="G17" s="349">
        <f ca="1">IF(Calculation!G13="","N/A",Calculation!G13)</f>
        <v>71.367384088232143</v>
      </c>
      <c r="H17" s="349">
        <f ca="1">Calculation!S13</f>
        <v>64.061417686446546</v>
      </c>
      <c r="I17" s="350">
        <f ca="1">Calculation!M13</f>
        <v>68.250231286505297</v>
      </c>
      <c r="J17" s="351">
        <f ca="1">Calculation!U13</f>
        <v>59.791326566825191</v>
      </c>
      <c r="K17" s="24"/>
      <c r="L17" s="24"/>
      <c r="M17" s="24"/>
      <c r="N17" s="24"/>
      <c r="O17" s="24"/>
      <c r="P17" s="24"/>
      <c r="Q17" s="24"/>
      <c r="R17" s="24"/>
      <c r="S17" s="24"/>
      <c r="T17" s="24"/>
      <c r="U17" s="24"/>
      <c r="V17" s="24"/>
      <c r="W17" s="227"/>
      <c r="X17" s="370">
        <f ca="1">Calculation!T13</f>
        <v>94.782426119363819</v>
      </c>
      <c r="Y17" s="9"/>
      <c r="Z17" s="10"/>
      <c r="AM17" s="9"/>
    </row>
    <row r="18" spans="2:39" s="9" customFormat="1" ht="18.75" customHeight="1" x14ac:dyDescent="0.25">
      <c r="B18" s="406"/>
      <c r="C18" s="41">
        <f>Calculation!B14</f>
        <v>4</v>
      </c>
      <c r="D18" s="183" t="str">
        <f>Calculation!C14</f>
        <v>% Registered patients aged 65+ years</v>
      </c>
      <c r="E18" s="204">
        <f>'Spine Chart (Locality)'!E18</f>
        <v>2019</v>
      </c>
      <c r="F18" s="190">
        <f ca="1">IF(Calculation!F14="","N/A",IF(Calculation!F14&lt;6,"N/A",Calculation!F14))</f>
        <v>1158</v>
      </c>
      <c r="G18" s="352">
        <f ca="1">IF(Calculation!G14="","N/A",Calculation!G14)</f>
        <v>12.399614519755863</v>
      </c>
      <c r="H18" s="352">
        <f ca="1">Calculation!S14</f>
        <v>15.042715308242899</v>
      </c>
      <c r="I18" s="353">
        <f ca="1">Calculation!M14</f>
        <v>12.934784109581475</v>
      </c>
      <c r="J18" s="354">
        <f ca="1">Calculation!U14</f>
        <v>1.2440291848196945</v>
      </c>
      <c r="K18" s="24"/>
      <c r="L18" s="24"/>
      <c r="M18" s="24"/>
      <c r="N18" s="24"/>
      <c r="O18" s="24"/>
      <c r="P18" s="24"/>
      <c r="Q18" s="24"/>
      <c r="R18" s="24"/>
      <c r="S18" s="24"/>
      <c r="T18" s="24"/>
      <c r="U18" s="24"/>
      <c r="V18" s="24"/>
      <c r="W18" s="227"/>
      <c r="X18" s="371">
        <f ca="1">Calculation!T14</f>
        <v>20.986823122054439</v>
      </c>
      <c r="AB18" s="11"/>
      <c r="AC18" s="12"/>
      <c r="AD18" s="12"/>
      <c r="AE18" s="12"/>
      <c r="AF18" s="12"/>
      <c r="AG18" s="12"/>
      <c r="AH18" s="12"/>
      <c r="AI18" s="12"/>
      <c r="AJ18" s="12"/>
      <c r="AK18" s="12"/>
      <c r="AL18" s="12"/>
    </row>
    <row r="19" spans="2:39" s="9" customFormat="1" ht="18.75" customHeight="1" x14ac:dyDescent="0.25">
      <c r="B19" s="406"/>
      <c r="C19" s="41">
        <f>Calculation!B15</f>
        <v>5</v>
      </c>
      <c r="D19" s="37" t="str">
        <f>Calculation!C15</f>
        <v>% Patients living in the most deprived quintile in England</v>
      </c>
      <c r="E19" s="204">
        <f>'Spine Chart (Locality)'!E19</f>
        <v>2019</v>
      </c>
      <c r="F19" s="190">
        <f ca="1">IF(Calculation!F15="","N/A",IF(Calculation!F15&lt;6,"N/A",Calculation!F15))</f>
        <v>645</v>
      </c>
      <c r="G19" s="346">
        <f ca="1">IF(Calculation!G15="","N/A",Calculation!G15)</f>
        <v>6.9131832797427659</v>
      </c>
      <c r="H19" s="346">
        <f ca="1">Calculation!S15</f>
        <v>27.095917306692844</v>
      </c>
      <c r="I19" s="347">
        <f ca="1">Calculation!M15</f>
        <v>27.410865991628796</v>
      </c>
      <c r="J19" s="269">
        <f ca="1">Calculation!U15</f>
        <v>52.974739641037004</v>
      </c>
      <c r="K19" s="24"/>
      <c r="L19" s="24"/>
      <c r="M19" s="24"/>
      <c r="N19" s="24"/>
      <c r="O19" s="24"/>
      <c r="P19" s="24"/>
      <c r="Q19" s="24"/>
      <c r="R19" s="24"/>
      <c r="S19" s="24"/>
      <c r="T19" s="24"/>
      <c r="U19" s="24"/>
      <c r="V19" s="24"/>
      <c r="W19" s="227"/>
      <c r="X19" s="368">
        <f ca="1">Calculation!T15</f>
        <v>4.4858299595141702</v>
      </c>
    </row>
    <row r="20" spans="2:39" s="9" customFormat="1" ht="18.75" customHeight="1" x14ac:dyDescent="0.25">
      <c r="B20" s="406"/>
      <c r="C20" s="340">
        <f>Calculation!B16</f>
        <v>6</v>
      </c>
      <c r="D20" s="183" t="str">
        <f>Calculation!C16</f>
        <v>% Resident population age 3+ that have English as a first language*</v>
      </c>
      <c r="E20" s="204">
        <f>'Spine Chart (Locality)'!E20</f>
        <v>2011</v>
      </c>
      <c r="F20" s="205" t="str">
        <f ca="1">IF(Calculation!F16="","N/A",IF(Calculation!F16&lt;6,"N/A",Calculation!F16))</f>
        <v>N/A</v>
      </c>
      <c r="G20" s="352">
        <f ca="1">IF(Calculation!G16="","N/A",Calculation!G16)</f>
        <v>85.028364082383604</v>
      </c>
      <c r="H20" s="352">
        <f ca="1">Calculation!S16</f>
        <v>89.304330675382488</v>
      </c>
      <c r="I20" s="353">
        <f ca="1">Calculation!M16</f>
        <v>88.151671279165441</v>
      </c>
      <c r="J20" s="266">
        <f ca="1">Calculation!U16</f>
        <v>74.0476335135792</v>
      </c>
      <c r="K20" s="24"/>
      <c r="L20" s="24"/>
      <c r="M20" s="24"/>
      <c r="N20" s="24"/>
      <c r="O20" s="24"/>
      <c r="P20" s="24"/>
      <c r="Q20" s="24"/>
      <c r="R20" s="24"/>
      <c r="S20" s="24"/>
      <c r="T20" s="24"/>
      <c r="U20" s="24"/>
      <c r="V20" s="24"/>
      <c r="W20" s="227"/>
      <c r="X20" s="368">
        <f ca="1">Calculation!T16</f>
        <v>96.096831575962256</v>
      </c>
      <c r="AA20" s="7"/>
    </row>
    <row r="21" spans="2:39" s="9" customFormat="1" ht="18.75" customHeight="1" x14ac:dyDescent="0.25">
      <c r="B21" s="407"/>
      <c r="C21" s="182">
        <f>Calculation!B17</f>
        <v>7</v>
      </c>
      <c r="D21" s="195" t="str">
        <f>Calculation!C17</f>
        <v>% of residents (aged 16-64) economically active*</v>
      </c>
      <c r="E21" s="259">
        <f>'Spine Chart (Locality)'!E21</f>
        <v>2011</v>
      </c>
      <c r="F21" s="260" t="str">
        <f ca="1">IF(Calculation!F17="","N/A",IF(Calculation!F17&lt;6,"N/A",Calculation!F17))</f>
        <v>N/A</v>
      </c>
      <c r="G21" s="355">
        <f ca="1">IF(Calculation!G17="","N/A",Calculation!G17)</f>
        <v>77.157427208422448</v>
      </c>
      <c r="H21" s="355">
        <f ca="1">Calculation!S17</f>
        <v>81.051472060885231</v>
      </c>
      <c r="I21" s="275">
        <f ca="1">Calculation!M17</f>
        <v>75.04521783464233</v>
      </c>
      <c r="J21" s="276">
        <f ca="1">Calculation!U17</f>
        <v>55.57344909676516</v>
      </c>
      <c r="K21" s="196"/>
      <c r="L21" s="196"/>
      <c r="M21" s="196"/>
      <c r="N21" s="196"/>
      <c r="O21" s="196"/>
      <c r="P21" s="196"/>
      <c r="Q21" s="196"/>
      <c r="R21" s="196"/>
      <c r="S21" s="196"/>
      <c r="T21" s="196"/>
      <c r="U21" s="196"/>
      <c r="V21" s="196"/>
      <c r="W21" s="228"/>
      <c r="X21" s="372">
        <f ca="1">Calculation!T17</f>
        <v>84.311332767402376</v>
      </c>
    </row>
    <row r="22" spans="2:39" s="9" customFormat="1" ht="18.75" customHeight="1" x14ac:dyDescent="0.25">
      <c r="B22" s="408" t="s">
        <v>213</v>
      </c>
      <c r="C22" s="220">
        <f>Calculation!B18</f>
        <v>8</v>
      </c>
      <c r="D22" s="37" t="str">
        <f>Calculation!C18</f>
        <v>Life expectancy at birth (males)</v>
      </c>
      <c r="E22" s="204" t="str">
        <f>'Spine Chart (Locality)'!E22</f>
        <v>2015-17</v>
      </c>
      <c r="F22" s="190" t="str">
        <f ca="1">IF(Calculation!F18="","N/A",IF(Calculation!F18&lt;6,"N/A",Calculation!F18))</f>
        <v>N/A</v>
      </c>
      <c r="G22" s="345">
        <f ca="1">IF(Calculation!G18="","N/A",Calculation!G18)</f>
        <v>83.079873261921065</v>
      </c>
      <c r="H22" s="346">
        <f ca="1">Calculation!S18</f>
        <v>80.182339242425471</v>
      </c>
      <c r="I22" s="347">
        <f ca="1">Calculation!M18</f>
        <v>79.996892875729387</v>
      </c>
      <c r="J22" s="348">
        <f ca="1">Calculation!U18</f>
        <v>74.20453444581581</v>
      </c>
      <c r="K22" s="24"/>
      <c r="L22" s="24"/>
      <c r="M22" s="24"/>
      <c r="N22" s="24"/>
      <c r="O22" s="24"/>
      <c r="P22" s="24"/>
      <c r="Q22" s="24"/>
      <c r="R22" s="24"/>
      <c r="S22" s="24"/>
      <c r="T22" s="24"/>
      <c r="U22" s="24"/>
      <c r="V22" s="24"/>
      <c r="W22" s="227"/>
      <c r="X22" s="368">
        <f ca="1">Calculation!T18</f>
        <v>89.394808474842165</v>
      </c>
    </row>
    <row r="23" spans="2:39" s="9" customFormat="1" ht="18.75" customHeight="1" x14ac:dyDescent="0.25">
      <c r="B23" s="396"/>
      <c r="C23" s="41">
        <f>Calculation!B19</f>
        <v>9</v>
      </c>
      <c r="D23" s="226" t="str">
        <f>Calculation!C19</f>
        <v>Life expectancy at birth (females)</v>
      </c>
      <c r="E23" s="204" t="str">
        <f>'Spine Chart (Locality)'!E23</f>
        <v>2015-17</v>
      </c>
      <c r="F23" s="190" t="str">
        <f ca="1">IF(Calculation!F19="","N/A",IF(Calculation!F19&lt;6,"N/A",Calculation!F19))</f>
        <v>N/A</v>
      </c>
      <c r="G23" s="277">
        <f ca="1">IF(Calculation!G19="","N/A",Calculation!G19)</f>
        <v>84.881768733522961</v>
      </c>
      <c r="H23" s="277">
        <f ca="1">Calculation!S19</f>
        <v>83.346999062287821</v>
      </c>
      <c r="I23" s="265">
        <f ca="1">Calculation!M19</f>
        <v>83.310312746401536</v>
      </c>
      <c r="J23" s="279">
        <f ca="1">Calculation!U19</f>
        <v>77.906537997353666</v>
      </c>
      <c r="K23" s="24"/>
      <c r="L23" s="24"/>
      <c r="M23" s="24"/>
      <c r="N23" s="24"/>
      <c r="O23" s="24"/>
      <c r="P23" s="24"/>
      <c r="Q23" s="24"/>
      <c r="R23" s="24"/>
      <c r="S23" s="24"/>
      <c r="T23" s="24"/>
      <c r="U23" s="24"/>
      <c r="V23" s="24"/>
      <c r="W23" s="227"/>
      <c r="X23" s="371">
        <f ca="1">Calculation!T19</f>
        <v>88.250913297544571</v>
      </c>
    </row>
    <row r="24" spans="2:39" s="9" customFormat="1" ht="18.75" customHeight="1" x14ac:dyDescent="0.25">
      <c r="B24" s="396"/>
      <c r="C24" s="41">
        <f>Calculation!B20</f>
        <v>10</v>
      </c>
      <c r="D24" s="37" t="str">
        <f>Calculation!C20</f>
        <v xml:space="preserve">Mortality rate from all causes (DSR per 100,000 registered population) </v>
      </c>
      <c r="E24" s="204" t="str">
        <f>'Spine Chart (Locality)'!E24</f>
        <v>2015-17</v>
      </c>
      <c r="F24" s="190">
        <f ca="1">IF(Calculation!F20="","N/A",IF(Calculation!F20&lt;6,"N/A",Calculation!F20))</f>
        <v>151</v>
      </c>
      <c r="G24" s="346">
        <f ca="1">IF(Calculation!G20="","N/A",Calculation!G20)</f>
        <v>833.95267501754768</v>
      </c>
      <c r="H24" s="346">
        <f ca="1">Calculation!S20</f>
        <v>956.82849521728804</v>
      </c>
      <c r="I24" s="347">
        <f ca="1">Calculation!M20</f>
        <v>961.24571079814052</v>
      </c>
      <c r="J24" s="356">
        <f ca="1">Calculation!U20</f>
        <v>2189.1405588611224</v>
      </c>
      <c r="K24" s="24"/>
      <c r="L24" s="24"/>
      <c r="M24" s="24"/>
      <c r="N24" s="24"/>
      <c r="O24" s="24"/>
      <c r="P24" s="24"/>
      <c r="Q24" s="24"/>
      <c r="R24" s="24"/>
      <c r="S24" s="24"/>
      <c r="T24" s="24"/>
      <c r="U24" s="24"/>
      <c r="V24" s="24"/>
      <c r="W24" s="227"/>
      <c r="X24" s="368">
        <f ca="1">Calculation!T20</f>
        <v>401.4376879031974</v>
      </c>
    </row>
    <row r="25" spans="2:39" s="9" customFormat="1" ht="18.75" customHeight="1" x14ac:dyDescent="0.25">
      <c r="B25" s="396"/>
      <c r="C25" s="41">
        <f>Calculation!B21</f>
        <v>11</v>
      </c>
      <c r="D25" s="38" t="str">
        <f>Calculation!C21</f>
        <v xml:space="preserve">Premature mortality (under 75 years) from all causes (DSR per 100,000 registered population) </v>
      </c>
      <c r="E25" s="204" t="str">
        <f>'Spine Chart (Locality)'!E25</f>
        <v>2015-17</v>
      </c>
      <c r="F25" s="190">
        <f ca="1">IF(Calculation!F21="","N/A",IF(Calculation!F21&lt;6,"N/A",Calculation!F21))</f>
        <v>37</v>
      </c>
      <c r="G25" s="349">
        <f ca="1">IF(Calculation!G21="","N/A",Calculation!G21)</f>
        <v>200.98363998495768</v>
      </c>
      <c r="H25" s="349">
        <f ca="1">Calculation!S21</f>
        <v>345.90085752495855</v>
      </c>
      <c r="I25" s="350">
        <f ca="1">Calculation!M21</f>
        <v>344.87164830165528</v>
      </c>
      <c r="J25" s="351">
        <f ca="1">Calculation!U21</f>
        <v>671.86872526024422</v>
      </c>
      <c r="K25" s="24"/>
      <c r="L25" s="24"/>
      <c r="M25" s="24"/>
      <c r="N25" s="24"/>
      <c r="O25" s="24"/>
      <c r="P25" s="24"/>
      <c r="Q25" s="24"/>
      <c r="R25" s="24"/>
      <c r="S25" s="24"/>
      <c r="T25" s="24"/>
      <c r="U25" s="24"/>
      <c r="V25" s="24"/>
      <c r="W25" s="227"/>
      <c r="X25" s="369">
        <f ca="1">Calculation!T21</f>
        <v>120.9041189017434</v>
      </c>
    </row>
    <row r="26" spans="2:39" s="9" customFormat="1" ht="18.75" customHeight="1" x14ac:dyDescent="0.25">
      <c r="B26" s="397"/>
      <c r="C26" s="182">
        <f>Calculation!B22</f>
        <v>12</v>
      </c>
      <c r="D26" s="219" t="str">
        <f>Calculation!C22</f>
        <v>Preventable mortality (DSR per 100,000 registered population)</v>
      </c>
      <c r="E26" s="259" t="str">
        <f>'Spine Chart (Locality)'!E26</f>
        <v>2015-17</v>
      </c>
      <c r="F26" s="260">
        <f ca="1">IF(Calculation!F22="","N/A",IF(Calculation!F22&lt;6,"N/A",Calculation!F22))</f>
        <v>25</v>
      </c>
      <c r="G26" s="357">
        <f ca="1">IF(Calculation!G22="","N/A",Calculation!G22)</f>
        <v>116.54035881419082</v>
      </c>
      <c r="H26" s="357">
        <f ca="1">Calculation!S22</f>
        <v>210.94408404142479</v>
      </c>
      <c r="I26" s="358">
        <f ca="1">Calculation!M22</f>
        <v>204.14706785210666</v>
      </c>
      <c r="J26" s="359">
        <f ca="1">Calculation!U22</f>
        <v>386.97649423620487</v>
      </c>
      <c r="K26" s="25"/>
      <c r="L26" s="25"/>
      <c r="M26" s="25"/>
      <c r="N26" s="25"/>
      <c r="O26" s="24"/>
      <c r="P26" s="24"/>
      <c r="Q26" s="24"/>
      <c r="R26" s="24"/>
      <c r="S26" s="24"/>
      <c r="T26" s="24"/>
      <c r="U26" s="24"/>
      <c r="V26" s="24"/>
      <c r="W26" s="227"/>
      <c r="X26" s="370">
        <f ca="1">Calculation!T22</f>
        <v>70.066647490413089</v>
      </c>
    </row>
    <row r="27" spans="2:39" s="9" customFormat="1" ht="18.75" customHeight="1" x14ac:dyDescent="0.25">
      <c r="B27" s="395" t="s">
        <v>417</v>
      </c>
      <c r="C27" s="220">
        <f>Calculation!B23</f>
        <v>13</v>
      </c>
      <c r="D27" s="39" t="str">
        <f>Calculation!C23</f>
        <v>Multiple (3+) chronic condition prevalence (DSR per 1,000 registered population)</v>
      </c>
      <c r="E27" s="204">
        <f>'Spine Chart (Locality)'!E27</f>
        <v>2017</v>
      </c>
      <c r="F27" s="190">
        <f ca="1">IF(Calculation!F23="","N/A",IF(Calculation!F23&lt;6,"N/A",Calculation!F23))</f>
        <v>1100</v>
      </c>
      <c r="G27" s="360">
        <f ca="1">IF(Calculation!G23="","N/A",Calculation!G23)</f>
        <v>168.97070586946262</v>
      </c>
      <c r="H27" s="360">
        <f ca="1">Calculation!S23</f>
        <v>189.57973969778232</v>
      </c>
      <c r="I27" s="361">
        <f ca="1">Calculation!M23</f>
        <v>177.10942742743939</v>
      </c>
      <c r="J27" s="362">
        <f ca="1">Calculation!U23</f>
        <v>228.71451664344383</v>
      </c>
      <c r="K27" s="221"/>
      <c r="L27" s="221"/>
      <c r="M27" s="221"/>
      <c r="N27" s="221"/>
      <c r="O27" s="29"/>
      <c r="P27" s="29"/>
      <c r="Q27" s="29"/>
      <c r="R27" s="29"/>
      <c r="S27" s="29"/>
      <c r="T27" s="29"/>
      <c r="U27" s="29"/>
      <c r="V27" s="29"/>
      <c r="W27" s="229"/>
      <c r="X27" s="373">
        <f ca="1">Calculation!T23</f>
        <v>85.335855567458964</v>
      </c>
    </row>
    <row r="28" spans="2:39" s="9" customFormat="1" ht="18.75" customHeight="1" x14ac:dyDescent="0.25">
      <c r="B28" s="396"/>
      <c r="C28" s="41">
        <f>Calculation!B24</f>
        <v>14</v>
      </c>
      <c r="D28" s="38" t="str">
        <f>Calculation!C24</f>
        <v>Diabetes prevalence 17+ years (%)</v>
      </c>
      <c r="E28" s="204" t="str">
        <f>'Spine Chart (Locality)'!E28</f>
        <v>2017/18</v>
      </c>
      <c r="F28" s="190">
        <f ca="1">IF(Calculation!F24="","N/A",IF(Calculation!F24&lt;6,"N/A",Calculation!F24))</f>
        <v>311</v>
      </c>
      <c r="G28" s="349">
        <f ca="1">IF(Calculation!G24="","N/A",Calculation!G24)</f>
        <v>4.0754815882584197</v>
      </c>
      <c r="H28" s="349">
        <f ca="1">Calculation!S24</f>
        <v>6.4732563363137068</v>
      </c>
      <c r="I28" s="350">
        <f ca="1">Calculation!M24</f>
        <v>5.6964365398100298</v>
      </c>
      <c r="J28" s="351">
        <f ca="1">Calculation!U24</f>
        <v>7.8422684980061996</v>
      </c>
      <c r="K28" s="25"/>
      <c r="L28" s="25"/>
      <c r="M28" s="25"/>
      <c r="N28" s="25"/>
      <c r="O28" s="24"/>
      <c r="P28" s="24"/>
      <c r="Q28" s="24"/>
      <c r="R28" s="24"/>
      <c r="S28" s="24"/>
      <c r="T28" s="24"/>
      <c r="U28" s="24"/>
      <c r="V28" s="24"/>
      <c r="W28" s="227"/>
      <c r="X28" s="369">
        <f ca="1">Calculation!T24</f>
        <v>0.75834175935288195</v>
      </c>
    </row>
    <row r="29" spans="2:39" s="9" customFormat="1" ht="18.75" customHeight="1" x14ac:dyDescent="0.25">
      <c r="B29" s="396"/>
      <c r="C29" s="41">
        <f>Calculation!B25</f>
        <v>15</v>
      </c>
      <c r="D29" s="38" t="str">
        <f>Calculation!C25</f>
        <v>Asthma prevalence (%)</v>
      </c>
      <c r="E29" s="204" t="str">
        <f>'Spine Chart (Locality)'!E29</f>
        <v>2017/18</v>
      </c>
      <c r="F29" s="190">
        <f ca="1">IF(Calculation!F25="","N/A",IF(Calculation!F25&lt;6,"N/A",Calculation!F25))</f>
        <v>467</v>
      </c>
      <c r="G29" s="349">
        <f ca="1">IF(Calculation!G25="","N/A",Calculation!G25)</f>
        <v>5.1699324698328404</v>
      </c>
      <c r="H29" s="349">
        <f ca="1">Calculation!S25</f>
        <v>6.7167902351862807</v>
      </c>
      <c r="I29" s="350">
        <f ca="1">Calculation!M25</f>
        <v>5.7934579080787598</v>
      </c>
      <c r="J29" s="351">
        <f ca="1">Calculation!U25</f>
        <v>9.9487977185818899</v>
      </c>
      <c r="K29" s="25"/>
      <c r="L29" s="25"/>
      <c r="M29" s="25"/>
      <c r="N29" s="25"/>
      <c r="O29" s="24"/>
      <c r="P29" s="24"/>
      <c r="Q29" s="24"/>
      <c r="R29" s="24"/>
      <c r="S29" s="24"/>
      <c r="T29" s="24"/>
      <c r="U29" s="24"/>
      <c r="V29" s="24"/>
      <c r="W29" s="227"/>
      <c r="X29" s="369">
        <f ca="1">Calculation!T25</f>
        <v>2.4640657084188899</v>
      </c>
    </row>
    <row r="30" spans="2:39" s="9" customFormat="1" ht="18.75" customHeight="1" x14ac:dyDescent="0.25">
      <c r="B30" s="396"/>
      <c r="C30" s="41">
        <f>Calculation!B26</f>
        <v>16</v>
      </c>
      <c r="D30" s="38" t="str">
        <f>Calculation!C26</f>
        <v>Emergency admissions for asthma (DSR per 100,000 registered population) (all ages)</v>
      </c>
      <c r="E30" s="204" t="str">
        <f>'Spine Chart (Locality)'!E30</f>
        <v>2015/16-2017/18</v>
      </c>
      <c r="F30" s="190">
        <f ca="1">IF(Calculation!F26="","N/A",IF(Calculation!F26&lt;6,"N/A",Calculation!F26))</f>
        <v>31</v>
      </c>
      <c r="G30" s="349">
        <f ca="1">IF(Calculation!G26="","N/A",Calculation!G26)</f>
        <v>130.82353452873829</v>
      </c>
      <c r="H30" s="349">
        <f ca="1">Calculation!S26</f>
        <v>141.56147325019262</v>
      </c>
      <c r="I30" s="350">
        <f ca="1">Calculation!M26</f>
        <v>132.33064583324659</v>
      </c>
      <c r="J30" s="351">
        <f ca="1">Calculation!U26</f>
        <v>241.4281734131078</v>
      </c>
      <c r="K30" s="25"/>
      <c r="L30" s="25"/>
      <c r="M30" s="25"/>
      <c r="N30" s="25"/>
      <c r="O30" s="24"/>
      <c r="P30" s="24"/>
      <c r="Q30" s="24"/>
      <c r="R30" s="24"/>
      <c r="S30" s="24"/>
      <c r="T30" s="24"/>
      <c r="U30" s="24"/>
      <c r="V30" s="24"/>
      <c r="W30" s="227"/>
      <c r="X30" s="369">
        <f ca="1">Calculation!T26</f>
        <v>35.630369695278844</v>
      </c>
    </row>
    <row r="31" spans="2:39" s="9" customFormat="1" ht="18.75" customHeight="1" x14ac:dyDescent="0.25">
      <c r="B31" s="396"/>
      <c r="C31" s="41">
        <f>Calculation!B27</f>
        <v>17</v>
      </c>
      <c r="D31" s="38" t="str">
        <f>Calculation!C27</f>
        <v>COPD prevalence (%)</v>
      </c>
      <c r="E31" s="204" t="str">
        <f>'Spine Chart (Locality)'!E31</f>
        <v>2017/18</v>
      </c>
      <c r="F31" s="190">
        <f ca="1">IF(Calculation!F27="","N/A",IF(Calculation!F27&lt;6,"N/A",Calculation!F27))</f>
        <v>95</v>
      </c>
      <c r="G31" s="349">
        <f ca="1">IF(Calculation!G27="","N/A",Calculation!G27)</f>
        <v>1.0516993246983299</v>
      </c>
      <c r="H31" s="349">
        <f ca="1">Calculation!S27</f>
        <v>2.4423636975413925</v>
      </c>
      <c r="I31" s="350">
        <f ca="1">Calculation!M27</f>
        <v>2.04505751615299</v>
      </c>
      <c r="J31" s="351">
        <f ca="1">Calculation!U27</f>
        <v>3.22632682690756</v>
      </c>
      <c r="K31" s="25"/>
      <c r="L31" s="25"/>
      <c r="M31" s="25"/>
      <c r="N31" s="25"/>
      <c r="O31" s="24"/>
      <c r="P31" s="24"/>
      <c r="Q31" s="24"/>
      <c r="R31" s="24"/>
      <c r="S31" s="24"/>
      <c r="T31" s="24"/>
      <c r="U31" s="24"/>
      <c r="V31" s="24"/>
      <c r="W31" s="227"/>
      <c r="X31" s="369">
        <f ca="1">Calculation!T27</f>
        <v>0.118880363125473</v>
      </c>
    </row>
    <row r="32" spans="2:39" s="9" customFormat="1" ht="18.75" customHeight="1" x14ac:dyDescent="0.25">
      <c r="B32" s="396"/>
      <c r="C32" s="41">
        <f>Calculation!B28</f>
        <v>18</v>
      </c>
      <c r="D32" s="38" t="str">
        <f>Calculation!C28</f>
        <v>Emergency admissions for COPD (35+ years - DSR per 100,000 registered population)</v>
      </c>
      <c r="E32" s="204" t="str">
        <f>'Spine Chart (Locality)'!E32</f>
        <v>2015/16-2017/18</v>
      </c>
      <c r="F32" s="190">
        <f ca="1">IF(Calculation!F28="","N/A",IF(Calculation!F28&lt;6,"N/A",Calculation!F28))</f>
        <v>21</v>
      </c>
      <c r="G32" s="349">
        <f ca="1">IF(Calculation!G28="","N/A",Calculation!G28)</f>
        <v>208.18018996097587</v>
      </c>
      <c r="H32" s="349">
        <f ca="1">Calculation!S28</f>
        <v>650.31183192481774</v>
      </c>
      <c r="I32" s="350">
        <f ca="1">Calculation!M28</f>
        <v>577.58610687892588</v>
      </c>
      <c r="J32" s="351">
        <f ca="1">Calculation!U28</f>
        <v>1138.9916017903447</v>
      </c>
      <c r="K32" s="25"/>
      <c r="L32" s="25"/>
      <c r="M32" s="25"/>
      <c r="N32" s="25"/>
      <c r="O32" s="24"/>
      <c r="P32" s="24"/>
      <c r="Q32" s="24"/>
      <c r="R32" s="24"/>
      <c r="S32" s="24"/>
      <c r="T32" s="24"/>
      <c r="U32" s="24"/>
      <c r="V32" s="24"/>
      <c r="W32" s="227"/>
      <c r="X32" s="369">
        <f ca="1">Calculation!T28</f>
        <v>96.15384615384616</v>
      </c>
    </row>
    <row r="33" spans="2:24" s="9" customFormat="1" ht="18.75" customHeight="1" x14ac:dyDescent="0.25">
      <c r="B33" s="396"/>
      <c r="C33" s="41">
        <f>Calculation!B29</f>
        <v>19</v>
      </c>
      <c r="D33" s="38" t="str">
        <f>Calculation!C29</f>
        <v>Premature mortality (under 75 years) from respiratory disease (DSR per 100,000 registered population)</v>
      </c>
      <c r="E33" s="204" t="s">
        <v>218</v>
      </c>
      <c r="F33" s="190" t="str">
        <f ca="1">IF(Calculation!F29="","N/A",IF(Calculation!F29&lt;6,"N/A",Calculation!F29))</f>
        <v>N/A</v>
      </c>
      <c r="G33" s="349">
        <f ca="1">IF(Calculation!G29="","N/A",Calculation!G29)</f>
        <v>22.958656712013457</v>
      </c>
      <c r="H33" s="349">
        <f ca="1">Calculation!S29</f>
        <v>43.396566170613561</v>
      </c>
      <c r="I33" s="350">
        <f ca="1">Calculation!M29</f>
        <v>41.764257200581525</v>
      </c>
      <c r="J33" s="351">
        <f ca="1">Calculation!U29</f>
        <v>98.805534872264218</v>
      </c>
      <c r="K33" s="25"/>
      <c r="L33" s="25"/>
      <c r="M33" s="25"/>
      <c r="N33" s="25"/>
      <c r="O33" s="24"/>
      <c r="P33" s="24"/>
      <c r="Q33" s="24"/>
      <c r="R33" s="24"/>
      <c r="S33" s="24"/>
      <c r="T33" s="24"/>
      <c r="U33" s="24"/>
      <c r="V33" s="24"/>
      <c r="W33" s="227"/>
      <c r="X33" s="369">
        <f ca="1">Calculation!T29</f>
        <v>12.845815183753546</v>
      </c>
    </row>
    <row r="34" spans="2:24" s="9" customFormat="1" ht="18.75" customHeight="1" x14ac:dyDescent="0.25">
      <c r="B34" s="396"/>
      <c r="C34" s="41">
        <f>Calculation!B30</f>
        <v>20</v>
      </c>
      <c r="D34" s="38" t="str">
        <f>Calculation!C30</f>
        <v>Coronary Heart Disease prevalence (%)</v>
      </c>
      <c r="E34" s="204" t="str">
        <f>'Spine Chart (Locality)'!E34</f>
        <v>2017/18</v>
      </c>
      <c r="F34" s="190">
        <f ca="1">IF(Calculation!F30="","N/A",IF(Calculation!F30&lt;6,"N/A",Calculation!F30))</f>
        <v>165</v>
      </c>
      <c r="G34" s="349">
        <f ca="1">IF(Calculation!G30="","N/A",Calculation!G30)</f>
        <v>1.82663566921289</v>
      </c>
      <c r="H34" s="349">
        <f ca="1">Calculation!S30</f>
        <v>2.6314873472797524</v>
      </c>
      <c r="I34" s="350">
        <f ca="1">Calculation!M30</f>
        <v>2.2549679381008301</v>
      </c>
      <c r="J34" s="351">
        <f ca="1">Calculation!U30</f>
        <v>3.6466026587887699</v>
      </c>
      <c r="K34" s="25"/>
      <c r="L34" s="25"/>
      <c r="M34" s="25"/>
      <c r="N34" s="25"/>
      <c r="O34" s="24"/>
      <c r="P34" s="24"/>
      <c r="Q34" s="24"/>
      <c r="R34" s="24"/>
      <c r="S34" s="24"/>
      <c r="T34" s="24"/>
      <c r="U34" s="24"/>
      <c r="V34" s="24"/>
      <c r="W34" s="227"/>
      <c r="X34" s="369">
        <f ca="1">Calculation!T30</f>
        <v>0.151302280341511</v>
      </c>
    </row>
    <row r="35" spans="2:24" s="9" customFormat="1" ht="18.75" customHeight="1" x14ac:dyDescent="0.25">
      <c r="B35" s="396"/>
      <c r="C35" s="41">
        <f>Calculation!B31</f>
        <v>21</v>
      </c>
      <c r="D35" s="38" t="str">
        <f>Calculation!C31</f>
        <v>Hypertension prevalence (%)</v>
      </c>
      <c r="E35" s="204" t="str">
        <f>'Spine Chart (Locality)'!E35</f>
        <v>2017/18</v>
      </c>
      <c r="F35" s="190">
        <f ca="1">IF(Calculation!F31="","N/A",IF(Calculation!F31&lt;6,"N/A",Calculation!F31))</f>
        <v>945</v>
      </c>
      <c r="G35" s="349">
        <f ca="1">IF(Calculation!G31="","N/A",Calculation!G31)</f>
        <v>10.461640650946499</v>
      </c>
      <c r="H35" s="349">
        <f ca="1">Calculation!S31</f>
        <v>12.243145718031721</v>
      </c>
      <c r="I35" s="350">
        <f ca="1">Calculation!M31</f>
        <v>10.5262056773447</v>
      </c>
      <c r="J35" s="351">
        <f ca="1">Calculation!U31</f>
        <v>14.9874231414198</v>
      </c>
      <c r="K35" s="25"/>
      <c r="L35" s="25"/>
      <c r="M35" s="25"/>
      <c r="N35" s="25"/>
      <c r="O35" s="24"/>
      <c r="P35" s="24"/>
      <c r="Q35" s="24"/>
      <c r="R35" s="24"/>
      <c r="S35" s="24"/>
      <c r="T35" s="24"/>
      <c r="U35" s="24"/>
      <c r="V35" s="24"/>
      <c r="W35" s="227"/>
      <c r="X35" s="369">
        <f ca="1">Calculation!T31</f>
        <v>1.24824381281747</v>
      </c>
    </row>
    <row r="36" spans="2:24" s="9" customFormat="1" ht="18.75" customHeight="1" x14ac:dyDescent="0.25">
      <c r="B36" s="396"/>
      <c r="C36" s="41">
        <f>Calculation!B32</f>
        <v>22</v>
      </c>
      <c r="D36" s="38" t="str">
        <f>Calculation!C32</f>
        <v>Premature mortality (under 75 years) from circulatory disease (DSR per 100,000 registered population)</v>
      </c>
      <c r="E36" s="204" t="str">
        <f>'Spine Chart (Locality)'!E36</f>
        <v>2015-17</v>
      </c>
      <c r="F36" s="190">
        <f ca="1">IF(Calculation!F32="","N/A",IF(Calculation!F32&lt;6,"N/A",Calculation!F32))</f>
        <v>10</v>
      </c>
      <c r="G36" s="349">
        <f ca="1">IF(Calculation!G32="","N/A",Calculation!G32)</f>
        <v>63.789242798090875</v>
      </c>
      <c r="H36" s="349">
        <f ca="1">Calculation!S32</f>
        <v>72.660161710178173</v>
      </c>
      <c r="I36" s="350">
        <f ca="1">Calculation!M32</f>
        <v>74.662565234312666</v>
      </c>
      <c r="J36" s="351">
        <f ca="1">Calculation!U32</f>
        <v>127.60934194505236</v>
      </c>
      <c r="K36" s="25"/>
      <c r="L36" s="25"/>
      <c r="M36" s="25"/>
      <c r="N36" s="25"/>
      <c r="O36" s="24"/>
      <c r="P36" s="24"/>
      <c r="Q36" s="24"/>
      <c r="R36" s="24"/>
      <c r="S36" s="24"/>
      <c r="T36" s="24"/>
      <c r="U36" s="24"/>
      <c r="V36" s="24"/>
      <c r="W36" s="227"/>
      <c r="X36" s="369">
        <f ca="1">Calculation!T32</f>
        <v>3.1307723615415921</v>
      </c>
    </row>
    <row r="37" spans="2:24" s="9" customFormat="1" ht="18.75" customHeight="1" x14ac:dyDescent="0.25">
      <c r="B37" s="396"/>
      <c r="C37" s="41">
        <f>Calculation!B33</f>
        <v>23</v>
      </c>
      <c r="D37" s="38" t="str">
        <f>Calculation!C33</f>
        <v>Cancer incidence* (all cancers) (persons) (DSR per 100,000 resident population)</v>
      </c>
      <c r="E37" s="204" t="str">
        <f>'Spine Chart (Locality)'!E37</f>
        <v>2014-16</v>
      </c>
      <c r="F37" s="190" t="str">
        <f ca="1">IF(Calculation!F33="","N/A",IF(Calculation!F33&lt;6,"N/A",Calculation!F33))</f>
        <v>N/A</v>
      </c>
      <c r="G37" s="349">
        <f ca="1">IF(Calculation!G33="","N/A",Calculation!G33)</f>
        <v>563.09668312866881</v>
      </c>
      <c r="H37" s="349">
        <f ca="1">Calculation!S33</f>
        <v>667.99642251288333</v>
      </c>
      <c r="I37" s="350">
        <f ca="1">Calculation!M33</f>
        <v>652.18616308014555</v>
      </c>
      <c r="J37" s="351">
        <f ca="1">Calculation!U33</f>
        <v>785.83076374632401</v>
      </c>
      <c r="K37" s="25"/>
      <c r="L37" s="25"/>
      <c r="M37" s="25"/>
      <c r="N37" s="25"/>
      <c r="O37" s="24"/>
      <c r="P37" s="24"/>
      <c r="Q37" s="24"/>
      <c r="R37" s="24"/>
      <c r="S37" s="24"/>
      <c r="T37" s="24"/>
      <c r="U37" s="24"/>
      <c r="V37" s="24"/>
      <c r="W37" s="227"/>
      <c r="X37" s="369">
        <f ca="1">Calculation!T33</f>
        <v>538.99964780180619</v>
      </c>
    </row>
    <row r="38" spans="2:24" s="9" customFormat="1" ht="18.75" customHeight="1" x14ac:dyDescent="0.25">
      <c r="B38" s="396"/>
      <c r="C38" s="41">
        <f>Calculation!B34</f>
        <v>24</v>
      </c>
      <c r="D38" s="38" t="str">
        <f>Calculation!C34</f>
        <v>Cancer incidence* (all cancers) (males) (DSR per 100,000 resident population)</v>
      </c>
      <c r="E38" s="204" t="str">
        <f>'Spine Chart (Locality)'!E38</f>
        <v>2014-16</v>
      </c>
      <c r="F38" s="190" t="str">
        <f ca="1">IF(Calculation!F34="","N/A",IF(Calculation!F34&lt;6,"N/A",Calculation!F34))</f>
        <v>N/A</v>
      </c>
      <c r="G38" s="349">
        <f ca="1">IF(Calculation!G34="","N/A",Calculation!G34)</f>
        <v>624.00579147611677</v>
      </c>
      <c r="H38" s="349">
        <f ca="1">Calculation!S34</f>
        <v>760.12779455305576</v>
      </c>
      <c r="I38" s="350">
        <f ca="1">Calculation!M34</f>
        <v>742.59383804112838</v>
      </c>
      <c r="J38" s="351">
        <f ca="1">Calculation!U34</f>
        <v>876.68695192082794</v>
      </c>
      <c r="K38" s="25"/>
      <c r="L38" s="25"/>
      <c r="M38" s="25"/>
      <c r="N38" s="25"/>
      <c r="O38" s="24"/>
      <c r="P38" s="24"/>
      <c r="Q38" s="24"/>
      <c r="R38" s="24"/>
      <c r="S38" s="24"/>
      <c r="T38" s="24"/>
      <c r="U38" s="24"/>
      <c r="V38" s="24"/>
      <c r="W38" s="227"/>
      <c r="X38" s="369">
        <f ca="1">Calculation!T34</f>
        <v>568.97341686204425</v>
      </c>
    </row>
    <row r="39" spans="2:24" s="9" customFormat="1" ht="18.75" customHeight="1" x14ac:dyDescent="0.25">
      <c r="B39" s="396"/>
      <c r="C39" s="41">
        <f>Calculation!B35</f>
        <v>25</v>
      </c>
      <c r="D39" s="38" t="str">
        <f>Calculation!C35</f>
        <v>Cancer incidence* (all cancers) (females) (DSR per 100,000 resident population)</v>
      </c>
      <c r="E39" s="204" t="str">
        <f>'Spine Chart (Locality)'!E39</f>
        <v>2014-16</v>
      </c>
      <c r="F39" s="190" t="str">
        <f ca="1">IF(Calculation!F35="","N/A",IF(Calculation!F35&lt;6,"N/A",Calculation!F35))</f>
        <v>N/A</v>
      </c>
      <c r="G39" s="349">
        <f ca="1">IF(Calculation!G35="","N/A",Calculation!G35)</f>
        <v>520.12162838408153</v>
      </c>
      <c r="H39" s="349">
        <f ca="1">Calculation!S35</f>
        <v>603.75152751013616</v>
      </c>
      <c r="I39" s="350">
        <f ca="1">Calculation!M35</f>
        <v>587.10505122555446</v>
      </c>
      <c r="J39" s="351">
        <f ca="1">Calculation!U35</f>
        <v>718.04480255815304</v>
      </c>
      <c r="K39" s="25"/>
      <c r="L39" s="25"/>
      <c r="M39" s="25"/>
      <c r="N39" s="25"/>
      <c r="O39" s="24"/>
      <c r="P39" s="24"/>
      <c r="Q39" s="24"/>
      <c r="R39" s="24"/>
      <c r="S39" s="24"/>
      <c r="T39" s="24"/>
      <c r="U39" s="24"/>
      <c r="V39" s="24"/>
      <c r="W39" s="227"/>
      <c r="X39" s="369">
        <f ca="1">Calculation!T35</f>
        <v>461.93502392399483</v>
      </c>
    </row>
    <row r="40" spans="2:24" s="9" customFormat="1" ht="18.75" customHeight="1" x14ac:dyDescent="0.25">
      <c r="B40" s="396"/>
      <c r="C40" s="41">
        <f>Calculation!B36</f>
        <v>26</v>
      </c>
      <c r="D40" s="38" t="str">
        <f>Calculation!C36</f>
        <v>Colorectal cancer incidence* (persons) (DSR per 100,000 resident population)</v>
      </c>
      <c r="E40" s="204" t="str">
        <f>'Spine Chart (Locality)'!E40</f>
        <v>2014-16</v>
      </c>
      <c r="F40" s="190" t="str">
        <f ca="1">IF(Calculation!F36="","N/A",IF(Calculation!F36&lt;6,"N/A",Calculation!F36))</f>
        <v>N/A</v>
      </c>
      <c r="G40" s="349">
        <f ca="1">IF(Calculation!G36="","N/A",Calculation!G36)</f>
        <v>62.874899859762188</v>
      </c>
      <c r="H40" s="349">
        <f ca="1">Calculation!S36</f>
        <v>67.021923142834083</v>
      </c>
      <c r="I40" s="350">
        <f ca="1">Calculation!M36</f>
        <v>72.521498279672301</v>
      </c>
      <c r="J40" s="351">
        <f ca="1">Calculation!U36</f>
        <v>105.12680216602915</v>
      </c>
      <c r="K40" s="25"/>
      <c r="L40" s="25"/>
      <c r="M40" s="25"/>
      <c r="N40" s="25"/>
      <c r="O40" s="24"/>
      <c r="P40" s="24"/>
      <c r="Q40" s="24"/>
      <c r="R40" s="24"/>
      <c r="S40" s="24"/>
      <c r="T40" s="24"/>
      <c r="U40" s="24"/>
      <c r="V40" s="24"/>
      <c r="W40" s="227"/>
      <c r="X40" s="369">
        <f ca="1">Calculation!T36</f>
        <v>44.334041733063991</v>
      </c>
    </row>
    <row r="41" spans="2:24" s="9" customFormat="1" ht="18.75" customHeight="1" x14ac:dyDescent="0.25">
      <c r="B41" s="396"/>
      <c r="C41" s="41">
        <f>Calculation!B37</f>
        <v>27</v>
      </c>
      <c r="D41" s="38" t="str">
        <f>Calculation!C37</f>
        <v>Lung cancer incidence* (persons) (DSR per 100,000 resident population)</v>
      </c>
      <c r="E41" s="204" t="str">
        <f>'Spine Chart (Locality)'!E41</f>
        <v>2014-16</v>
      </c>
      <c r="F41" s="190" t="str">
        <f ca="1">IF(Calculation!F37="","N/A",IF(Calculation!F37&lt;6,"N/A",Calculation!F37))</f>
        <v>N/A</v>
      </c>
      <c r="G41" s="349">
        <f ca="1">IF(Calculation!G37="","N/A",Calculation!G37)</f>
        <v>67.7179489737144</v>
      </c>
      <c r="H41" s="349">
        <f ca="1">Calculation!S37</f>
        <v>119.45747842762287</v>
      </c>
      <c r="I41" s="350">
        <f ca="1">Calculation!M37</f>
        <v>105.35274830777894</v>
      </c>
      <c r="J41" s="351">
        <f ca="1">Calculation!U37</f>
        <v>156.08630055503525</v>
      </c>
      <c r="K41" s="25"/>
      <c r="L41" s="25"/>
      <c r="M41" s="25"/>
      <c r="N41" s="25"/>
      <c r="O41" s="24"/>
      <c r="P41" s="24"/>
      <c r="Q41" s="24"/>
      <c r="R41" s="24"/>
      <c r="S41" s="24"/>
      <c r="T41" s="24"/>
      <c r="U41" s="24"/>
      <c r="V41" s="24"/>
      <c r="W41" s="227"/>
      <c r="X41" s="369">
        <f ca="1">Calculation!T37</f>
        <v>51.064235980336264</v>
      </c>
    </row>
    <row r="42" spans="2:24" s="9" customFormat="1" ht="18.75" customHeight="1" x14ac:dyDescent="0.25">
      <c r="B42" s="396"/>
      <c r="C42" s="41">
        <f>Calculation!B38</f>
        <v>28</v>
      </c>
      <c r="D42" s="38" t="str">
        <f>Calculation!C38</f>
        <v>Female breast cancer incidence* (DSR per 100,000 resident population)</v>
      </c>
      <c r="E42" s="204" t="str">
        <f>'Spine Chart (Locality)'!E42</f>
        <v>2014-16</v>
      </c>
      <c r="F42" s="190" t="str">
        <f ca="1">IF(Calculation!F38="","N/A",IF(Calculation!F38&lt;6,"N/A",Calculation!F38))</f>
        <v>N/A</v>
      </c>
      <c r="G42" s="349">
        <f ca="1">IF(Calculation!G38="","N/A",Calculation!G38)</f>
        <v>192.62220760741022</v>
      </c>
      <c r="H42" s="349">
        <f ca="1">Calculation!S38</f>
        <v>179.92662738920393</v>
      </c>
      <c r="I42" s="350">
        <f ca="1">Calculation!M38</f>
        <v>175.67583764175842</v>
      </c>
      <c r="J42" s="351">
        <f ca="1">Calculation!U38</f>
        <v>244.30958277018706</v>
      </c>
      <c r="K42" s="25"/>
      <c r="L42" s="25"/>
      <c r="M42" s="25"/>
      <c r="N42" s="25"/>
      <c r="O42" s="24"/>
      <c r="P42" s="24"/>
      <c r="Q42" s="24"/>
      <c r="R42" s="24"/>
      <c r="S42" s="24"/>
      <c r="T42" s="24"/>
      <c r="U42" s="24"/>
      <c r="V42" s="24"/>
      <c r="W42" s="227"/>
      <c r="X42" s="369">
        <f ca="1">Calculation!T38</f>
        <v>120.98080377397729</v>
      </c>
    </row>
    <row r="43" spans="2:24" s="9" customFormat="1" ht="18.75" customHeight="1" x14ac:dyDescent="0.25">
      <c r="B43" s="396"/>
      <c r="C43" s="41">
        <f>Calculation!B39</f>
        <v>29</v>
      </c>
      <c r="D43" s="37" t="str">
        <f>Calculation!C39</f>
        <v>Premature mortality from all cancers (under 75 years) (DSR per 100,000 registered population)</v>
      </c>
      <c r="E43" s="204" t="str">
        <f>'Spine Chart (Locality)'!E43</f>
        <v>2015-17</v>
      </c>
      <c r="F43" s="190">
        <f ca="1">IF(Calculation!F39="","N/A",IF(Calculation!F39&lt;6,"N/A",Calculation!F39))</f>
        <v>10</v>
      </c>
      <c r="G43" s="346">
        <f ca="1">IF(Calculation!G39="","N/A",Calculation!G39)</f>
        <v>50.555753076102455</v>
      </c>
      <c r="H43" s="346">
        <f ca="1">Calculation!S39</f>
        <v>144.33880260164509</v>
      </c>
      <c r="I43" s="347">
        <f ca="1">Calculation!M39</f>
        <v>137.75180364641668</v>
      </c>
      <c r="J43" s="348">
        <f ca="1">Calculation!U39</f>
        <v>278.25636653650866</v>
      </c>
      <c r="K43" s="25"/>
      <c r="L43" s="25"/>
      <c r="M43" s="25"/>
      <c r="N43" s="25"/>
      <c r="O43" s="24"/>
      <c r="P43" s="24"/>
      <c r="Q43" s="24"/>
      <c r="R43" s="24"/>
      <c r="S43" s="24"/>
      <c r="T43" s="24"/>
      <c r="U43" s="24"/>
      <c r="V43" s="24"/>
      <c r="W43" s="227"/>
      <c r="X43" s="368">
        <f ca="1">Calculation!T39</f>
        <v>50.555753076102455</v>
      </c>
    </row>
    <row r="44" spans="2:24" s="9" customFormat="1" ht="18.75" customHeight="1" x14ac:dyDescent="0.25">
      <c r="B44" s="396"/>
      <c r="C44" s="41">
        <f>Calculation!B40</f>
        <v>30</v>
      </c>
      <c r="D44" s="38" t="str">
        <f>Calculation!C40</f>
        <v>Osteoporosis prevalence 50+ years (%)</v>
      </c>
      <c r="E44" s="204" t="str">
        <f>'Spine Chart (Locality)'!E44</f>
        <v>2017/18</v>
      </c>
      <c r="F44" s="190">
        <f ca="1">IF(Calculation!F40="","N/A",IF(Calculation!F40&lt;6,"N/A",Calculation!F40))</f>
        <v>7</v>
      </c>
      <c r="G44" s="349">
        <f ca="1">IF(Calculation!G40="","N/A",Calculation!G40)</f>
        <v>0.2734375</v>
      </c>
      <c r="H44" s="349">
        <f ca="1">Calculation!S40</f>
        <v>0.32363636363636361</v>
      </c>
      <c r="I44" s="350">
        <f ca="1">Calculation!M40</f>
        <v>0.48117746957260099</v>
      </c>
      <c r="J44" s="351">
        <f ca="1">Calculation!U40</f>
        <v>3.0390738060781501</v>
      </c>
      <c r="K44" s="25"/>
      <c r="L44" s="25"/>
      <c r="M44" s="25"/>
      <c r="N44" s="25"/>
      <c r="O44" s="24"/>
      <c r="P44" s="24"/>
      <c r="Q44" s="24"/>
      <c r="R44" s="24"/>
      <c r="S44" s="24"/>
      <c r="T44" s="24"/>
      <c r="U44" s="24"/>
      <c r="V44" s="24"/>
      <c r="W44" s="227"/>
      <c r="X44" s="369">
        <f ca="1">Calculation!T40</f>
        <v>0.126710593005575</v>
      </c>
    </row>
    <row r="45" spans="2:24" s="9" customFormat="1" ht="18.75" customHeight="1" x14ac:dyDescent="0.25">
      <c r="B45" s="396"/>
      <c r="C45" s="41">
        <f>Calculation!B41</f>
        <v>31</v>
      </c>
      <c r="D45" s="38" t="str">
        <f>Calculation!C41</f>
        <v>Rheumatoid arthritus prevalence 16+ years (%)</v>
      </c>
      <c r="E45" s="204" t="str">
        <f>'Spine Chart (Locality)'!E45</f>
        <v>2017/18</v>
      </c>
      <c r="F45" s="190">
        <f ca="1">IF(Calculation!F41="","N/A",IF(Calculation!F41&lt;6,"N/A",Calculation!F41))</f>
        <v>53</v>
      </c>
      <c r="G45" s="349">
        <f ca="1">IF(Calculation!G41="","N/A",Calculation!G41)</f>
        <v>0.68768651874918896</v>
      </c>
      <c r="H45" s="349">
        <f ca="1">Calculation!S41</f>
        <v>0.6842060061263634</v>
      </c>
      <c r="I45" s="350">
        <f ca="1">Calculation!M41</f>
        <v>0.60064354665713304</v>
      </c>
      <c r="J45" s="351">
        <f ca="1">Calculation!U41</f>
        <v>0.94741828517290405</v>
      </c>
      <c r="K45" s="25"/>
      <c r="L45" s="25"/>
      <c r="M45" s="25"/>
      <c r="N45" s="25"/>
      <c r="O45" s="24"/>
      <c r="P45" s="24"/>
      <c r="Q45" s="24"/>
      <c r="R45" s="24"/>
      <c r="S45" s="24"/>
      <c r="T45" s="24"/>
      <c r="U45" s="24"/>
      <c r="V45" s="24"/>
      <c r="W45" s="227"/>
      <c r="X45" s="369">
        <f ca="1">Calculation!T41</f>
        <v>0.10103277952402299</v>
      </c>
    </row>
    <row r="46" spans="2:24" s="9" customFormat="1" ht="18.75" customHeight="1" x14ac:dyDescent="0.25">
      <c r="B46" s="397"/>
      <c r="C46" s="222">
        <f>Calculation!B42</f>
        <v>32</v>
      </c>
      <c r="D46" s="223" t="str">
        <f>Calculation!C42</f>
        <v>Emergency hospital admissions (all age) (DSR per 1,000 registered population)</v>
      </c>
      <c r="E46" s="246" t="str">
        <f>'Spine Chart (Locality)'!E46</f>
        <v>2015/16-2017/18</v>
      </c>
      <c r="F46" s="256">
        <f ca="1">IF(Calculation!F42="","N/A",IF(Calculation!F42&lt;6,"N/A",Calculation!F42))</f>
        <v>2368</v>
      </c>
      <c r="G46" s="363">
        <f ca="1">IF(Calculation!G42="","N/A",Calculation!G42)</f>
        <v>107.85404169253647</v>
      </c>
      <c r="H46" s="363">
        <f ca="1">Calculation!S42</f>
        <v>131.49261807699827</v>
      </c>
      <c r="I46" s="364">
        <f ca="1">Calculation!M42</f>
        <v>125.78549810659193</v>
      </c>
      <c r="J46" s="365">
        <f ca="1">Calculation!U42</f>
        <v>163.17724756274475</v>
      </c>
      <c r="K46" s="224"/>
      <c r="L46" s="224"/>
      <c r="M46" s="224"/>
      <c r="N46" s="224"/>
      <c r="O46" s="225"/>
      <c r="P46" s="225"/>
      <c r="Q46" s="225"/>
      <c r="R46" s="225"/>
      <c r="S46" s="225"/>
      <c r="T46" s="225"/>
      <c r="U46" s="225"/>
      <c r="V46" s="225"/>
      <c r="W46" s="230"/>
      <c r="X46" s="374">
        <f ca="1">Calculation!T42</f>
        <v>84.667934090288284</v>
      </c>
    </row>
    <row r="47" spans="2:24" s="9" customFormat="1" ht="18.75" customHeight="1" x14ac:dyDescent="0.25">
      <c r="B47" s="395" t="s">
        <v>416</v>
      </c>
      <c r="C47" s="41">
        <f>Calculation!B43</f>
        <v>33</v>
      </c>
      <c r="D47" s="37" t="str">
        <f>Calculation!C43</f>
        <v>Depression prevalence 18+ years (%)</v>
      </c>
      <c r="E47" s="204" t="str">
        <f>'Spine Chart (Locality)'!E47</f>
        <v>2017/18</v>
      </c>
      <c r="F47" s="190">
        <f ca="1">IF(Calculation!F43="","N/A",IF(Calculation!F43&lt;6,"N/A",Calculation!F43))</f>
        <v>725</v>
      </c>
      <c r="G47" s="346">
        <f ca="1">IF(Calculation!G43="","N/A",Calculation!G43)</f>
        <v>9.5962938451356692</v>
      </c>
      <c r="H47" s="346">
        <f ca="1">Calculation!S43</f>
        <v>12.26801249981661</v>
      </c>
      <c r="I47" s="347">
        <f ca="1">Calculation!M43</f>
        <v>10.0511965914753</v>
      </c>
      <c r="J47" s="348">
        <f ca="1">Calculation!U43</f>
        <v>17.0999914755775</v>
      </c>
      <c r="K47" s="25"/>
      <c r="L47" s="25"/>
      <c r="M47" s="25"/>
      <c r="N47" s="25"/>
      <c r="O47" s="24"/>
      <c r="P47" s="24"/>
      <c r="Q47" s="24"/>
      <c r="R47" s="24"/>
      <c r="S47" s="24"/>
      <c r="T47" s="24"/>
      <c r="U47" s="24"/>
      <c r="V47" s="24"/>
      <c r="W47" s="227"/>
      <c r="X47" s="368">
        <f ca="1">Calculation!T43</f>
        <v>3.7056643726839602</v>
      </c>
    </row>
    <row r="48" spans="2:24" s="9" customFormat="1" ht="18.75" customHeight="1" x14ac:dyDescent="0.25">
      <c r="B48" s="396"/>
      <c r="C48" s="41">
        <f>Calculation!B44</f>
        <v>34</v>
      </c>
      <c r="D48" s="38" t="str">
        <f>Calculation!C44</f>
        <v>Mental health prevalence (%) (schizophrenia, bipolar affective disorder and other psychoses)</v>
      </c>
      <c r="E48" s="204" t="str">
        <f>'Spine Chart (Locality)'!E48</f>
        <v>2017/18</v>
      </c>
      <c r="F48" s="190">
        <f ca="1">IF(Calculation!F44="","N/A",IF(Calculation!F44&lt;6,"N/A",Calculation!F44))</f>
        <v>93</v>
      </c>
      <c r="G48" s="349">
        <f ca="1">IF(Calculation!G44="","N/A",Calculation!G44)</f>
        <v>1.0295582862836301</v>
      </c>
      <c r="H48" s="349">
        <f ca="1">Calculation!S44</f>
        <v>1.102254400315593</v>
      </c>
      <c r="I48" s="350">
        <f ca="1">Calculation!M44</f>
        <v>1.1283556900717999</v>
      </c>
      <c r="J48" s="351">
        <f ca="1">Calculation!U44</f>
        <v>2.2130725681935099</v>
      </c>
      <c r="K48" s="25"/>
      <c r="L48" s="25"/>
      <c r="M48" s="25"/>
      <c r="N48" s="25"/>
      <c r="O48" s="24"/>
      <c r="P48" s="24"/>
      <c r="Q48" s="24"/>
      <c r="R48" s="24"/>
      <c r="S48" s="24"/>
      <c r="T48" s="24"/>
      <c r="U48" s="24"/>
      <c r="V48" s="24"/>
      <c r="W48" s="227"/>
      <c r="X48" s="369">
        <f ca="1">Calculation!T44</f>
        <v>0.35664108937641797</v>
      </c>
    </row>
    <row r="49" spans="2:24" s="9" customFormat="1" ht="18.75" customHeight="1" x14ac:dyDescent="0.25">
      <c r="B49" s="396"/>
      <c r="C49" s="41">
        <f>Calculation!B45</f>
        <v>35</v>
      </c>
      <c r="D49" s="38" t="str">
        <f>Calculation!C45</f>
        <v>Learning disability prevalence (%)</v>
      </c>
      <c r="E49" s="204" t="str">
        <f>'Spine Chart (Locality)'!E49</f>
        <v>2017/18</v>
      </c>
      <c r="F49" s="190">
        <f ca="1">IF(Calculation!F45="","N/A",IF(Calculation!F45&lt;6,"N/A",Calculation!F45))</f>
        <v>18</v>
      </c>
      <c r="G49" s="349">
        <f ca="1">IF(Calculation!G45="","N/A",Calculation!G45)</f>
        <v>0.199269345732315</v>
      </c>
      <c r="H49" s="349">
        <f ca="1">Calculation!S45</f>
        <v>0.52792184436167866</v>
      </c>
      <c r="I49" s="350">
        <f ca="1">Calculation!M45</f>
        <v>0.46026869928762998</v>
      </c>
      <c r="J49" s="351">
        <f ca="1">Calculation!U45</f>
        <v>0.93798124037519304</v>
      </c>
      <c r="K49" s="25"/>
      <c r="L49" s="25"/>
      <c r="M49" s="25"/>
      <c r="N49" s="25"/>
      <c r="O49" s="24"/>
      <c r="P49" s="24"/>
      <c r="Q49" s="24"/>
      <c r="R49" s="24"/>
      <c r="S49" s="24"/>
      <c r="T49" s="24"/>
      <c r="U49" s="24"/>
      <c r="V49" s="24"/>
      <c r="W49" s="227"/>
      <c r="X49" s="369">
        <f ca="1">Calculation!T45</f>
        <v>3.2421917216038001E-2</v>
      </c>
    </row>
    <row r="50" spans="2:24" s="9" customFormat="1" ht="18.75" customHeight="1" x14ac:dyDescent="0.25">
      <c r="B50" s="396"/>
      <c r="C50" s="41">
        <f>Calculation!B46</f>
        <v>36</v>
      </c>
      <c r="D50" s="38" t="str">
        <f>Calculation!C46</f>
        <v>Dementia prevalence (all ages) (%)</v>
      </c>
      <c r="E50" s="204" t="str">
        <f>'Spine Chart (Locality)'!E50</f>
        <v>2017/18</v>
      </c>
      <c r="F50" s="190">
        <f ca="1">IF(Calculation!F46="","N/A",IF(Calculation!F46&lt;6,"N/A",Calculation!F46))</f>
        <v>61</v>
      </c>
      <c r="G50" s="349">
        <f ca="1">IF(Calculation!G46="","N/A",Calculation!G46)</f>
        <v>0.67530167164840005</v>
      </c>
      <c r="H50" s="349">
        <f ca="1">Calculation!S46</f>
        <v>0.65091023008110271</v>
      </c>
      <c r="I50" s="350">
        <f ca="1">Calculation!M46</f>
        <v>0.56348046821879505</v>
      </c>
      <c r="J50" s="351">
        <f ca="1">Calculation!U46</f>
        <v>2.6638869585360201</v>
      </c>
      <c r="K50" s="25"/>
      <c r="L50" s="25"/>
      <c r="M50" s="25"/>
      <c r="N50" s="25"/>
      <c r="O50" s="24"/>
      <c r="P50" s="24"/>
      <c r="Q50" s="24"/>
      <c r="R50" s="24"/>
      <c r="S50" s="24"/>
      <c r="T50" s="24"/>
      <c r="U50" s="24"/>
      <c r="V50" s="24"/>
      <c r="W50" s="227"/>
      <c r="X50" s="369">
        <f ca="1">Calculation!T46</f>
        <v>1.6210958608019001E-2</v>
      </c>
    </row>
    <row r="51" spans="2:24" s="9" customFormat="1" ht="18.75" customHeight="1" x14ac:dyDescent="0.25">
      <c r="B51" s="396"/>
      <c r="C51" s="41">
        <f>Calculation!B47</f>
        <v>37</v>
      </c>
      <c r="D51" s="38" t="str">
        <f>Calculation!C47</f>
        <v>Emergency admissions for intentional self-harm (all ages) (DSR per 100,000 registered population)</v>
      </c>
      <c r="E51" s="204" t="str">
        <f>'Spine Chart (Locality)'!E51</f>
        <v>2015/16-2017/18</v>
      </c>
      <c r="F51" s="190">
        <f ca="1">IF(Calculation!F47="","N/A",IF(Calculation!F47&lt;6,"N/A",Calculation!F47))</f>
        <v>60</v>
      </c>
      <c r="G51" s="349">
        <f ca="1">IF(Calculation!G47="","N/A",Calculation!G47)</f>
        <v>255.0052491953609</v>
      </c>
      <c r="H51" s="349">
        <f ca="1">Calculation!S47</f>
        <v>278.63788614394508</v>
      </c>
      <c r="I51" s="350">
        <f ca="1">Calculation!M47</f>
        <v>290.20054734741814</v>
      </c>
      <c r="J51" s="351">
        <f ca="1">Calculation!U47</f>
        <v>492.10422820753524</v>
      </c>
      <c r="K51" s="25"/>
      <c r="L51" s="25"/>
      <c r="M51" s="25"/>
      <c r="N51" s="25"/>
      <c r="O51" s="24"/>
      <c r="P51" s="24"/>
      <c r="Q51" s="24"/>
      <c r="R51" s="24"/>
      <c r="S51" s="24"/>
      <c r="T51" s="24"/>
      <c r="U51" s="24"/>
      <c r="V51" s="24"/>
      <c r="W51" s="227"/>
      <c r="X51" s="369">
        <f ca="1">Calculation!T47</f>
        <v>73.523761865252311</v>
      </c>
    </row>
    <row r="52" spans="2:24" s="9" customFormat="1" ht="18.75" customHeight="1" x14ac:dyDescent="0.25">
      <c r="B52" s="396"/>
      <c r="C52" s="41">
        <f>Calculation!B48</f>
        <v>38</v>
      </c>
      <c r="D52" s="38" t="str">
        <f>Calculation!C48</f>
        <v>Drug related mental health and behavioural admissions (DSR per 100,000 registered population)</v>
      </c>
      <c r="E52" s="204" t="str">
        <f>'Spine Chart (Locality)'!E52</f>
        <v>2015/16-2017/18</v>
      </c>
      <c r="F52" s="190">
        <f ca="1">IF(Calculation!F48="","N/A",IF(Calculation!F48&lt;6,"N/A",Calculation!F48))</f>
        <v>43</v>
      </c>
      <c r="G52" s="349">
        <f ca="1">IF(Calculation!G48="","N/A",Calculation!G48)</f>
        <v>154.27748746743424</v>
      </c>
      <c r="H52" s="349">
        <f ca="1">Calculation!S48</f>
        <v>183.15120565728034</v>
      </c>
      <c r="I52" s="350">
        <f ca="1">Calculation!M48</f>
        <v>190.10606641164873</v>
      </c>
      <c r="J52" s="351">
        <f ca="1">Calculation!U48</f>
        <v>304.38187960556934</v>
      </c>
      <c r="K52" s="25"/>
      <c r="L52" s="25"/>
      <c r="M52" s="25"/>
      <c r="N52" s="25"/>
      <c r="O52" s="24"/>
      <c r="P52" s="24"/>
      <c r="Q52" s="24"/>
      <c r="R52" s="24"/>
      <c r="S52" s="24"/>
      <c r="T52" s="24"/>
      <c r="U52" s="24"/>
      <c r="V52" s="24"/>
      <c r="W52" s="227"/>
      <c r="X52" s="369">
        <f ca="1">Calculation!T48</f>
        <v>20.460780963236843</v>
      </c>
    </row>
    <row r="53" spans="2:24" s="9" customFormat="1" ht="18.75" customHeight="1" x14ac:dyDescent="0.25">
      <c r="B53" s="397"/>
      <c r="C53" s="222">
        <f>Calculation!B49</f>
        <v>39</v>
      </c>
      <c r="D53" s="223" t="str">
        <f>Calculation!C49</f>
        <v>Mortality from suicide and injury undetermined (DSR per 100,000 registered population)</v>
      </c>
      <c r="E53" s="246" t="str">
        <f>'Spine Chart (Locality)'!E53</f>
        <v>2015-17</v>
      </c>
      <c r="F53" s="313" t="str">
        <f ca="1">IF(Calculation!F49="","N/A",IF(Calculation!F49&lt;6,"N/A",Calculation!F49))</f>
        <v>N/A</v>
      </c>
      <c r="G53" s="363">
        <f ca="1">IF(Calculation!G49="","N/A",Calculation!G49)</f>
        <v>14.844620581309435</v>
      </c>
      <c r="H53" s="363">
        <f ca="1">Calculation!S49</f>
        <v>12.803279629408211</v>
      </c>
      <c r="I53" s="364">
        <f ca="1">Calculation!M49</f>
        <v>10.144808778604332</v>
      </c>
      <c r="J53" s="365">
        <f ca="1">Calculation!U49</f>
        <v>23.858184065065792</v>
      </c>
      <c r="K53" s="224"/>
      <c r="L53" s="224"/>
      <c r="M53" s="224"/>
      <c r="N53" s="224"/>
      <c r="O53" s="225"/>
      <c r="P53" s="225"/>
      <c r="Q53" s="225"/>
      <c r="R53" s="225"/>
      <c r="S53" s="225"/>
      <c r="T53" s="225"/>
      <c r="U53" s="225"/>
      <c r="V53" s="225"/>
      <c r="W53" s="230"/>
      <c r="X53" s="374">
        <f ca="1">Calculation!T49</f>
        <v>2.176848027564807</v>
      </c>
    </row>
    <row r="54" spans="2:24" s="9" customFormat="1" ht="18.75" customHeight="1" x14ac:dyDescent="0.25">
      <c r="B54" s="395" t="s">
        <v>453</v>
      </c>
      <c r="C54" s="41">
        <f>Calculation!B50</f>
        <v>40</v>
      </c>
      <c r="D54" s="37" t="str">
        <f>Calculation!C50</f>
        <v>Estimated smoking prevalence 15+ years (%)</v>
      </c>
      <c r="E54" s="204" t="str">
        <f>'Spine Chart (Locality)'!E54</f>
        <v>2017/18</v>
      </c>
      <c r="F54" s="314">
        <f ca="1">IF(Calculation!F50="","N/A",IF(Calculation!F50&lt;6,"N/A",Calculation!F50))</f>
        <v>1330</v>
      </c>
      <c r="G54" s="346">
        <f ca="1">IF(Calculation!G50="","N/A",Calculation!G50)</f>
        <v>17.121524201853799</v>
      </c>
      <c r="H54" s="346">
        <f ca="1">Calculation!S50</f>
        <v>21.358564215707073</v>
      </c>
      <c r="I54" s="347">
        <f ca="1">Calculation!M50</f>
        <v>20.548931776930399</v>
      </c>
      <c r="J54" s="348">
        <f ca="1">Calculation!U50</f>
        <v>27.1110659485825</v>
      </c>
      <c r="K54" s="25"/>
      <c r="L54" s="25"/>
      <c r="M54" s="25"/>
      <c r="N54" s="25"/>
      <c r="O54" s="24"/>
      <c r="P54" s="24"/>
      <c r="Q54" s="24"/>
      <c r="R54" s="24"/>
      <c r="S54" s="24"/>
      <c r="T54" s="24"/>
      <c r="U54" s="24"/>
      <c r="V54" s="24"/>
      <c r="W54" s="227"/>
      <c r="X54" s="368">
        <f ca="1">Calculation!T50</f>
        <v>6.7466771353261201</v>
      </c>
    </row>
    <row r="55" spans="2:24" s="9" customFormat="1" ht="18.75" customHeight="1" x14ac:dyDescent="0.25">
      <c r="B55" s="396"/>
      <c r="C55" s="41">
        <f>Calculation!B51</f>
        <v>41</v>
      </c>
      <c r="D55" s="38" t="str">
        <f>Calculation!C51</f>
        <v>Obesity prevalence 18+ years (%)</v>
      </c>
      <c r="E55" s="204" t="str">
        <f>'Spine Chart (Locality)'!E55</f>
        <v>2017/18</v>
      </c>
      <c r="F55" s="190">
        <f ca="1">IF(Calculation!F51="","N/A",IF(Calculation!F51&lt;6,"N/A",Calculation!F51))</f>
        <v>500</v>
      </c>
      <c r="G55" s="349">
        <f ca="1">IF(Calculation!G51="","N/A",Calculation!G51)</f>
        <v>6.6181336863004603</v>
      </c>
      <c r="H55" s="349">
        <f ca="1">Calculation!S51</f>
        <v>10.350493684071536</v>
      </c>
      <c r="I55" s="350">
        <f ca="1">Calculation!M51</f>
        <v>8.7425051969694394</v>
      </c>
      <c r="J55" s="351">
        <f ca="1">Calculation!U51</f>
        <v>16.959504685408302</v>
      </c>
      <c r="K55" s="25"/>
      <c r="L55" s="25"/>
      <c r="M55" s="25"/>
      <c r="N55" s="25"/>
      <c r="O55" s="24"/>
      <c r="P55" s="24"/>
      <c r="Q55" s="24"/>
      <c r="R55" s="24"/>
      <c r="S55" s="24"/>
      <c r="T55" s="24"/>
      <c r="U55" s="24"/>
      <c r="V55" s="24"/>
      <c r="W55" s="227"/>
      <c r="X55" s="369">
        <f ca="1">Calculation!T51</f>
        <v>2.0747821197638499</v>
      </c>
    </row>
    <row r="56" spans="2:24" s="9" customFormat="1" ht="18.75" customHeight="1" x14ac:dyDescent="0.25">
      <c r="B56" s="396"/>
      <c r="C56" s="41">
        <f>Calculation!B52</f>
        <v>42</v>
      </c>
      <c r="D56" s="38" t="str">
        <f>Calculation!C52</f>
        <v>Alcohol-specific hospital admissions (DSR per 100,000 registered population)</v>
      </c>
      <c r="E56" s="204" t="str">
        <f>'Spine Chart (Locality)'!E56</f>
        <v>2015/16-2017/18</v>
      </c>
      <c r="F56" s="190">
        <f ca="1">IF(Calculation!F52="","N/A",IF(Calculation!F52&lt;6,"N/A",Calculation!F52))</f>
        <v>168</v>
      </c>
      <c r="G56" s="349">
        <f ca="1">IF(Calculation!G52="","N/A",Calculation!G52)</f>
        <v>779.46246048307307</v>
      </c>
      <c r="H56" s="349">
        <f ca="1">Calculation!S52</f>
        <v>864.06255533820081</v>
      </c>
      <c r="I56" s="350">
        <f ca="1">Calculation!M52</f>
        <v>937.56617676650262</v>
      </c>
      <c r="J56" s="351">
        <f ca="1">Calculation!U52</f>
        <v>1858.4826359216281</v>
      </c>
      <c r="K56" s="25"/>
      <c r="L56" s="25"/>
      <c r="M56" s="25"/>
      <c r="N56" s="25"/>
      <c r="O56" s="24"/>
      <c r="P56" s="24"/>
      <c r="Q56" s="24"/>
      <c r="R56" s="24"/>
      <c r="S56" s="24"/>
      <c r="T56" s="24"/>
      <c r="U56" s="24"/>
      <c r="V56" s="24"/>
      <c r="W56" s="227"/>
      <c r="X56" s="369">
        <f ca="1">Calculation!T52</f>
        <v>194.16851135322827</v>
      </c>
    </row>
    <row r="57" spans="2:24" s="9" customFormat="1" ht="18.75" customHeight="1" x14ac:dyDescent="0.25">
      <c r="B57" s="397"/>
      <c r="C57" s="222">
        <f>Calculation!B53</f>
        <v>43</v>
      </c>
      <c r="D57" s="223" t="str">
        <f>Calculation!C53</f>
        <v>Admissions for poisoning by illicit drugs (DSR per 100,000 registered population)</v>
      </c>
      <c r="E57" s="246" t="str">
        <f>'Spine Chart (Locality)'!E57</f>
        <v>2015/16-2017/18</v>
      </c>
      <c r="F57" s="313">
        <f ca="1">IF(Calculation!F53="","N/A",IF(Calculation!F53&lt;6,"N/A",Calculation!F53))</f>
        <v>12</v>
      </c>
      <c r="G57" s="363">
        <f ca="1">IF(Calculation!G53="","N/A",Calculation!G53)</f>
        <v>47.836708007891481</v>
      </c>
      <c r="H57" s="363">
        <f ca="1">Calculation!S53</f>
        <v>54.184831862831302</v>
      </c>
      <c r="I57" s="364">
        <f ca="1">Calculation!M53</f>
        <v>49.491593757294879</v>
      </c>
      <c r="J57" s="365">
        <f ca="1">Calculation!U53</f>
        <v>85.869077570142508</v>
      </c>
      <c r="K57" s="224"/>
      <c r="L57" s="224"/>
      <c r="M57" s="224"/>
      <c r="N57" s="224"/>
      <c r="O57" s="225"/>
      <c r="P57" s="225"/>
      <c r="Q57" s="225"/>
      <c r="R57" s="225"/>
      <c r="S57" s="225"/>
      <c r="T57" s="225"/>
      <c r="U57" s="225"/>
      <c r="V57" s="225"/>
      <c r="W57" s="230"/>
      <c r="X57" s="374">
        <f ca="1">Calculation!T53</f>
        <v>6.1383928571428559</v>
      </c>
    </row>
    <row r="58" spans="2:24" s="9" customFormat="1" ht="18.75" customHeight="1" x14ac:dyDescent="0.25">
      <c r="B58" s="395" t="s">
        <v>238</v>
      </c>
      <c r="C58" s="220">
        <f>Calculation!B54</f>
        <v>44</v>
      </c>
      <c r="D58" s="39" t="str">
        <f>Calculation!C54</f>
        <v>Mothers breastfeeding (%)*</v>
      </c>
      <c r="E58" s="252" t="str">
        <f>'Spine Chart (Locality)'!E58</f>
        <v>2016-2018</v>
      </c>
      <c r="F58" s="314" t="str">
        <f ca="1">IF(Calculation!F54="","N/A",IF(Calculation!F54&lt;6,"N/A",Calculation!F54))</f>
        <v>N/A</v>
      </c>
      <c r="G58" s="360">
        <f ca="1">IF(Calculation!G54="","N/A",Calculation!G54)</f>
        <v>87.261146496815286</v>
      </c>
      <c r="H58" s="360">
        <f ca="1">Calculation!S54</f>
        <v>74.423269809428291</v>
      </c>
      <c r="I58" s="361">
        <f ca="1">Calculation!M54</f>
        <v>76.56903765690376</v>
      </c>
      <c r="J58" s="362">
        <f ca="1">Calculation!U54</f>
        <v>66.182749786507259</v>
      </c>
      <c r="K58" s="221"/>
      <c r="L58" s="221"/>
      <c r="M58" s="221"/>
      <c r="N58" s="221"/>
      <c r="O58" s="29"/>
      <c r="P58" s="29"/>
      <c r="Q58" s="29"/>
      <c r="R58" s="29"/>
      <c r="S58" s="29"/>
      <c r="T58" s="29"/>
      <c r="U58" s="29"/>
      <c r="V58" s="29"/>
      <c r="W58" s="229"/>
      <c r="X58" s="377">
        <f ca="1">Calculation!T54</f>
        <v>91.28289473684211</v>
      </c>
    </row>
    <row r="59" spans="2:24" s="9" customFormat="1" ht="18.75" customHeight="1" x14ac:dyDescent="0.25">
      <c r="B59" s="396"/>
      <c r="C59" s="41">
        <f>Calculation!B55</f>
        <v>45</v>
      </c>
      <c r="D59" s="38" t="str">
        <f>Calculation!C55</f>
        <v>Mothers smoking at time of discharge (%)*</v>
      </c>
      <c r="E59" s="204" t="str">
        <f>'Spine Chart (Locality)'!E59</f>
        <v>2016-2018</v>
      </c>
      <c r="F59" s="190" t="str">
        <f ca="1">IF(Calculation!F55="","N/A",IF(Calculation!F55&lt;6,"N/A",Calculation!F55))</f>
        <v>N/A</v>
      </c>
      <c r="G59" s="349">
        <f ca="1">IF(Calculation!G55="","N/A",Calculation!G55)</f>
        <v>9.8025387870239769</v>
      </c>
      <c r="H59" s="349">
        <f ca="1">Calculation!S55</f>
        <v>16.319099635882157</v>
      </c>
      <c r="I59" s="350">
        <f ca="1">Calculation!M55</f>
        <v>14.004253890070526</v>
      </c>
      <c r="J59" s="351">
        <f ca="1">Calculation!U55</f>
        <v>19.882055602358889</v>
      </c>
      <c r="K59" s="25"/>
      <c r="L59" s="25"/>
      <c r="M59" s="25"/>
      <c r="N59" s="25"/>
      <c r="O59" s="24"/>
      <c r="P59" s="24"/>
      <c r="Q59" s="24"/>
      <c r="R59" s="24"/>
      <c r="S59" s="24"/>
      <c r="T59" s="24"/>
      <c r="U59" s="24"/>
      <c r="V59" s="24"/>
      <c r="W59" s="227"/>
      <c r="X59" s="378">
        <f ca="1">Calculation!T55</f>
        <v>6.3106796116504853</v>
      </c>
    </row>
    <row r="60" spans="2:24" s="9" customFormat="1" ht="18.75" customHeight="1" x14ac:dyDescent="0.25">
      <c r="B60" s="396"/>
      <c r="C60" s="41">
        <f>Calculation!B56</f>
        <v>46</v>
      </c>
      <c r="D60" s="38" t="str">
        <f>Calculation!C56</f>
        <v>Low-birth weight of full term babies (%)*</v>
      </c>
      <c r="E60" s="204" t="str">
        <f>'Spine Chart (Locality)'!E60</f>
        <v>2016-2018</v>
      </c>
      <c r="F60" s="190" t="str">
        <f ca="1">IF(Calculation!F56="","N/A",IF(Calculation!F56&lt;6,"N/A",Calculation!F56))</f>
        <v>N/A</v>
      </c>
      <c r="G60" s="349">
        <f ca="1">IF(Calculation!G56="","N/A",Calculation!G56)</f>
        <v>3.2774945375091042</v>
      </c>
      <c r="H60" s="349">
        <f ca="1">Calculation!S56</f>
        <v>2.6123301985370948</v>
      </c>
      <c r="I60" s="350">
        <f ca="1">Calculation!M56</f>
        <v>2.4223894637817498</v>
      </c>
      <c r="J60" s="351">
        <f ca="1">Calculation!U56</f>
        <v>4.1189931350114417</v>
      </c>
      <c r="K60" s="25"/>
      <c r="L60" s="25"/>
      <c r="M60" s="25"/>
      <c r="N60" s="25"/>
      <c r="O60" s="24"/>
      <c r="P60" s="24"/>
      <c r="Q60" s="24"/>
      <c r="R60" s="24"/>
      <c r="S60" s="24"/>
      <c r="T60" s="24"/>
      <c r="U60" s="24"/>
      <c r="V60" s="24"/>
      <c r="W60" s="227"/>
      <c r="X60" s="378">
        <f ca="1">Calculation!T56</f>
        <v>1.7318159327065807</v>
      </c>
    </row>
    <row r="61" spans="2:24" s="9" customFormat="1" ht="18.75" customHeight="1" x14ac:dyDescent="0.25">
      <c r="B61" s="397"/>
      <c r="C61" s="222">
        <f>Calculation!B57</f>
        <v>47</v>
      </c>
      <c r="D61" s="223" t="str">
        <f>Calculation!C57</f>
        <v>Teenage maternities (U20 years) (%)*</v>
      </c>
      <c r="E61" s="246" t="str">
        <f>'Spine Chart (Locality)'!E61</f>
        <v>2016-2018</v>
      </c>
      <c r="F61" s="260" t="str">
        <f ca="1">IF(Calculation!F57="","N/A",IF(Calculation!F57&lt;6,"N/A",Calculation!F57))</f>
        <v>N/A</v>
      </c>
      <c r="G61" s="363">
        <f ca="1">IF(Calculation!G57="","N/A",Calculation!G57)</f>
        <v>4.6348314606741576</v>
      </c>
      <c r="H61" s="363">
        <f ca="1">Calculation!S57</f>
        <v>4.8105436573311362</v>
      </c>
      <c r="I61" s="364">
        <f ca="1">Calculation!M57</f>
        <v>4.616928738708598</v>
      </c>
      <c r="J61" s="365">
        <f ca="1">Calculation!U57</f>
        <v>6.3100137174211248</v>
      </c>
      <c r="K61" s="224"/>
      <c r="L61" s="224"/>
      <c r="M61" s="224"/>
      <c r="N61" s="224"/>
      <c r="O61" s="225"/>
      <c r="P61" s="225"/>
      <c r="Q61" s="225"/>
      <c r="R61" s="225"/>
      <c r="S61" s="225"/>
      <c r="T61" s="225"/>
      <c r="U61" s="225"/>
      <c r="V61" s="225"/>
      <c r="W61" s="230"/>
      <c r="X61" s="379">
        <f ca="1">Calculation!T57</f>
        <v>1.932367149758454</v>
      </c>
    </row>
    <row r="62" spans="2:24" s="9" customFormat="1" ht="18.75" customHeight="1" x14ac:dyDescent="0.25">
      <c r="B62" s="396" t="s">
        <v>239</v>
      </c>
      <c r="C62" s="41">
        <f>Calculation!B58</f>
        <v>48</v>
      </c>
      <c r="D62" s="37" t="str">
        <f>Calculation!C58</f>
        <v>0-4 years emergency admissions (crude rate per 1,000 registered population)</v>
      </c>
      <c r="E62" s="204" t="str">
        <f>'Spine Chart (Locality)'!E62</f>
        <v>2015/16-2017/18</v>
      </c>
      <c r="F62" s="190">
        <f ca="1">IF(Calculation!F58="","N/A",IF(Calculation!F58&lt;6,"N/A",Calculation!F58))</f>
        <v>248</v>
      </c>
      <c r="G62" s="346">
        <f ca="1">IF(Calculation!G58="","N/A",Calculation!G58)</f>
        <v>175.51309271054492</v>
      </c>
      <c r="H62" s="346">
        <f ca="1">Calculation!S58</f>
        <v>168.89643020296285</v>
      </c>
      <c r="I62" s="347">
        <f ca="1">Calculation!M58</f>
        <v>164.94697031982241</v>
      </c>
      <c r="J62" s="348">
        <f ca="1">Calculation!U58</f>
        <v>231.45400593471811</v>
      </c>
      <c r="K62" s="25"/>
      <c r="L62" s="25"/>
      <c r="M62" s="25"/>
      <c r="N62" s="25"/>
      <c r="O62" s="24"/>
      <c r="P62" s="24"/>
      <c r="Q62" s="24"/>
      <c r="R62" s="24"/>
      <c r="S62" s="24"/>
      <c r="T62" s="24"/>
      <c r="U62" s="24"/>
      <c r="V62" s="24"/>
      <c r="W62" s="227"/>
      <c r="X62" s="368">
        <f ca="1">Calculation!T58</f>
        <v>115.07936507936508</v>
      </c>
    </row>
    <row r="63" spans="2:24" s="9" customFormat="1" ht="18.75" customHeight="1" x14ac:dyDescent="0.25">
      <c r="B63" s="396"/>
      <c r="C63" s="41">
        <f>Calculation!B59</f>
        <v>49</v>
      </c>
      <c r="D63" s="38" t="str">
        <f>Calculation!C59</f>
        <v>Admissions caused by unintentional and deliberate injuries (0-14 years) (crude rate per 10,000 registered population)</v>
      </c>
      <c r="E63" s="204" t="str">
        <f>'Spine Chart (Locality)'!E63</f>
        <v>2015/16-2017/18</v>
      </c>
      <c r="F63" s="190">
        <f ca="1">IF(Calculation!F59="","N/A",IF(Calculation!F59&lt;6,"N/A",Calculation!F59))</f>
        <v>36</v>
      </c>
      <c r="G63" s="349">
        <f ca="1">IF(Calculation!G59="","N/A",Calculation!G59)</f>
        <v>99.502487562189046</v>
      </c>
      <c r="H63" s="349">
        <f ca="1">Calculation!S59</f>
        <v>112.88180610889775</v>
      </c>
      <c r="I63" s="350">
        <f ca="1">Calculation!M59</f>
        <v>112.7210564426429</v>
      </c>
      <c r="J63" s="351">
        <f ca="1">Calculation!U59</f>
        <v>159.37605968124788</v>
      </c>
      <c r="K63" s="25"/>
      <c r="L63" s="25"/>
      <c r="M63" s="25"/>
      <c r="N63" s="25"/>
      <c r="O63" s="24"/>
      <c r="P63" s="24"/>
      <c r="Q63" s="24"/>
      <c r="R63" s="24"/>
      <c r="S63" s="24"/>
      <c r="T63" s="24"/>
      <c r="U63" s="24"/>
      <c r="V63" s="24"/>
      <c r="W63" s="227"/>
      <c r="X63" s="369">
        <f ca="1">Calculation!T59</f>
        <v>37.650602409638552</v>
      </c>
    </row>
    <row r="64" spans="2:24" s="9" customFormat="1" ht="18.75" customHeight="1" x14ac:dyDescent="0.25">
      <c r="B64" s="396"/>
      <c r="C64" s="41">
        <f>Calculation!B60</f>
        <v>50</v>
      </c>
      <c r="D64" s="38" t="str">
        <f>Calculation!C60</f>
        <v>Admissions caused by unintentional and deliberate injuries (15-24 years) (crude rate per 10,000 registered population)</v>
      </c>
      <c r="E64" s="204" t="str">
        <f>'Spine Chart (Locality)'!E64</f>
        <v>2015/16-2017/18</v>
      </c>
      <c r="F64" s="190">
        <f ca="1">IF(Calculation!F60="","N/A",IF(Calculation!F60&lt;6,"N/A",Calculation!F60))</f>
        <v>51</v>
      </c>
      <c r="G64" s="349">
        <f ca="1">IF(Calculation!G60="","N/A",Calculation!G60)</f>
        <v>180.33946251768035</v>
      </c>
      <c r="H64" s="349">
        <f ca="1">Calculation!S60</f>
        <v>209.51756303745807</v>
      </c>
      <c r="I64" s="350">
        <f ca="1">Calculation!M60</f>
        <v>159.68281681943839</v>
      </c>
      <c r="J64" s="351">
        <f ca="1">Calculation!U60</f>
        <v>273.66863905325442</v>
      </c>
      <c r="K64" s="25"/>
      <c r="L64" s="25"/>
      <c r="M64" s="25"/>
      <c r="N64" s="25"/>
      <c r="O64" s="24"/>
      <c r="P64" s="24"/>
      <c r="Q64" s="24"/>
      <c r="R64" s="24"/>
      <c r="S64" s="24"/>
      <c r="T64" s="24"/>
      <c r="U64" s="24"/>
      <c r="V64" s="24"/>
      <c r="W64" s="227"/>
      <c r="X64" s="369">
        <f ca="1">Calculation!T60</f>
        <v>76.412628192238088</v>
      </c>
    </row>
    <row r="65" spans="2:24" s="9" customFormat="1" ht="18.75" customHeight="1" x14ac:dyDescent="0.25">
      <c r="B65" s="396"/>
      <c r="C65" s="41">
        <f>Calculation!B61</f>
        <v>51</v>
      </c>
      <c r="D65" s="38" t="str">
        <f>Calculation!C61</f>
        <v>Hospital admissions as a result of self harm (10-24 years) (crude rate per 10,000 registered population)</v>
      </c>
      <c r="E65" s="204" t="str">
        <f>'Spine Chart (Locality)'!E65</f>
        <v>2015/16-2017/18</v>
      </c>
      <c r="F65" s="190">
        <f ca="1">IF(Calculation!F61="","N/A",IF(Calculation!F61&lt;6,"N/A",Calculation!F61))</f>
        <v>31</v>
      </c>
      <c r="G65" s="349">
        <f ca="1">IF(Calculation!G61="","N/A",Calculation!G61)</f>
        <v>82.424886998138803</v>
      </c>
      <c r="H65" s="349">
        <f ca="1">Calculation!S61</f>
        <v>66.364559344278533</v>
      </c>
      <c r="I65" s="350">
        <f ca="1">Calculation!M61</f>
        <v>62.50391717803646</v>
      </c>
      <c r="J65" s="351">
        <f ca="1">Calculation!U61</f>
        <v>107.42926312604024</v>
      </c>
      <c r="K65" s="25"/>
      <c r="L65" s="25"/>
      <c r="M65" s="25"/>
      <c r="N65" s="25"/>
      <c r="O65" s="24"/>
      <c r="P65" s="24"/>
      <c r="Q65" s="24"/>
      <c r="R65" s="24"/>
      <c r="S65" s="24"/>
      <c r="T65" s="24"/>
      <c r="U65" s="24"/>
      <c r="V65" s="24"/>
      <c r="W65" s="227"/>
      <c r="X65" s="369">
        <f ca="1">Calculation!T61</f>
        <v>31.835205992509362</v>
      </c>
    </row>
    <row r="66" spans="2:24" s="9" customFormat="1" ht="18.75" customHeight="1" x14ac:dyDescent="0.25">
      <c r="B66" s="396"/>
      <c r="C66" s="41">
        <f>Calculation!B62</f>
        <v>52</v>
      </c>
      <c r="D66" s="38" t="str">
        <f>Calculation!C62</f>
        <v>Prevalence of obesity among Year R children (%)*</v>
      </c>
      <c r="E66" s="204" t="str">
        <f>'Spine Chart (Locality)'!E66</f>
        <v>2015/16-2017/18</v>
      </c>
      <c r="F66" s="190" t="str">
        <f ca="1">IF(Calculation!F62="","N/A",IF(Calculation!F62&lt;6,"N/A",Calculation!F62))</f>
        <v>N/A</v>
      </c>
      <c r="G66" s="349">
        <f ca="1">IF(Calculation!G62="","N/A",Calculation!G62)</f>
        <v>8.7076076993583875</v>
      </c>
      <c r="H66" s="349">
        <f ca="1">Calculation!S62</f>
        <v>11.359159553512804</v>
      </c>
      <c r="I66" s="350">
        <f ca="1">Calculation!M62</f>
        <v>10.411872986654394</v>
      </c>
      <c r="J66" s="351">
        <f ca="1">Calculation!U62</f>
        <v>13.864306784660767</v>
      </c>
      <c r="K66" s="25"/>
      <c r="L66" s="25"/>
      <c r="M66" s="25"/>
      <c r="N66" s="25"/>
      <c r="O66" s="24"/>
      <c r="P66" s="24"/>
      <c r="Q66" s="24"/>
      <c r="R66" s="24"/>
      <c r="S66" s="24"/>
      <c r="T66" s="24"/>
      <c r="U66" s="24"/>
      <c r="V66" s="24"/>
      <c r="W66" s="227"/>
      <c r="X66" s="369">
        <f ca="1">Calculation!T62</f>
        <v>4.7904191616766472</v>
      </c>
    </row>
    <row r="67" spans="2:24" s="9" customFormat="1" ht="18.75" customHeight="1" x14ac:dyDescent="0.25">
      <c r="B67" s="396"/>
      <c r="C67" s="41">
        <f>Calculation!B63</f>
        <v>53</v>
      </c>
      <c r="D67" s="38" t="str">
        <f>Calculation!C63</f>
        <v>Prevalence of obesity among Year 6 children (%)*</v>
      </c>
      <c r="E67" s="204" t="str">
        <f>'Spine Chart (Locality)'!E67</f>
        <v>2015/16-2017/18</v>
      </c>
      <c r="F67" s="190" t="str">
        <f ca="1">IF(Calculation!F63="","N/A",IF(Calculation!F63&lt;6,"N/A",Calculation!F63))</f>
        <v>N/A</v>
      </c>
      <c r="G67" s="349">
        <f ca="1">IF(Calculation!G63="","N/A",Calculation!G63)</f>
        <v>21.113689095127611</v>
      </c>
      <c r="H67" s="349">
        <f ca="1">Calculation!S63</f>
        <v>23.15251572327044</v>
      </c>
      <c r="I67" s="350">
        <f ca="1">Calculation!M63</f>
        <v>22.175305765870704</v>
      </c>
      <c r="J67" s="351">
        <f ca="1">Calculation!U63</f>
        <v>26.717557251908396</v>
      </c>
      <c r="K67" s="25"/>
      <c r="L67" s="25"/>
      <c r="M67" s="25"/>
      <c r="N67" s="25"/>
      <c r="O67" s="24"/>
      <c r="P67" s="24"/>
      <c r="Q67" s="24"/>
      <c r="R67" s="24"/>
      <c r="S67" s="24"/>
      <c r="T67" s="24"/>
      <c r="U67" s="24"/>
      <c r="V67" s="24"/>
      <c r="W67" s="227"/>
      <c r="X67" s="369">
        <f ca="1">Calculation!T63</f>
        <v>14.986376021798366</v>
      </c>
    </row>
    <row r="68" spans="2:24" s="9" customFormat="1" ht="18.75" customHeight="1" x14ac:dyDescent="0.25">
      <c r="B68" s="396"/>
      <c r="C68" s="41">
        <f>Calculation!B64</f>
        <v>54</v>
      </c>
      <c r="D68" s="38" t="str">
        <f>Calculation!C64</f>
        <v>Looked after children (crude rate per 10,000 children aged 0-17 years)*</v>
      </c>
      <c r="E68" s="204" t="str">
        <f>'Spine Chart (Locality)'!E68</f>
        <v>2019</v>
      </c>
      <c r="F68" s="190" t="str">
        <f ca="1">IF(Calculation!F64="","N/A",IF(Calculation!F64&lt;6,"N/A",Calculation!F64))</f>
        <v>N/A</v>
      </c>
      <c r="G68" s="349">
        <f ca="1">IF(Calculation!G64="","N/A",Calculation!G64)</f>
        <v>33.337778370449392</v>
      </c>
      <c r="H68" s="349">
        <f ca="1">Calculation!S64</f>
        <v>85.59366144236887</v>
      </c>
      <c r="I68" s="350">
        <f ca="1">Calculation!M64</f>
        <v>90.485055952595431</v>
      </c>
      <c r="J68" s="351">
        <f ca="1">Calculation!U64</f>
        <v>131.40943055913422</v>
      </c>
      <c r="K68" s="25"/>
      <c r="L68" s="25"/>
      <c r="M68" s="25"/>
      <c r="N68" s="25"/>
      <c r="O68" s="24"/>
      <c r="P68" s="24"/>
      <c r="Q68" s="24"/>
      <c r="R68" s="24"/>
      <c r="S68" s="24"/>
      <c r="T68" s="24"/>
      <c r="U68" s="24"/>
      <c r="V68" s="24"/>
      <c r="W68" s="227"/>
      <c r="X68" s="369">
        <f ca="1">Calculation!T64</f>
        <v>30.807147258163891</v>
      </c>
    </row>
    <row r="69" spans="2:24" s="9" customFormat="1" ht="18.75" customHeight="1" x14ac:dyDescent="0.25">
      <c r="B69" s="397"/>
      <c r="C69" s="222">
        <f>Calculation!B65</f>
        <v>55</v>
      </c>
      <c r="D69" s="223" t="str">
        <f>Calculation!C65</f>
        <v>Child poverty (%)*</v>
      </c>
      <c r="E69" s="246" t="str">
        <f>'Spine Chart (Locality)'!E69</f>
        <v>2015</v>
      </c>
      <c r="F69" s="256" t="str">
        <f ca="1">IF(Calculation!F65="","N/A",IF(Calculation!F65&lt;6,"N/A",Calculation!F65))</f>
        <v>N/A</v>
      </c>
      <c r="G69" s="363">
        <f ca="1">IF(Calculation!G65="","N/A",Calculation!G65)</f>
        <v>11.76470588235294</v>
      </c>
      <c r="H69" s="363">
        <f ca="1">Calculation!S65</f>
        <v>19.593521752937441</v>
      </c>
      <c r="I69" s="364">
        <f ca="1">Calculation!M65</f>
        <v>20.11754068716094</v>
      </c>
      <c r="J69" s="365">
        <f ca="1">Calculation!U65</f>
        <v>25.525525525525527</v>
      </c>
      <c r="K69" s="224"/>
      <c r="L69" s="224"/>
      <c r="M69" s="224"/>
      <c r="N69" s="224"/>
      <c r="O69" s="225"/>
      <c r="P69" s="225"/>
      <c r="Q69" s="225"/>
      <c r="R69" s="225"/>
      <c r="S69" s="225"/>
      <c r="T69" s="225"/>
      <c r="U69" s="225"/>
      <c r="V69" s="225"/>
      <c r="W69" s="230"/>
      <c r="X69" s="374">
        <f ca="1">Calculation!T65</f>
        <v>8.0246913580246915</v>
      </c>
    </row>
    <row r="70" spans="2:24" s="9" customFormat="1" ht="18.75" customHeight="1" x14ac:dyDescent="0.25">
      <c r="B70" s="395" t="s">
        <v>240</v>
      </c>
      <c r="C70" s="41">
        <f>Calculation!B66</f>
        <v>56</v>
      </c>
      <c r="D70" s="37" t="str">
        <f>Calculation!C66</f>
        <v>Flu vaccination coverage 65+ years (%)</v>
      </c>
      <c r="E70" s="204" t="str">
        <f>'Spine Chart (Locality)'!E70</f>
        <v>2018-19</v>
      </c>
      <c r="F70" s="190">
        <f ca="1">IF(Calculation!F66="","N/A",IF(Calculation!F66&lt;6,"N/A",Calculation!F66))</f>
        <v>900</v>
      </c>
      <c r="G70" s="346">
        <f ca="1">IF(Calculation!G66="","N/A",Calculation!G66)</f>
        <v>77.054794520547944</v>
      </c>
      <c r="H70" s="346">
        <f ca="1">Calculation!S66</f>
        <v>72.321563873314147</v>
      </c>
      <c r="I70" s="347">
        <f ca="1">Calculation!M66</f>
        <v>73.192206309954074</v>
      </c>
      <c r="J70" s="348">
        <f ca="1">Calculation!U66</f>
        <v>51.162790697674417</v>
      </c>
      <c r="K70" s="25"/>
      <c r="L70" s="25"/>
      <c r="M70" s="25"/>
      <c r="N70" s="25"/>
      <c r="O70" s="24"/>
      <c r="P70" s="24"/>
      <c r="Q70" s="24"/>
      <c r="R70" s="24"/>
      <c r="S70" s="24"/>
      <c r="T70" s="24"/>
      <c r="U70" s="24"/>
      <c r="V70" s="24"/>
      <c r="W70" s="227"/>
      <c r="X70" s="368">
        <f ca="1">Calculation!T66</f>
        <v>89.495798319327733</v>
      </c>
    </row>
    <row r="71" spans="2:24" s="9" customFormat="1" ht="18.75" customHeight="1" x14ac:dyDescent="0.25">
      <c r="B71" s="396"/>
      <c r="C71" s="41">
        <f>Calculation!B67</f>
        <v>57</v>
      </c>
      <c r="D71" s="38" t="str">
        <f>Calculation!C67</f>
        <v>Emergency admissions due to falls in people aged 65 and over (DSR per 100,000 registered population)</v>
      </c>
      <c r="E71" s="204" t="str">
        <f>'Spine Chart (Locality)'!E71</f>
        <v>2015/16-2017/18</v>
      </c>
      <c r="F71" s="190">
        <f ca="1">IF(Calculation!F67="","N/A",IF(Calculation!F67&lt;6,"N/A",Calculation!F67))</f>
        <v>114</v>
      </c>
      <c r="G71" s="349">
        <f ca="1">IF(Calculation!G67="","N/A",Calculation!G67)</f>
        <v>3294.3653065071812</v>
      </c>
      <c r="H71" s="349">
        <f ca="1">Calculation!S67</f>
        <v>3183.7797495473205</v>
      </c>
      <c r="I71" s="350">
        <f ca="1">Calculation!M67</f>
        <v>3071.5794179164795</v>
      </c>
      <c r="J71" s="351">
        <f ca="1">Calculation!U67</f>
        <v>5339.3510967946149</v>
      </c>
      <c r="K71" s="25"/>
      <c r="L71" s="25"/>
      <c r="M71" s="25"/>
      <c r="N71" s="25"/>
      <c r="O71" s="24"/>
      <c r="P71" s="24"/>
      <c r="Q71" s="24"/>
      <c r="R71" s="24"/>
      <c r="S71" s="24"/>
      <c r="T71" s="24"/>
      <c r="U71" s="24"/>
      <c r="V71" s="24"/>
      <c r="W71" s="227"/>
      <c r="X71" s="369">
        <f ca="1">Calculation!T67</f>
        <v>1833.2618332618331</v>
      </c>
    </row>
    <row r="72" spans="2:24" s="9" customFormat="1" ht="18.75" customHeight="1" x14ac:dyDescent="0.25">
      <c r="B72" s="396"/>
      <c r="C72" s="41">
        <f>Calculation!B68</f>
        <v>58</v>
      </c>
      <c r="D72" s="38" t="str">
        <f>Calculation!C68</f>
        <v>Emergency admissions due to hip fractures in those aged 65 and over (DSR per 100,000 registered population)</v>
      </c>
      <c r="E72" s="204" t="str">
        <f>'Spine Chart (Locality)'!E72</f>
        <v>2015/16-2017/18</v>
      </c>
      <c r="F72" s="190">
        <f ca="1">IF(Calculation!F68="","N/A",IF(Calculation!F68&lt;6,"N/A",Calculation!F68))</f>
        <v>18</v>
      </c>
      <c r="G72" s="349">
        <f ca="1">IF(Calculation!G68="","N/A",Calculation!G68)</f>
        <v>509.43669940025154</v>
      </c>
      <c r="H72" s="349">
        <f ca="1">Calculation!S68</f>
        <v>622.40654899707647</v>
      </c>
      <c r="I72" s="350">
        <f ca="1">Calculation!M68</f>
        <v>612.57115474457419</v>
      </c>
      <c r="J72" s="351">
        <f ca="1">Calculation!U68</f>
        <v>1737.0940750698362</v>
      </c>
      <c r="K72" s="25"/>
      <c r="L72" s="25"/>
      <c r="M72" s="25"/>
      <c r="N72" s="25"/>
      <c r="O72" s="24"/>
      <c r="P72" s="24"/>
      <c r="Q72" s="24"/>
      <c r="R72" s="24"/>
      <c r="S72" s="24"/>
      <c r="T72" s="24"/>
      <c r="U72" s="24"/>
      <c r="V72" s="24"/>
      <c r="W72" s="227"/>
      <c r="X72" s="369">
        <f ca="1">Calculation!T68</f>
        <v>328.32159121953197</v>
      </c>
    </row>
    <row r="73" spans="2:24" s="9" customFormat="1" ht="18.75" customHeight="1" x14ac:dyDescent="0.25">
      <c r="B73" s="396"/>
      <c r="C73" s="41">
        <f>Calculation!B69</f>
        <v>59</v>
      </c>
      <c r="D73" s="38" t="str">
        <f>Calculation!C69</f>
        <v>Social care support 65 years and over (crude rate per 1,000 resident population)*</v>
      </c>
      <c r="E73" s="204" t="str">
        <f>'Spine Chart (Locality)'!E73</f>
        <v>2018</v>
      </c>
      <c r="F73" s="190" t="str">
        <f ca="1">IF(Calculation!F69="","N/A",IF(Calculation!F69&lt;6,"N/A",Calculation!F69))</f>
        <v>N/A</v>
      </c>
      <c r="G73" s="349">
        <f ca="1">IF(Calculation!G69="","N/A",Calculation!G69)</f>
        <v>48.632218844984806</v>
      </c>
      <c r="H73" s="349">
        <f ca="1">Calculation!S69</f>
        <v>40.160642570281126</v>
      </c>
      <c r="I73" s="350">
        <f ca="1">Calculation!M69</f>
        <v>38.165990869651516</v>
      </c>
      <c r="J73" s="351">
        <f ca="1">Calculation!U69</f>
        <v>20.595690747782001</v>
      </c>
      <c r="K73" s="25"/>
      <c r="L73" s="25"/>
      <c r="M73" s="25"/>
      <c r="N73" s="25"/>
      <c r="O73" s="24"/>
      <c r="P73" s="24"/>
      <c r="Q73" s="24"/>
      <c r="R73" s="24"/>
      <c r="S73" s="24"/>
      <c r="T73" s="24"/>
      <c r="U73" s="24"/>
      <c r="V73" s="24"/>
      <c r="W73" s="227"/>
      <c r="X73" s="369">
        <f ca="1">Calculation!T69</f>
        <v>94.962362478286039</v>
      </c>
    </row>
    <row r="74" spans="2:24" s="9" customFormat="1" ht="18.75" customHeight="1" x14ac:dyDescent="0.25">
      <c r="B74" s="396"/>
      <c r="C74" s="41">
        <f>Calculation!B70</f>
        <v>60</v>
      </c>
      <c r="D74" s="38" t="str">
        <f>Calculation!C70</f>
        <v>Excess Winter Deaths (%) all ages</v>
      </c>
      <c r="E74" s="204" t="str">
        <f>'Spine Chart (Locality)'!E74</f>
        <v>Aug 2014 - July 2017</v>
      </c>
      <c r="F74" s="190" t="str">
        <f ca="1">IF(Calculation!F70="","N/A",IF(Calculation!F70&lt;6,"N/A",Calculation!F70))</f>
        <v>N/A</v>
      </c>
      <c r="G74" s="349">
        <f ca="1">IF(Calculation!G70="","N/A",Calculation!G70)</f>
        <v>15.463917525773196</v>
      </c>
      <c r="H74" s="349">
        <f ca="1">Calculation!S70</f>
        <v>20.437956204379564</v>
      </c>
      <c r="I74" s="350">
        <f ca="1">Calculation!M70</f>
        <v>21.994134897360702</v>
      </c>
      <c r="J74" s="351">
        <f ca="1">Calculation!U70</f>
        <v>54.117647058823529</v>
      </c>
      <c r="K74" s="25"/>
      <c r="L74" s="25"/>
      <c r="M74" s="25"/>
      <c r="N74" s="25"/>
      <c r="O74" s="24"/>
      <c r="P74" s="24"/>
      <c r="Q74" s="24"/>
      <c r="R74" s="24"/>
      <c r="S74" s="24"/>
      <c r="T74" s="24"/>
      <c r="U74" s="24"/>
      <c r="V74" s="24"/>
      <c r="W74" s="227"/>
      <c r="X74" s="369">
        <f ca="1">Calculation!T70</f>
        <v>-26.530612244897959</v>
      </c>
    </row>
    <row r="75" spans="2:24" s="9" customFormat="1" ht="18.75" customHeight="1" x14ac:dyDescent="0.25">
      <c r="B75" s="397"/>
      <c r="C75" s="222">
        <f>Calculation!B71</f>
        <v>61</v>
      </c>
      <c r="D75" s="223" t="str">
        <f>Calculation!C71</f>
        <v>Deaths occuring at home (%) all ages</v>
      </c>
      <c r="E75" s="246" t="str">
        <f>'Spine Chart (Locality)'!E75</f>
        <v>2015-17</v>
      </c>
      <c r="F75" s="256">
        <f ca="1">IF(Calculation!F71="","N/A",IF(Calculation!F71&lt;6,"N/A",Calculation!F71))</f>
        <v>34</v>
      </c>
      <c r="G75" s="363">
        <f ca="1">IF(Calculation!G71="","N/A",Calculation!G71)</f>
        <v>22.516556291390728</v>
      </c>
      <c r="H75" s="363">
        <f ca="1">Calculation!S71</f>
        <v>28.237909949972209</v>
      </c>
      <c r="I75" s="364">
        <f ca="1">Calculation!M71</f>
        <v>25.308531568592382</v>
      </c>
      <c r="J75" s="365">
        <f ca="1">Calculation!U71</f>
        <v>6.1224489795918364</v>
      </c>
      <c r="K75" s="224"/>
      <c r="L75" s="224"/>
      <c r="M75" s="224"/>
      <c r="N75" s="224"/>
      <c r="O75" s="225"/>
      <c r="P75" s="225"/>
      <c r="Q75" s="225"/>
      <c r="R75" s="225"/>
      <c r="S75" s="225"/>
      <c r="T75" s="225"/>
      <c r="U75" s="225"/>
      <c r="V75" s="225"/>
      <c r="W75" s="230"/>
      <c r="X75" s="374">
        <f ca="1">Calculation!T71</f>
        <v>37.878787878787875</v>
      </c>
    </row>
    <row r="76" spans="2:24" s="9" customFormat="1" ht="18.75" customHeight="1" x14ac:dyDescent="0.25">
      <c r="B76" s="395" t="s">
        <v>241</v>
      </c>
      <c r="C76" s="41">
        <f>Calculation!B72</f>
        <v>62</v>
      </c>
      <c r="D76" s="37" t="str">
        <f>Calculation!C72</f>
        <v>Unemployment (claimant count) (%)*</v>
      </c>
      <c r="E76" s="204" t="str">
        <f>'Spine Chart (Locality)'!E76</f>
        <v>2019</v>
      </c>
      <c r="F76" s="190" t="str">
        <f ca="1">IF(Calculation!F72="","N/A",IF(Calculation!F72&lt;6,"N/A",Calculation!F72))</f>
        <v>N/A</v>
      </c>
      <c r="G76" s="346">
        <f ca="1">IF(Calculation!G72="","N/A",Calculation!G72)</f>
        <v>1.9610040340654415</v>
      </c>
      <c r="H76" s="346">
        <f ca="1">Calculation!S72</f>
        <v>3.0599755201958385</v>
      </c>
      <c r="I76" s="347">
        <f ca="1">Calculation!M72</f>
        <v>2.9116025921911395</v>
      </c>
      <c r="J76" s="348">
        <f ca="1">Calculation!U72</f>
        <v>4.3053960964408731</v>
      </c>
      <c r="K76" s="25"/>
      <c r="L76" s="25"/>
      <c r="M76" s="25"/>
      <c r="N76" s="25"/>
      <c r="O76" s="24"/>
      <c r="P76" s="24"/>
      <c r="Q76" s="24"/>
      <c r="R76" s="24"/>
      <c r="S76" s="24"/>
      <c r="T76" s="24"/>
      <c r="U76" s="24"/>
      <c r="V76" s="24"/>
      <c r="W76" s="227"/>
      <c r="X76" s="368">
        <f ca="1">Calculation!T72</f>
        <v>1.5315170078994036</v>
      </c>
    </row>
    <row r="77" spans="2:24" s="9" customFormat="1" ht="18.75" customHeight="1" x14ac:dyDescent="0.25">
      <c r="B77" s="396"/>
      <c r="C77" s="41">
        <f>Calculation!B73</f>
        <v>63</v>
      </c>
      <c r="D77" s="38" t="str">
        <f>Calculation!C73</f>
        <v>Fuel poverty (%)*</v>
      </c>
      <c r="E77" s="204" t="str">
        <f>'Spine Chart (Locality)'!E77</f>
        <v>2017</v>
      </c>
      <c r="F77" s="190" t="str">
        <f ca="1">IF(Calculation!F73="","N/A",IF(Calculation!F73&lt;6,"N/A",Calculation!F73))</f>
        <v>N/A</v>
      </c>
      <c r="G77" s="349">
        <f ca="1">IF(Calculation!G73="","N/A",Calculation!G73)</f>
        <v>12.560673066551614</v>
      </c>
      <c r="H77" s="349">
        <f ca="1">Calculation!S73</f>
        <v>9.9991164256472196</v>
      </c>
      <c r="I77" s="350">
        <f ca="1">Calculation!M73</f>
        <v>11.470826773531797</v>
      </c>
      <c r="J77" s="351">
        <f ca="1">Calculation!U73</f>
        <v>18.022741629816803</v>
      </c>
      <c r="K77" s="25"/>
      <c r="L77" s="25"/>
      <c r="M77" s="25"/>
      <c r="N77" s="25"/>
      <c r="O77" s="24"/>
      <c r="P77" s="24"/>
      <c r="Q77" s="24"/>
      <c r="R77" s="24"/>
      <c r="S77" s="24"/>
      <c r="T77" s="24"/>
      <c r="U77" s="24"/>
      <c r="V77" s="24"/>
      <c r="W77" s="227"/>
      <c r="X77" s="369">
        <f ca="1">Calculation!T73</f>
        <v>8.4733382030679323</v>
      </c>
    </row>
    <row r="78" spans="2:24" s="9" customFormat="1" ht="18.75" customHeight="1" x14ac:dyDescent="0.25">
      <c r="B78" s="396"/>
      <c r="C78" s="41">
        <f>Calculation!B74</f>
        <v>64</v>
      </c>
      <c r="D78" s="38" t="str">
        <f>Calculation!C74</f>
        <v>Lone parent households (%)*</v>
      </c>
      <c r="E78" s="204" t="str">
        <f>'Spine Chart (Locality)'!E78</f>
        <v>2011</v>
      </c>
      <c r="F78" s="190" t="str">
        <f ca="1">IF(Calculation!F74="","N/A",IF(Calculation!F74&lt;6,"N/A",Calculation!F74))</f>
        <v>N/A</v>
      </c>
      <c r="G78" s="349">
        <f ca="1">IF(Calculation!G74="","N/A",Calculation!G74)</f>
        <v>4.0080390467987366</v>
      </c>
      <c r="H78" s="349">
        <f ca="1">Calculation!S74</f>
        <v>8.0026371970362931</v>
      </c>
      <c r="I78" s="350">
        <f ca="1">Calculation!M74</f>
        <v>7.0409347202149535</v>
      </c>
      <c r="J78" s="351">
        <f ca="1">Calculation!U74</f>
        <v>2.5883379380543845</v>
      </c>
      <c r="K78" s="25"/>
      <c r="L78" s="25"/>
      <c r="M78" s="25"/>
      <c r="N78" s="25"/>
      <c r="O78" s="24"/>
      <c r="P78" s="24"/>
      <c r="Q78" s="24"/>
      <c r="R78" s="24"/>
      <c r="S78" s="24"/>
      <c r="T78" s="24"/>
      <c r="U78" s="24"/>
      <c r="V78" s="24"/>
      <c r="W78" s="227"/>
      <c r="X78" s="369">
        <f ca="1">Calculation!T74</f>
        <v>11.318805185046028</v>
      </c>
    </row>
    <row r="79" spans="2:24" s="9" customFormat="1" ht="18.75" customHeight="1" thickBot="1" x14ac:dyDescent="0.3">
      <c r="B79" s="398"/>
      <c r="C79" s="296">
        <f>Calculation!B75</f>
        <v>65</v>
      </c>
      <c r="D79" s="297" t="str">
        <f>Calculation!C75</f>
        <v>Police recorded crime (crude rate per 1,000 resident population)*</v>
      </c>
      <c r="E79" s="204" t="str">
        <f>'Spine Chart (Locality)'!E79</f>
        <v>2018/19</v>
      </c>
      <c r="F79" s="190" t="str">
        <f ca="1">IF(Calculation!F75="","N/A",IF(Calculation!F75&lt;6,"N/A",Calculation!F75))</f>
        <v>N/A</v>
      </c>
      <c r="G79" s="349">
        <f ca="1">IF(Calculation!G75="","N/A",Calculation!G75)</f>
        <v>166.06117930308045</v>
      </c>
      <c r="H79" s="349">
        <f ca="1">Calculation!S75</f>
        <v>116.26629886466675</v>
      </c>
      <c r="I79" s="350">
        <f ca="1">Calculation!M75</f>
        <v>120.58020743975669</v>
      </c>
      <c r="J79" s="366">
        <f ca="1">Calculation!U75</f>
        <v>262.32869860958283</v>
      </c>
      <c r="K79" s="231"/>
      <c r="L79" s="232"/>
      <c r="M79" s="232"/>
      <c r="N79" s="232"/>
      <c r="O79" s="233"/>
      <c r="P79" s="233"/>
      <c r="Q79" s="233"/>
      <c r="R79" s="233"/>
      <c r="S79" s="233"/>
      <c r="T79" s="233"/>
      <c r="U79" s="233"/>
      <c r="V79" s="233"/>
      <c r="W79" s="234"/>
      <c r="X79" s="375">
        <f ca="1">Calculation!T75</f>
        <v>63.531815335947542</v>
      </c>
    </row>
    <row r="80" spans="2:24" s="9" customFormat="1" ht="18.75" customHeight="1" x14ac:dyDescent="0.25">
      <c r="B80" s="400" t="s">
        <v>457</v>
      </c>
      <c r="C80" s="400"/>
      <c r="D80" s="400"/>
      <c r="E80" s="400"/>
      <c r="F80" s="400"/>
      <c r="G80" s="400"/>
      <c r="H80" s="400"/>
      <c r="I80" s="400"/>
      <c r="J80" s="400"/>
      <c r="K80" s="25"/>
      <c r="L80" s="25"/>
      <c r="M80" s="25"/>
      <c r="N80" s="25"/>
      <c r="O80" s="24"/>
      <c r="P80" s="24"/>
      <c r="Q80" s="24"/>
      <c r="R80" s="24"/>
      <c r="S80" s="24"/>
      <c r="T80" s="24"/>
      <c r="U80" s="24"/>
      <c r="V80" s="24"/>
      <c r="W80" s="24"/>
      <c r="X80" s="35"/>
    </row>
    <row r="81" spans="2:27" ht="14.25" customHeight="1" x14ac:dyDescent="0.25">
      <c r="B81" s="401"/>
      <c r="C81" s="401"/>
      <c r="D81" s="401"/>
      <c r="E81" s="401"/>
      <c r="F81" s="401"/>
      <c r="G81" s="401"/>
      <c r="H81" s="401"/>
      <c r="I81" s="401"/>
      <c r="J81" s="401"/>
      <c r="K81" s="13"/>
      <c r="L81" s="13"/>
      <c r="M81" s="13"/>
      <c r="N81" s="13"/>
      <c r="O81" s="9"/>
      <c r="P81" s="9"/>
      <c r="Q81" s="14"/>
      <c r="R81" s="14"/>
    </row>
    <row r="82" spans="2:27" ht="15.9" customHeight="1" x14ac:dyDescent="0.25">
      <c r="I82" s="16"/>
      <c r="J82" s="16"/>
      <c r="N82" s="15"/>
      <c r="X82" s="16"/>
    </row>
    <row r="83" spans="2:27" s="9" customFormat="1" ht="15.9" customHeight="1" x14ac:dyDescent="0.25">
      <c r="D83" s="10"/>
      <c r="E83" s="10"/>
      <c r="F83" s="10"/>
      <c r="G83" s="10"/>
      <c r="H83" s="10"/>
      <c r="I83" s="17"/>
      <c r="J83" s="17"/>
      <c r="K83" s="17"/>
      <c r="L83" s="17"/>
      <c r="M83" s="17"/>
      <c r="N83" s="17"/>
      <c r="O83" s="17"/>
      <c r="P83" s="17"/>
      <c r="Q83" s="17"/>
      <c r="R83" s="17"/>
      <c r="S83" s="17"/>
      <c r="T83" s="17"/>
      <c r="U83" s="17"/>
      <c r="V83" s="17"/>
      <c r="W83" s="17"/>
      <c r="X83" s="17"/>
      <c r="Y83" s="17"/>
      <c r="Z83" s="17"/>
      <c r="AA83" s="17"/>
    </row>
    <row r="84" spans="2:27" s="9" customFormat="1" ht="15.9" customHeight="1" x14ac:dyDescent="0.25">
      <c r="B84" s="18"/>
      <c r="C84" s="18"/>
      <c r="D84" s="18"/>
      <c r="E84" s="18"/>
      <c r="F84" s="18"/>
      <c r="G84" s="18"/>
      <c r="H84" s="18"/>
      <c r="I84" s="19"/>
      <c r="J84" s="19"/>
      <c r="K84" s="19"/>
      <c r="L84" s="19"/>
      <c r="M84" s="19"/>
      <c r="N84" s="19"/>
      <c r="O84" s="19"/>
      <c r="P84" s="19"/>
      <c r="Q84" s="19"/>
      <c r="R84" s="19"/>
      <c r="S84" s="19"/>
      <c r="T84" s="19"/>
      <c r="U84" s="19"/>
      <c r="V84" s="19"/>
      <c r="W84" s="19"/>
      <c r="X84" s="19"/>
      <c r="Y84" s="19"/>
      <c r="Z84" s="19"/>
      <c r="AA84" s="19"/>
    </row>
    <row r="85" spans="2:27" ht="15.9" customHeight="1" x14ac:dyDescent="0.25">
      <c r="B85" s="20"/>
      <c r="C85" s="20"/>
      <c r="D85" s="20"/>
      <c r="E85" s="20"/>
      <c r="F85" s="20"/>
      <c r="G85" s="20"/>
      <c r="H85" s="20"/>
      <c r="I85" s="392"/>
      <c r="J85" s="392"/>
      <c r="K85" s="392"/>
      <c r="L85" s="392"/>
      <c r="M85" s="392"/>
      <c r="N85" s="392"/>
      <c r="O85" s="392"/>
      <c r="P85" s="391"/>
      <c r="Q85" s="391"/>
      <c r="R85" s="391"/>
      <c r="S85" s="391"/>
      <c r="T85" s="391"/>
      <c r="U85" s="391"/>
      <c r="V85" s="391"/>
      <c r="W85" s="391"/>
      <c r="X85" s="391"/>
      <c r="Y85" s="16"/>
      <c r="Z85" s="16"/>
      <c r="AA85" s="16"/>
    </row>
    <row r="86" spans="2:27" ht="15.9" customHeight="1" x14ac:dyDescent="0.25">
      <c r="N86" s="15"/>
    </row>
    <row r="87" spans="2:27" ht="15.9" customHeight="1" x14ac:dyDescent="0.25">
      <c r="N87" s="15"/>
    </row>
    <row r="88" spans="2:27" ht="15.9" customHeight="1" x14ac:dyDescent="0.25">
      <c r="N88" s="15"/>
    </row>
    <row r="89" spans="2:27" ht="15.9" customHeight="1" x14ac:dyDescent="0.25">
      <c r="B89" s="8"/>
      <c r="C89" s="8"/>
      <c r="D89" s="8"/>
      <c r="E89" s="8"/>
      <c r="F89" s="8"/>
      <c r="G89" s="8"/>
      <c r="H89" s="8"/>
      <c r="I89" s="8"/>
      <c r="J89" s="8"/>
      <c r="K89" s="8"/>
    </row>
    <row r="90" spans="2:27" ht="15.9" customHeight="1" x14ac:dyDescent="0.25">
      <c r="B90" s="8"/>
      <c r="C90" s="8"/>
      <c r="D90" s="8"/>
      <c r="E90" s="8"/>
      <c r="F90" s="8"/>
      <c r="G90" s="8"/>
      <c r="H90" s="8"/>
      <c r="I90" s="8"/>
      <c r="J90" s="8"/>
      <c r="K90" s="8"/>
    </row>
    <row r="91" spans="2:27" ht="15.9" customHeight="1" x14ac:dyDescent="0.25">
      <c r="B91" s="8"/>
      <c r="C91" s="8"/>
      <c r="D91" s="8"/>
      <c r="E91" s="8"/>
      <c r="F91" s="8"/>
      <c r="G91" s="8"/>
      <c r="H91" s="8"/>
      <c r="I91" s="8"/>
      <c r="J91" s="8"/>
      <c r="K91" s="8"/>
    </row>
    <row r="92" spans="2:27" ht="15.9" hidden="1" customHeight="1" x14ac:dyDescent="0.25">
      <c r="B92" s="121" t="s">
        <v>98</v>
      </c>
      <c r="C92" s="8"/>
      <c r="D92" s="8"/>
      <c r="E92" s="8"/>
      <c r="F92" s="8"/>
      <c r="G92" s="8"/>
      <c r="H92" s="8"/>
      <c r="I92" s="8"/>
      <c r="J92" s="8"/>
      <c r="K92" s="8"/>
      <c r="M92" s="121" t="s">
        <v>99</v>
      </c>
    </row>
    <row r="93" spans="2:27" ht="15.9" hidden="1" customHeight="1" x14ac:dyDescent="0.25">
      <c r="B93" s="122" t="s">
        <v>24</v>
      </c>
      <c r="C93" s="123" t="s">
        <v>74</v>
      </c>
      <c r="D93" s="123" t="s">
        <v>75</v>
      </c>
      <c r="E93" s="123" t="s">
        <v>77</v>
      </c>
      <c r="F93" s="123"/>
      <c r="G93" s="8"/>
      <c r="H93" s="8"/>
      <c r="I93" s="8"/>
      <c r="J93" s="8"/>
      <c r="K93" s="8"/>
      <c r="M93" s="1" t="s">
        <v>100</v>
      </c>
    </row>
    <row r="94" spans="2:27" ht="15.9" hidden="1" customHeight="1" x14ac:dyDescent="0.25">
      <c r="B94" s="8" t="s">
        <v>29</v>
      </c>
      <c r="C94" s="8" t="s">
        <v>55</v>
      </c>
      <c r="D94" t="str">
        <f>B94&amp;" - "&amp;C94</f>
        <v>J82001 - Burgess Road Surgery</v>
      </c>
      <c r="E94" s="4" t="s">
        <v>201</v>
      </c>
      <c r="F94" s="4"/>
      <c r="G94" s="8"/>
      <c r="H94" s="8"/>
      <c r="I94" s="8"/>
      <c r="J94" s="8"/>
      <c r="K94" s="8"/>
      <c r="M94" s="7" t="s">
        <v>101</v>
      </c>
    </row>
    <row r="95" spans="2:27" ht="15.9" hidden="1" customHeight="1" x14ac:dyDescent="0.25">
      <c r="B95" s="8" t="s">
        <v>30</v>
      </c>
      <c r="C95" s="8" t="s">
        <v>56</v>
      </c>
      <c r="D95" t="str">
        <f t="shared" ref="D95:D119" si="0">B95&amp;" - "&amp;C95</f>
        <v>J82002 - Lordshill Health Centre</v>
      </c>
      <c r="E95" s="4" t="s">
        <v>200</v>
      </c>
      <c r="F95" s="4"/>
      <c r="G95" s="8"/>
      <c r="H95" s="8"/>
      <c r="I95" s="8"/>
      <c r="J95" s="8"/>
      <c r="K95" s="8"/>
      <c r="M95" s="7" t="s">
        <v>102</v>
      </c>
    </row>
    <row r="96" spans="2:27" ht="15.9" hidden="1" customHeight="1" x14ac:dyDescent="0.25">
      <c r="B96" s="8" t="s">
        <v>31</v>
      </c>
      <c r="C96" s="8" t="s">
        <v>57</v>
      </c>
      <c r="D96" t="str">
        <f t="shared" si="0"/>
        <v>J82022 - Victor Street Surgery</v>
      </c>
      <c r="E96" s="4" t="s">
        <v>200</v>
      </c>
      <c r="F96" s="4"/>
      <c r="G96" s="8"/>
      <c r="H96" s="8"/>
      <c r="I96" s="8"/>
      <c r="J96" s="8"/>
      <c r="K96" s="8"/>
      <c r="M96" s="8" t="s">
        <v>103</v>
      </c>
    </row>
    <row r="97" spans="2:13" ht="15.9" hidden="1" customHeight="1" x14ac:dyDescent="0.25">
      <c r="B97" s="8" t="s">
        <v>32</v>
      </c>
      <c r="C97" s="8" t="s">
        <v>156</v>
      </c>
      <c r="D97" t="str">
        <f t="shared" si="0"/>
        <v>J82024 - Solent GP Surgery</v>
      </c>
      <c r="E97" s="4" t="s">
        <v>201</v>
      </c>
      <c r="F97" s="4"/>
      <c r="G97" s="8"/>
      <c r="H97" s="8"/>
      <c r="I97" s="8"/>
      <c r="J97" s="8"/>
      <c r="K97" s="8"/>
      <c r="M97" s="8" t="s">
        <v>88</v>
      </c>
    </row>
    <row r="98" spans="2:13" ht="15.9" hidden="1" customHeight="1" x14ac:dyDescent="0.25">
      <c r="B98" s="8" t="s">
        <v>33</v>
      </c>
      <c r="C98" s="8" t="s">
        <v>58</v>
      </c>
      <c r="D98" t="str">
        <f t="shared" si="0"/>
        <v>J82040 - West End Road Surgery</v>
      </c>
      <c r="E98" s="4" t="s">
        <v>163</v>
      </c>
      <c r="F98" s="4"/>
      <c r="G98" s="8"/>
      <c r="H98" s="8"/>
      <c r="I98" s="8"/>
      <c r="J98" s="8"/>
      <c r="K98" s="8"/>
      <c r="M98" s="8" t="s">
        <v>164</v>
      </c>
    </row>
    <row r="99" spans="2:13" ht="15.9" hidden="1" customHeight="1" x14ac:dyDescent="0.25">
      <c r="B99" s="8" t="s">
        <v>34</v>
      </c>
      <c r="C99" s="8" t="s">
        <v>59</v>
      </c>
      <c r="D99" t="str">
        <f t="shared" si="0"/>
        <v>J82062 - Cheviot Road Surgery</v>
      </c>
      <c r="E99" s="4" t="s">
        <v>200</v>
      </c>
      <c r="F99" s="4"/>
      <c r="G99" s="8"/>
      <c r="H99" s="8"/>
      <c r="I99" s="8"/>
      <c r="J99" s="8"/>
      <c r="K99" s="8"/>
      <c r="M99" s="8" t="s">
        <v>104</v>
      </c>
    </row>
    <row r="100" spans="2:13" ht="15.9" hidden="1" customHeight="1" x14ac:dyDescent="0.25">
      <c r="B100" s="8" t="s">
        <v>35</v>
      </c>
      <c r="C100" s="8" t="s">
        <v>60</v>
      </c>
      <c r="D100" t="str">
        <f t="shared" si="0"/>
        <v>J82076 - Woolston Lodge Surgery</v>
      </c>
      <c r="E100" s="4" t="s">
        <v>163</v>
      </c>
      <c r="F100" s="4"/>
      <c r="G100" s="8"/>
      <c r="H100" s="8"/>
      <c r="I100" s="8"/>
      <c r="J100" s="8"/>
      <c r="K100" s="8"/>
      <c r="M100" s="8" t="s">
        <v>105</v>
      </c>
    </row>
    <row r="101" spans="2:13" ht="15.9" hidden="1" customHeight="1" x14ac:dyDescent="0.25">
      <c r="B101" s="8" t="s">
        <v>36</v>
      </c>
      <c r="C101" s="8" t="s">
        <v>61</v>
      </c>
      <c r="D101" t="str">
        <f t="shared" si="0"/>
        <v>J82080 - University Health Service</v>
      </c>
      <c r="E101" s="4" t="s">
        <v>201</v>
      </c>
      <c r="F101" s="4"/>
      <c r="G101" s="8"/>
      <c r="H101" s="8"/>
      <c r="I101" s="8"/>
      <c r="J101" s="8"/>
      <c r="K101" s="8"/>
      <c r="M101" s="8" t="s">
        <v>106</v>
      </c>
    </row>
    <row r="102" spans="2:13" ht="15.9" hidden="1" customHeight="1" x14ac:dyDescent="0.25">
      <c r="B102" s="8" t="s">
        <v>37</v>
      </c>
      <c r="C102" s="8" t="s">
        <v>157</v>
      </c>
      <c r="D102" t="str">
        <f t="shared" si="0"/>
        <v>J82081 - St. Mary’s Surgery</v>
      </c>
      <c r="E102" s="4" t="s">
        <v>201</v>
      </c>
      <c r="F102" s="4"/>
      <c r="G102" s="8"/>
      <c r="H102" s="8"/>
      <c r="I102" s="8"/>
      <c r="J102" s="8"/>
      <c r="K102" s="8"/>
      <c r="M102" s="8" t="s">
        <v>107</v>
      </c>
    </row>
    <row r="103" spans="2:13" ht="15.9" hidden="1" customHeight="1" x14ac:dyDescent="0.25">
      <c r="B103" s="8" t="s">
        <v>38</v>
      </c>
      <c r="C103" s="8" t="s">
        <v>62</v>
      </c>
      <c r="D103" t="str">
        <f t="shared" si="0"/>
        <v>J82087 - Stoneham Lane Surgery</v>
      </c>
      <c r="E103" s="4" t="s">
        <v>201</v>
      </c>
      <c r="F103" s="4"/>
      <c r="G103" s="8"/>
      <c r="H103" s="8"/>
      <c r="I103" s="8"/>
      <c r="J103" s="8"/>
      <c r="K103" s="8"/>
      <c r="M103" s="8" t="s">
        <v>165</v>
      </c>
    </row>
    <row r="104" spans="2:13" ht="15.9" hidden="1" customHeight="1" x14ac:dyDescent="0.25">
      <c r="B104" s="8" t="s">
        <v>39</v>
      </c>
      <c r="C104" s="8" t="s">
        <v>158</v>
      </c>
      <c r="D104" t="str">
        <f t="shared" si="0"/>
        <v>J82088 - The Shirley Health Partnership</v>
      </c>
      <c r="E104" s="4" t="s">
        <v>200</v>
      </c>
      <c r="F104" s="4"/>
      <c r="G104" s="8"/>
      <c r="H104" s="8"/>
      <c r="I104" s="8"/>
      <c r="J104" s="8"/>
      <c r="K104" s="8"/>
      <c r="M104" s="8" t="s">
        <v>108</v>
      </c>
    </row>
    <row r="105" spans="2:13" ht="15.9" hidden="1" customHeight="1" x14ac:dyDescent="0.25">
      <c r="B105" s="8" t="s">
        <v>40</v>
      </c>
      <c r="C105" s="8" t="s">
        <v>63</v>
      </c>
      <c r="D105" t="str">
        <f t="shared" si="0"/>
        <v>J82092 - Aldermoor Surgery</v>
      </c>
      <c r="E105" s="4" t="s">
        <v>200</v>
      </c>
      <c r="F105" s="4"/>
      <c r="G105" s="8"/>
      <c r="H105" s="8"/>
      <c r="I105" s="8"/>
      <c r="J105" s="8"/>
      <c r="K105" s="8"/>
      <c r="M105" s="8" t="s">
        <v>166</v>
      </c>
    </row>
    <row r="106" spans="2:13" ht="15.9" hidden="1" customHeight="1" x14ac:dyDescent="0.25">
      <c r="B106" s="8" t="s">
        <v>41</v>
      </c>
      <c r="C106" s="8" t="s">
        <v>64</v>
      </c>
      <c r="D106" t="str">
        <f t="shared" si="0"/>
        <v>J82101 - Chessel Practice</v>
      </c>
      <c r="E106" s="4" t="s">
        <v>163</v>
      </c>
      <c r="F106" s="4"/>
      <c r="G106" s="8"/>
      <c r="H106" s="8"/>
      <c r="I106" s="8"/>
      <c r="J106" s="8"/>
      <c r="K106" s="8"/>
      <c r="M106" s="8" t="s">
        <v>109</v>
      </c>
    </row>
    <row r="107" spans="2:13" ht="15.9" hidden="1" customHeight="1" x14ac:dyDescent="0.25">
      <c r="B107" s="8" t="s">
        <v>42</v>
      </c>
      <c r="C107" s="8" t="s">
        <v>65</v>
      </c>
      <c r="D107" t="str">
        <f t="shared" si="0"/>
        <v>J82115 - Atherley House Surgery</v>
      </c>
      <c r="E107" s="4" t="s">
        <v>200</v>
      </c>
      <c r="F107" s="4"/>
      <c r="G107" s="8"/>
      <c r="H107" s="8"/>
      <c r="I107" s="8"/>
      <c r="J107" s="8"/>
      <c r="K107" s="8"/>
      <c r="M107" s="8" t="s">
        <v>110</v>
      </c>
    </row>
    <row r="108" spans="2:13" ht="15.9" hidden="1" customHeight="1" x14ac:dyDescent="0.25">
      <c r="B108" s="8" t="s">
        <v>43</v>
      </c>
      <c r="C108" s="8" t="s">
        <v>159</v>
      </c>
      <c r="D108" t="str">
        <f t="shared" si="0"/>
        <v>J82122 - Alma Medical Centre</v>
      </c>
      <c r="E108" s="4" t="s">
        <v>201</v>
      </c>
      <c r="F108" s="4"/>
      <c r="G108" s="8"/>
      <c r="H108" s="8"/>
      <c r="I108" s="8"/>
      <c r="J108" s="8"/>
      <c r="K108" s="8"/>
      <c r="M108" s="8" t="s">
        <v>111</v>
      </c>
    </row>
    <row r="109" spans="2:13" ht="15.9" hidden="1" customHeight="1" x14ac:dyDescent="0.25">
      <c r="B109" s="8" t="s">
        <v>44</v>
      </c>
      <c r="C109" s="8" t="s">
        <v>66</v>
      </c>
      <c r="D109" t="str">
        <f t="shared" si="0"/>
        <v>J82126 - Raymond Road Surgery</v>
      </c>
      <c r="E109" s="4" t="s">
        <v>200</v>
      </c>
      <c r="F109" s="4"/>
      <c r="G109" s="8"/>
      <c r="H109" s="8"/>
      <c r="I109" s="8"/>
      <c r="J109" s="8"/>
      <c r="K109" s="8"/>
      <c r="M109" s="8" t="s">
        <v>167</v>
      </c>
    </row>
    <row r="110" spans="2:13" ht="15.9" hidden="1" customHeight="1" x14ac:dyDescent="0.25">
      <c r="B110" s="8" t="s">
        <v>45</v>
      </c>
      <c r="C110" s="8" t="s">
        <v>67</v>
      </c>
      <c r="D110" t="str">
        <f t="shared" si="0"/>
        <v>J82128 - Old Fire Station Surgery</v>
      </c>
      <c r="E110" s="4" t="s">
        <v>163</v>
      </c>
      <c r="F110" s="4"/>
      <c r="G110" s="8"/>
      <c r="H110" s="8"/>
      <c r="I110" s="8"/>
      <c r="J110" s="8"/>
      <c r="K110" s="8"/>
      <c r="M110" s="8" t="s">
        <v>112</v>
      </c>
    </row>
    <row r="111" spans="2:13" ht="15.9" hidden="1" customHeight="1" x14ac:dyDescent="0.25">
      <c r="B111" s="8" t="s">
        <v>46</v>
      </c>
      <c r="C111" s="8" t="s">
        <v>68</v>
      </c>
      <c r="D111" t="str">
        <f t="shared" si="0"/>
        <v>J82141 - Bath Lodge Practice</v>
      </c>
      <c r="E111" s="4" t="s">
        <v>163</v>
      </c>
      <c r="F111" s="4"/>
      <c r="G111" s="8"/>
      <c r="H111" s="8"/>
      <c r="I111" s="8"/>
      <c r="J111" s="8"/>
      <c r="K111" s="8"/>
      <c r="M111" s="8" t="s">
        <v>113</v>
      </c>
    </row>
    <row r="112" spans="2:13" ht="15.9" hidden="1" customHeight="1" x14ac:dyDescent="0.25">
      <c r="B112" s="8" t="s">
        <v>47</v>
      </c>
      <c r="C112" s="8" t="s">
        <v>69</v>
      </c>
      <c r="D112" t="str">
        <f t="shared" si="0"/>
        <v>J82180 - Townhill Surgery</v>
      </c>
      <c r="E112" s="4" t="s">
        <v>163</v>
      </c>
      <c r="F112" s="4"/>
      <c r="G112" s="8"/>
      <c r="H112" s="8"/>
      <c r="I112" s="8"/>
      <c r="J112" s="8"/>
      <c r="K112" s="8"/>
      <c r="M112" s="8" t="s">
        <v>114</v>
      </c>
    </row>
    <row r="113" spans="2:13" ht="15.9" hidden="1" customHeight="1" x14ac:dyDescent="0.25">
      <c r="B113" s="8" t="s">
        <v>48</v>
      </c>
      <c r="C113" s="8" t="s">
        <v>160</v>
      </c>
      <c r="D113" t="str">
        <f t="shared" si="0"/>
        <v>J82183 - Mulberry Surgery</v>
      </c>
      <c r="E113" s="4" t="s">
        <v>201</v>
      </c>
      <c r="F113" s="4"/>
      <c r="G113" s="8"/>
      <c r="H113" s="8"/>
      <c r="I113" s="8"/>
      <c r="J113" s="8"/>
      <c r="K113" s="8"/>
      <c r="M113" s="8" t="s">
        <v>115</v>
      </c>
    </row>
    <row r="114" spans="2:13" ht="15.9" hidden="1" customHeight="1" x14ac:dyDescent="0.25">
      <c r="B114" s="8" t="s">
        <v>49</v>
      </c>
      <c r="C114" s="8" t="s">
        <v>70</v>
      </c>
      <c r="D114" t="str">
        <f t="shared" si="0"/>
        <v>J82207 - Hill Lane Surgery</v>
      </c>
      <c r="E114" s="4" t="s">
        <v>200</v>
      </c>
      <c r="F114" s="4"/>
      <c r="G114" s="8"/>
      <c r="H114" s="8"/>
      <c r="I114" s="8"/>
      <c r="J114" s="8"/>
      <c r="K114" s="8"/>
      <c r="M114" s="8" t="s">
        <v>168</v>
      </c>
    </row>
    <row r="115" spans="2:13" ht="15.9" hidden="1" customHeight="1" x14ac:dyDescent="0.25">
      <c r="B115" s="8" t="s">
        <v>50</v>
      </c>
      <c r="C115" s="8" t="s">
        <v>161</v>
      </c>
      <c r="D115" t="str">
        <f t="shared" si="0"/>
        <v>J82208 - St. Peter’s Surgery</v>
      </c>
      <c r="E115" s="4" t="s">
        <v>163</v>
      </c>
      <c r="F115" s="4"/>
      <c r="G115" s="8"/>
      <c r="H115" s="8"/>
      <c r="I115" s="8"/>
      <c r="J115" s="8"/>
      <c r="K115" s="8"/>
      <c r="M115" s="8" t="s">
        <v>116</v>
      </c>
    </row>
    <row r="116" spans="2:13" ht="15.9" hidden="1" customHeight="1" x14ac:dyDescent="0.25">
      <c r="B116" s="8" t="s">
        <v>51</v>
      </c>
      <c r="C116" s="8" t="s">
        <v>71</v>
      </c>
      <c r="D116" t="str">
        <f t="shared" si="0"/>
        <v>J82213 - Brook House Surgery</v>
      </c>
      <c r="E116" s="4" t="s">
        <v>200</v>
      </c>
      <c r="F116" s="4"/>
      <c r="G116" s="8"/>
      <c r="H116" s="8"/>
      <c r="I116" s="8"/>
      <c r="J116" s="8"/>
      <c r="K116" s="8"/>
      <c r="M116" s="8" t="s">
        <v>169</v>
      </c>
    </row>
    <row r="117" spans="2:13" ht="15.9" hidden="1" customHeight="1" x14ac:dyDescent="0.25">
      <c r="B117" s="8" t="s">
        <v>52</v>
      </c>
      <c r="C117" s="8" t="s">
        <v>72</v>
      </c>
      <c r="D117" t="str">
        <f t="shared" si="0"/>
        <v>J82605 - Walnut Tree Surgery</v>
      </c>
      <c r="E117" s="4" t="s">
        <v>201</v>
      </c>
      <c r="F117" s="4"/>
      <c r="G117" s="8"/>
      <c r="H117" s="8"/>
      <c r="I117" s="8"/>
      <c r="J117" s="8"/>
      <c r="K117" s="8"/>
      <c r="M117" s="8" t="s">
        <v>117</v>
      </c>
    </row>
    <row r="118" spans="2:13" ht="15.9" hidden="1" customHeight="1" x14ac:dyDescent="0.25">
      <c r="B118" s="8" t="s">
        <v>53</v>
      </c>
      <c r="C118" s="8" t="s">
        <v>162</v>
      </c>
      <c r="D118" t="str">
        <f t="shared" si="0"/>
        <v>J82622 - Living Well Partnership</v>
      </c>
      <c r="E118" s="4" t="s">
        <v>163</v>
      </c>
      <c r="F118" s="4"/>
      <c r="G118" s="8"/>
      <c r="H118" s="8"/>
      <c r="I118" s="8"/>
      <c r="J118" s="8"/>
      <c r="K118" s="8"/>
      <c r="M118" s="8" t="s">
        <v>118</v>
      </c>
    </row>
    <row r="119" spans="2:13" ht="15.9" hidden="1" customHeight="1" x14ac:dyDescent="0.25">
      <c r="B119" s="8" t="s">
        <v>54</v>
      </c>
      <c r="C119" s="8" t="s">
        <v>73</v>
      </c>
      <c r="D119" t="str">
        <f t="shared" si="0"/>
        <v>J82663 - Highfield Health</v>
      </c>
      <c r="E119" s="4" t="s">
        <v>201</v>
      </c>
      <c r="F119" s="4"/>
      <c r="G119" s="8"/>
      <c r="H119" s="8"/>
      <c r="I119" s="8"/>
      <c r="J119" s="8"/>
      <c r="K119" s="8"/>
      <c r="M119" s="8" t="s">
        <v>170</v>
      </c>
    </row>
    <row r="120" spans="2:13" ht="15.9" hidden="1" customHeight="1" x14ac:dyDescent="0.25">
      <c r="B120" s="8"/>
      <c r="C120" s="8"/>
      <c r="D120"/>
      <c r="E120" s="4"/>
      <c r="F120" s="4"/>
      <c r="G120" s="8"/>
      <c r="H120" s="8"/>
      <c r="I120" s="8"/>
      <c r="J120" s="8"/>
      <c r="K120" s="8"/>
      <c r="M120" s="8" t="s">
        <v>119</v>
      </c>
    </row>
    <row r="121" spans="2:13" ht="15.9" customHeight="1" x14ac:dyDescent="0.25">
      <c r="B121" s="8"/>
      <c r="C121" s="8"/>
      <c r="D121"/>
      <c r="E121" s="4"/>
      <c r="F121" s="4"/>
      <c r="G121" s="8"/>
      <c r="H121" s="8"/>
      <c r="I121" s="8"/>
      <c r="J121" s="8"/>
      <c r="K121" s="8"/>
      <c r="M121" s="8"/>
    </row>
    <row r="122" spans="2:13" ht="15.9" customHeight="1" x14ac:dyDescent="0.25">
      <c r="B122" s="8"/>
      <c r="C122" s="8"/>
      <c r="D122"/>
      <c r="E122" s="4"/>
      <c r="F122" s="4"/>
      <c r="G122" s="8"/>
      <c r="H122" s="8"/>
      <c r="I122" s="8"/>
      <c r="J122" s="8"/>
      <c r="K122" s="8"/>
      <c r="M122" s="8"/>
    </row>
    <row r="123" spans="2:13" ht="15.9" customHeight="1" x14ac:dyDescent="0.25">
      <c r="B123" s="8"/>
      <c r="C123" s="8"/>
      <c r="D123"/>
      <c r="E123" s="4"/>
      <c r="F123" s="4"/>
      <c r="G123" s="8"/>
      <c r="H123" s="8"/>
      <c r="I123" s="8"/>
      <c r="J123" s="8"/>
      <c r="K123" s="8"/>
      <c r="M123" s="8"/>
    </row>
    <row r="124" spans="2:13" ht="15.9" customHeight="1" x14ac:dyDescent="0.25">
      <c r="B124" s="8"/>
      <c r="C124" s="8"/>
      <c r="D124"/>
      <c r="E124" s="4"/>
      <c r="F124" s="4"/>
      <c r="G124" s="8"/>
      <c r="H124" s="8"/>
      <c r="I124" s="8"/>
      <c r="J124" s="8"/>
      <c r="K124" s="8"/>
      <c r="M124" s="8"/>
    </row>
    <row r="125" spans="2:13" ht="15.9" customHeight="1" x14ac:dyDescent="0.25">
      <c r="B125" s="8"/>
      <c r="C125" s="8"/>
      <c r="D125"/>
      <c r="E125" s="4"/>
      <c r="F125" s="4"/>
      <c r="G125" s="8"/>
      <c r="H125" s="8"/>
      <c r="I125" s="8"/>
      <c r="J125" s="8"/>
      <c r="K125" s="8"/>
      <c r="M125" s="8"/>
    </row>
    <row r="126" spans="2:13" ht="15.9" customHeight="1" x14ac:dyDescent="0.25">
      <c r="B126" s="8"/>
      <c r="C126" s="8"/>
      <c r="D126"/>
      <c r="E126" s="4"/>
      <c r="F126" s="4"/>
      <c r="G126" s="8"/>
      <c r="H126" s="8"/>
      <c r="I126" s="8"/>
      <c r="J126" s="8"/>
      <c r="K126" s="8"/>
      <c r="M126" s="8"/>
    </row>
    <row r="127" spans="2:13" ht="15.9" customHeight="1" x14ac:dyDescent="0.25">
      <c r="B127" s="8"/>
      <c r="C127" s="8"/>
      <c r="D127"/>
      <c r="E127" s="4"/>
      <c r="F127" s="4"/>
      <c r="G127" s="8"/>
      <c r="H127" s="8"/>
      <c r="I127" s="8"/>
      <c r="J127" s="8"/>
      <c r="K127" s="8"/>
      <c r="M127" s="8"/>
    </row>
    <row r="128" spans="2:13" ht="15.9" customHeight="1" x14ac:dyDescent="0.25">
      <c r="B128" s="43"/>
      <c r="C128"/>
      <c r="D128"/>
      <c r="E128" s="4"/>
      <c r="F128" s="42"/>
      <c r="G128" s="8"/>
      <c r="H128" s="8"/>
      <c r="I128" s="8"/>
      <c r="J128" s="8"/>
      <c r="K128" s="8"/>
      <c r="M128" s="8"/>
    </row>
    <row r="129" spans="2:13" ht="15.9" customHeight="1" x14ac:dyDescent="0.25">
      <c r="B129" s="43"/>
      <c r="C129"/>
      <c r="D129"/>
      <c r="E129" s="4"/>
      <c r="F129" s="8"/>
      <c r="G129" s="8"/>
      <c r="H129" s="8"/>
      <c r="I129" s="8"/>
      <c r="J129" s="8"/>
      <c r="K129" s="8"/>
      <c r="M129" s="8"/>
    </row>
    <row r="130" spans="2:13" ht="15.9" customHeight="1" x14ac:dyDescent="0.25">
      <c r="M130" s="8"/>
    </row>
    <row r="131" spans="2:13" ht="15.9" customHeight="1" x14ac:dyDescent="0.25">
      <c r="M131" s="8"/>
    </row>
  </sheetData>
  <sheetProtection algorithmName="SHA-512" hashValue="Tbb9blvkslTm/xW+tN6t5qtYhy+tdTVBU33JiZpEy5JUh7usGoVUMLypGuie8n+0owta5sLhadoJPGEOQtxbqQ==" saltValue="W2j7oPuMCylGwyGePfAaHw==" spinCount="100000" sheet="1" objects="1" scenarios="1"/>
  <mergeCells count="25">
    <mergeCell ref="B58:B61"/>
    <mergeCell ref="K13:M13"/>
    <mergeCell ref="C13:D13"/>
    <mergeCell ref="U13:W13"/>
    <mergeCell ref="I11:I13"/>
    <mergeCell ref="B27:B46"/>
    <mergeCell ref="F11:F13"/>
    <mergeCell ref="G11:G13"/>
    <mergeCell ref="H11:H13"/>
    <mergeCell ref="B6:D6"/>
    <mergeCell ref="E6:Q6"/>
    <mergeCell ref="U85:X85"/>
    <mergeCell ref="I85:O85"/>
    <mergeCell ref="P85:T85"/>
    <mergeCell ref="J11:J13"/>
    <mergeCell ref="B70:B75"/>
    <mergeCell ref="B76:B79"/>
    <mergeCell ref="X11:X13"/>
    <mergeCell ref="B80:J81"/>
    <mergeCell ref="E11:E13"/>
    <mergeCell ref="B14:B21"/>
    <mergeCell ref="B22:B26"/>
    <mergeCell ref="B47:B53"/>
    <mergeCell ref="B54:B57"/>
    <mergeCell ref="B62:B69"/>
  </mergeCells>
  <phoneticPr fontId="5" type="noConversion"/>
  <dataValidations count="2">
    <dataValidation type="list" allowBlank="1" showInputMessage="1" showErrorMessage="1" sqref="E6" xr:uid="{00000000-0002-0000-0100-000000000000}">
      <formula1>$M$94:$M$120</formula1>
    </dataValidation>
    <dataValidation type="list" allowBlank="1" showInputMessage="1" showErrorMessage="1" sqref="B6" xr:uid="{00000000-0002-0000-0100-000001000000}">
      <formula1>$D$94:$D$119</formula1>
    </dataValidation>
  </dataValidations>
  <pageMargins left="0.19685039370078741" right="0.19685039370078741" top="0.55118110236220474" bottom="0.55118110236220474" header="0.35433070866141736" footer="0.15748031496062992"/>
  <pageSetup paperSize="9" scale="48" orientation="portrait"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tabColor theme="6" tint="0.39997558519241921"/>
  </sheetPr>
  <dimension ref="A1:AK55"/>
  <sheetViews>
    <sheetView topLeftCell="A4" workbookViewId="0">
      <selection activeCell="A46" sqref="A46:XFD46"/>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8" width="7.33203125" style="21" customWidth="1"/>
    <col min="9" max="9" width="6.886718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5.554687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11</v>
      </c>
      <c r="F6" s="128">
        <v>467</v>
      </c>
      <c r="G6" s="129">
        <v>6.1037772840151598</v>
      </c>
      <c r="H6" s="129">
        <v>5.5890591083819103</v>
      </c>
      <c r="I6" s="129">
        <v>6.6625526835255098</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5</v>
      </c>
      <c r="N6" s="61">
        <f>MIN($G$6:$G$32)</f>
        <v>0.75834175935288195</v>
      </c>
      <c r="O6" s="61">
        <f>VLOOKUP(7,$E$5:$G$39,3,FALSE)</f>
        <v>5.9499214940913996</v>
      </c>
      <c r="P6" s="129">
        <f>$G$32</f>
        <v>5.6964365398100298</v>
      </c>
      <c r="Q6" s="129">
        <f>$H$32</f>
        <v>5.6035098416782203</v>
      </c>
      <c r="R6" s="129">
        <f>$I$32</f>
        <v>5.7908097650981301</v>
      </c>
      <c r="S6" s="61">
        <f>VLOOKUP(20,$E$5:$G$39,3,FALSE)</f>
        <v>6.9905956112852703</v>
      </c>
      <c r="T6" s="61">
        <f t="shared" ref="T6:T31" si="1">MAX($G$6:$G$31)</f>
        <v>7.8422684980061996</v>
      </c>
      <c r="U6" s="61">
        <f>VLOOKUP(C6,$C$43:$I$46,5,FALSE)</f>
        <v>3.9997755457045057</v>
      </c>
      <c r="V6" s="61"/>
      <c r="Y6" s="159" t="s">
        <v>33</v>
      </c>
      <c r="Z6" s="159" t="s">
        <v>58</v>
      </c>
      <c r="AA6" s="159" t="s">
        <v>163</v>
      </c>
      <c r="AB6" s="159">
        <f>RANK(AH6,$AH$6:$AH$13,1)</f>
        <v>6</v>
      </c>
      <c r="AC6" s="164">
        <f>MIN($AH$6:$AH$13)</f>
        <v>6.0827806997484597</v>
      </c>
      <c r="AD6" s="164">
        <f>MAX($AH$6:$AH$13)</f>
        <v>7.8422684980061996</v>
      </c>
      <c r="AE6" s="159"/>
      <c r="AF6" s="159">
        <f>VLOOKUP($Y6,$A$6:$I$31,5,FALSE)</f>
        <v>20</v>
      </c>
      <c r="AG6" s="160">
        <f>VLOOKUP($Y6,$A$6:$I$31,6,FALSE)</f>
        <v>669</v>
      </c>
      <c r="AH6" s="161">
        <f>VLOOKUP($Y6,$A$6:$I$31,7,FALSE)</f>
        <v>6.9905956112852703</v>
      </c>
      <c r="AI6" s="161">
        <f>VLOOKUP($Y6,$A$6:$I$31,8,FALSE)</f>
        <v>6.4967913438781499</v>
      </c>
      <c r="AJ6" s="161">
        <f>VLOOKUP($Y6,$A$6:$I$31,9,FALSE)</f>
        <v>7.5189145208185302</v>
      </c>
      <c r="AK6" s="160">
        <f>VLOOKUP($Y6,$A$6:$M$31,13,FALSE)</f>
        <v>1</v>
      </c>
    </row>
    <row r="7" spans="1:37" x14ac:dyDescent="0.2">
      <c r="A7" s="62" t="s">
        <v>30</v>
      </c>
      <c r="B7" s="62" t="s">
        <v>56</v>
      </c>
      <c r="C7" s="62" t="s">
        <v>200</v>
      </c>
      <c r="D7" s="62"/>
      <c r="E7" s="62">
        <f t="shared" ref="E7:E31" si="2">RANK(G7,$G$6:$G$31,1)</f>
        <v>25</v>
      </c>
      <c r="F7" s="128">
        <v>688</v>
      </c>
      <c r="G7" s="129">
        <v>7.7104112966491103</v>
      </c>
      <c r="H7" s="129">
        <v>7.1749421398033304</v>
      </c>
      <c r="I7" s="129">
        <v>8.2822771374278101</v>
      </c>
      <c r="J7" s="129"/>
      <c r="K7" s="129"/>
      <c r="L7" s="129"/>
      <c r="M7" s="60">
        <f t="shared" si="0"/>
        <v>1</v>
      </c>
      <c r="N7" s="61">
        <f t="shared" ref="N7:N31" si="3">MIN($G$6:$G$32)</f>
        <v>0.75834175935288195</v>
      </c>
      <c r="O7" s="61">
        <f>VLOOKUP(7,$E$5:$G$39,3,FALSE)</f>
        <v>5.9499214940913996</v>
      </c>
      <c r="P7" s="129">
        <f t="shared" ref="P7:P31" si="4">$G$32</f>
        <v>5.6964365398100298</v>
      </c>
      <c r="Q7" s="129">
        <f t="shared" ref="Q7:Q31" si="5">$H$32</f>
        <v>5.6035098416782203</v>
      </c>
      <c r="R7" s="129">
        <f t="shared" ref="R7:R31" si="6">$I$32</f>
        <v>5.7908097650981301</v>
      </c>
      <c r="S7" s="61">
        <f t="shared" ref="S7:S31" si="7">VLOOKUP(20,$E$5:$G$39,3,FALSE)</f>
        <v>6.9905956112852703</v>
      </c>
      <c r="T7" s="61">
        <f t="shared" si="1"/>
        <v>7.8422684980061996</v>
      </c>
      <c r="U7" s="61">
        <f>VLOOKUP(C7,$C$43:$I$46,5,FALSE)</f>
        <v>6.4732563363137068</v>
      </c>
      <c r="V7" s="61"/>
      <c r="Y7" s="159" t="s">
        <v>35</v>
      </c>
      <c r="Z7" s="159" t="s">
        <v>60</v>
      </c>
      <c r="AA7" s="159" t="s">
        <v>163</v>
      </c>
      <c r="AB7" s="159">
        <f t="shared" ref="AB7:AB12" si="8">RANK(AH7,$AH$6:$AH$13,1)</f>
        <v>5</v>
      </c>
      <c r="AC7" s="164">
        <f>MIN($AH$6:$AH$13)</f>
        <v>6.0827806997484597</v>
      </c>
      <c r="AD7" s="164">
        <f t="shared" ref="AD7:AD13" si="9">MAX($AH$6:$AH$13)</f>
        <v>7.8422684980061996</v>
      </c>
      <c r="AE7" s="159"/>
      <c r="AF7" s="159">
        <f t="shared" ref="AF7:AF31" si="10">VLOOKUP($Y7,$A$6:$I$31,5,FALSE)</f>
        <v>18</v>
      </c>
      <c r="AG7" s="160">
        <f t="shared" ref="AG7:AG31" si="11">VLOOKUP($Y7,$A$6:$I$31,6,FALSE)</f>
        <v>798</v>
      </c>
      <c r="AH7" s="161">
        <f t="shared" ref="AH7:AH31" si="12">VLOOKUP($Y7,$A$6:$I$31,7,FALSE)</f>
        <v>6.87990343995172</v>
      </c>
      <c r="AI7" s="161">
        <f t="shared" ref="AI7:AI31" si="13">VLOOKUP($Y7,$A$6:$I$31,8,FALSE)</f>
        <v>6.4334062650641997</v>
      </c>
      <c r="AJ7" s="161">
        <f t="shared" ref="AJ7:AJ31" si="14">VLOOKUP($Y7,$A$6:$I$31,9,FALSE)</f>
        <v>7.3549529441747197</v>
      </c>
      <c r="AK7" s="160">
        <f t="shared" ref="AK7:AK31" si="15">VLOOKUP($Y7,$A$6:$M$31,13,FALSE)</f>
        <v>1</v>
      </c>
    </row>
    <row r="8" spans="1:37" x14ac:dyDescent="0.2">
      <c r="A8" s="62" t="s">
        <v>31</v>
      </c>
      <c r="B8" s="62" t="s">
        <v>57</v>
      </c>
      <c r="C8" s="62" t="s">
        <v>200</v>
      </c>
      <c r="D8" s="62"/>
      <c r="E8" s="62">
        <f t="shared" si="2"/>
        <v>23</v>
      </c>
      <c r="F8" s="128">
        <v>774</v>
      </c>
      <c r="G8" s="129">
        <v>7.5919568415890204</v>
      </c>
      <c r="H8" s="129">
        <v>7.0936331034530804</v>
      </c>
      <c r="I8" s="129">
        <v>8.1222271007326601</v>
      </c>
      <c r="J8" s="129"/>
      <c r="K8" s="129"/>
      <c r="L8" s="129"/>
      <c r="M8" s="60">
        <f t="shared" si="0"/>
        <v>1</v>
      </c>
      <c r="N8" s="61">
        <f t="shared" si="3"/>
        <v>0.75834175935288195</v>
      </c>
      <c r="O8" s="61">
        <f t="shared" ref="O8:O31" si="16">VLOOKUP(7,$E$5:$G$39,3,FALSE)</f>
        <v>5.9499214940913996</v>
      </c>
      <c r="P8" s="129">
        <f t="shared" si="4"/>
        <v>5.6964365398100298</v>
      </c>
      <c r="Q8" s="129">
        <f t="shared" si="5"/>
        <v>5.6035098416782203</v>
      </c>
      <c r="R8" s="129">
        <f t="shared" si="6"/>
        <v>5.7908097650981301</v>
      </c>
      <c r="S8" s="61">
        <f t="shared" si="7"/>
        <v>6.9905956112852703</v>
      </c>
      <c r="T8" s="61">
        <f t="shared" si="1"/>
        <v>7.8422684980061996</v>
      </c>
      <c r="U8" s="61">
        <f t="shared" ref="U8:U31" si="17">VLOOKUP(C8,$C$43:$I$46,5,FALSE)</f>
        <v>6.4732563363137068</v>
      </c>
      <c r="V8" s="61"/>
      <c r="Y8" s="159" t="s">
        <v>41</v>
      </c>
      <c r="Z8" s="159" t="s">
        <v>64</v>
      </c>
      <c r="AA8" s="159" t="s">
        <v>163</v>
      </c>
      <c r="AB8" s="159">
        <f t="shared" si="8"/>
        <v>7</v>
      </c>
      <c r="AC8" s="164">
        <f t="shared" ref="AC8:AC13" si="18">MIN($AH$6:$AH$13)</f>
        <v>6.0827806997484597</v>
      </c>
      <c r="AD8" s="164">
        <f>MAX($AH$6:$AH$13)</f>
        <v>7.8422684980061996</v>
      </c>
      <c r="AE8" s="159"/>
      <c r="AF8" s="159">
        <f t="shared" si="10"/>
        <v>24</v>
      </c>
      <c r="AG8" s="160">
        <f t="shared" si="11"/>
        <v>659</v>
      </c>
      <c r="AH8" s="161">
        <f t="shared" si="12"/>
        <v>7.6009227220299902</v>
      </c>
      <c r="AI8" s="161">
        <f t="shared" si="13"/>
        <v>7.0616731929353502</v>
      </c>
      <c r="AJ8" s="161">
        <f t="shared" si="14"/>
        <v>8.1777275396716895</v>
      </c>
      <c r="AK8" s="160">
        <f t="shared" si="15"/>
        <v>1</v>
      </c>
    </row>
    <row r="9" spans="1:37" x14ac:dyDescent="0.2">
      <c r="A9" s="62" t="s">
        <v>32</v>
      </c>
      <c r="B9" s="62" t="s">
        <v>156</v>
      </c>
      <c r="C9" s="62" t="s">
        <v>201</v>
      </c>
      <c r="D9" s="62"/>
      <c r="E9" s="62">
        <f t="shared" si="2"/>
        <v>8</v>
      </c>
      <c r="F9" s="128">
        <v>816</v>
      </c>
      <c r="G9" s="129">
        <v>5.9570740254051699</v>
      </c>
      <c r="H9" s="129">
        <v>5.5729167390426104</v>
      </c>
      <c r="I9" s="129">
        <v>6.3659271290391199</v>
      </c>
      <c r="J9" s="129"/>
      <c r="K9" s="129"/>
      <c r="L9" s="129"/>
      <c r="M9" s="60">
        <f t="shared" si="0"/>
        <v>5</v>
      </c>
      <c r="N9" s="61">
        <f t="shared" si="3"/>
        <v>0.75834175935288195</v>
      </c>
      <c r="O9" s="61">
        <f t="shared" si="16"/>
        <v>5.9499214940913996</v>
      </c>
      <c r="P9" s="129">
        <f t="shared" si="4"/>
        <v>5.6964365398100298</v>
      </c>
      <c r="Q9" s="129">
        <f t="shared" si="5"/>
        <v>5.6035098416782203</v>
      </c>
      <c r="R9" s="129">
        <f t="shared" si="6"/>
        <v>5.7908097650981301</v>
      </c>
      <c r="S9" s="61">
        <f t="shared" si="7"/>
        <v>6.9905956112852703</v>
      </c>
      <c r="T9" s="61">
        <f t="shared" si="1"/>
        <v>7.8422684980061996</v>
      </c>
      <c r="U9" s="61">
        <f t="shared" si="17"/>
        <v>3.9997755457045057</v>
      </c>
      <c r="V9" s="61"/>
      <c r="X9" s="63"/>
      <c r="Y9" s="159" t="s">
        <v>45</v>
      </c>
      <c r="Z9" s="159" t="s">
        <v>67</v>
      </c>
      <c r="AA9" s="159" t="s">
        <v>163</v>
      </c>
      <c r="AB9" s="159">
        <f t="shared" si="8"/>
        <v>3</v>
      </c>
      <c r="AC9" s="164">
        <f t="shared" si="18"/>
        <v>6.0827806997484597</v>
      </c>
      <c r="AD9" s="164">
        <f t="shared" si="9"/>
        <v>7.8422684980061996</v>
      </c>
      <c r="AE9" s="159"/>
      <c r="AF9" s="159">
        <f t="shared" si="10"/>
        <v>15</v>
      </c>
      <c r="AG9" s="160">
        <f t="shared" si="11"/>
        <v>474</v>
      </c>
      <c r="AH9" s="161">
        <f t="shared" si="12"/>
        <v>6.7579127459367001</v>
      </c>
      <c r="AI9" s="161">
        <f t="shared" si="13"/>
        <v>6.1938079012780998</v>
      </c>
      <c r="AJ9" s="161">
        <f t="shared" si="14"/>
        <v>7.3693577017910501</v>
      </c>
      <c r="AK9" s="160">
        <f t="shared" si="15"/>
        <v>1</v>
      </c>
    </row>
    <row r="10" spans="1:37" x14ac:dyDescent="0.2">
      <c r="A10" s="62" t="s">
        <v>33</v>
      </c>
      <c r="B10" s="62" t="s">
        <v>58</v>
      </c>
      <c r="C10" s="62" t="s">
        <v>163</v>
      </c>
      <c r="D10" s="62"/>
      <c r="E10" s="62">
        <f t="shared" si="2"/>
        <v>20</v>
      </c>
      <c r="F10" s="128">
        <v>669</v>
      </c>
      <c r="G10" s="129">
        <v>6.9905956112852703</v>
      </c>
      <c r="H10" s="129">
        <v>6.4967913438781499</v>
      </c>
      <c r="I10" s="129">
        <v>7.5189145208185302</v>
      </c>
      <c r="J10" s="129"/>
      <c r="K10" s="129"/>
      <c r="L10" s="129"/>
      <c r="M10" s="60">
        <f t="shared" si="0"/>
        <v>1</v>
      </c>
      <c r="N10" s="61">
        <f t="shared" si="3"/>
        <v>0.75834175935288195</v>
      </c>
      <c r="O10" s="61">
        <f t="shared" si="16"/>
        <v>5.9499214940913996</v>
      </c>
      <c r="P10" s="129">
        <f t="shared" si="4"/>
        <v>5.6964365398100298</v>
      </c>
      <c r="Q10" s="129">
        <f t="shared" si="5"/>
        <v>5.6035098416782203</v>
      </c>
      <c r="R10" s="129">
        <f t="shared" si="6"/>
        <v>5.7908097650981301</v>
      </c>
      <c r="S10" s="61">
        <f t="shared" si="7"/>
        <v>6.9905956112852703</v>
      </c>
      <c r="T10" s="61">
        <f t="shared" si="1"/>
        <v>7.8422684980061996</v>
      </c>
      <c r="U10" s="61">
        <f t="shared" si="17"/>
        <v>6.9604756908009797</v>
      </c>
      <c r="V10" s="61"/>
      <c r="Y10" s="159" t="s">
        <v>46</v>
      </c>
      <c r="Z10" s="159" t="s">
        <v>68</v>
      </c>
      <c r="AA10" s="159" t="s">
        <v>163</v>
      </c>
      <c r="AB10" s="159">
        <f t="shared" si="8"/>
        <v>8</v>
      </c>
      <c r="AC10" s="164">
        <f t="shared" si="18"/>
        <v>6.0827806997484597</v>
      </c>
      <c r="AD10" s="164">
        <f t="shared" si="9"/>
        <v>7.8422684980061996</v>
      </c>
      <c r="AE10" s="159"/>
      <c r="AF10" s="159">
        <f t="shared" si="10"/>
        <v>26</v>
      </c>
      <c r="AG10" s="160">
        <f t="shared" si="11"/>
        <v>708</v>
      </c>
      <c r="AH10" s="161">
        <f t="shared" si="12"/>
        <v>7.8422684980061996</v>
      </c>
      <c r="AI10" s="161">
        <f t="shared" si="13"/>
        <v>7.3054793754766196</v>
      </c>
      <c r="AJ10" s="161">
        <f t="shared" si="14"/>
        <v>8.4149190094401796</v>
      </c>
      <c r="AK10" s="160">
        <f t="shared" si="15"/>
        <v>1</v>
      </c>
    </row>
    <row r="11" spans="1:37" x14ac:dyDescent="0.2">
      <c r="A11" s="62" t="s">
        <v>34</v>
      </c>
      <c r="B11" s="62" t="s">
        <v>59</v>
      </c>
      <c r="C11" s="62" t="s">
        <v>200</v>
      </c>
      <c r="D11" s="62"/>
      <c r="E11" s="62">
        <f t="shared" si="2"/>
        <v>13</v>
      </c>
      <c r="F11" s="128">
        <v>760</v>
      </c>
      <c r="G11" s="129">
        <v>6.38226402418542</v>
      </c>
      <c r="H11" s="129">
        <v>5.9571448806294498</v>
      </c>
      <c r="I11" s="129">
        <v>6.8355158015045596</v>
      </c>
      <c r="J11" s="129"/>
      <c r="K11" s="129"/>
      <c r="L11" s="129"/>
      <c r="M11" s="60">
        <f t="shared" si="0"/>
        <v>1</v>
      </c>
      <c r="N11" s="61">
        <f t="shared" si="3"/>
        <v>0.75834175935288195</v>
      </c>
      <c r="O11" s="61">
        <f t="shared" si="16"/>
        <v>5.9499214940913996</v>
      </c>
      <c r="P11" s="129">
        <f t="shared" si="4"/>
        <v>5.6964365398100298</v>
      </c>
      <c r="Q11" s="129">
        <f t="shared" si="5"/>
        <v>5.6035098416782203</v>
      </c>
      <c r="R11" s="129">
        <f t="shared" si="6"/>
        <v>5.7908097650981301</v>
      </c>
      <c r="S11" s="61">
        <f t="shared" si="7"/>
        <v>6.9905956112852703</v>
      </c>
      <c r="T11" s="61">
        <f t="shared" si="1"/>
        <v>7.8422684980061996</v>
      </c>
      <c r="U11" s="61">
        <f t="shared" si="17"/>
        <v>6.4732563363137068</v>
      </c>
      <c r="V11" s="61"/>
      <c r="Y11" s="159" t="s">
        <v>47</v>
      </c>
      <c r="Z11" s="159" t="s">
        <v>69</v>
      </c>
      <c r="AA11" s="159" t="s">
        <v>163</v>
      </c>
      <c r="AB11" s="159">
        <f t="shared" si="8"/>
        <v>1</v>
      </c>
      <c r="AC11" s="164">
        <f t="shared" si="18"/>
        <v>6.0827806997484597</v>
      </c>
      <c r="AD11" s="164">
        <f t="shared" si="9"/>
        <v>7.8422684980061996</v>
      </c>
      <c r="AE11" s="159"/>
      <c r="AF11" s="159">
        <f t="shared" si="10"/>
        <v>10</v>
      </c>
      <c r="AG11" s="160">
        <f t="shared" si="11"/>
        <v>266</v>
      </c>
      <c r="AH11" s="161">
        <f t="shared" si="12"/>
        <v>6.0827806997484597</v>
      </c>
      <c r="AI11" s="161">
        <f t="shared" si="13"/>
        <v>5.4121828094952802</v>
      </c>
      <c r="AJ11" s="161">
        <f t="shared" si="14"/>
        <v>6.83046897175229</v>
      </c>
      <c r="AK11" s="160">
        <f t="shared" si="15"/>
        <v>5</v>
      </c>
    </row>
    <row r="12" spans="1:37" x14ac:dyDescent="0.2">
      <c r="A12" s="62" t="s">
        <v>35</v>
      </c>
      <c r="B12" s="62" t="s">
        <v>60</v>
      </c>
      <c r="C12" s="62" t="s">
        <v>163</v>
      </c>
      <c r="D12" s="62"/>
      <c r="E12" s="62">
        <f t="shared" si="2"/>
        <v>18</v>
      </c>
      <c r="F12" s="128">
        <v>798</v>
      </c>
      <c r="G12" s="129">
        <v>6.87990343995172</v>
      </c>
      <c r="H12" s="129">
        <v>6.4334062650641997</v>
      </c>
      <c r="I12" s="129">
        <v>7.3549529441747197</v>
      </c>
      <c r="J12" s="129"/>
      <c r="K12" s="129"/>
      <c r="L12" s="129"/>
      <c r="M12" s="60">
        <f t="shared" si="0"/>
        <v>1</v>
      </c>
      <c r="N12" s="61">
        <f t="shared" si="3"/>
        <v>0.75834175935288195</v>
      </c>
      <c r="O12" s="61">
        <f t="shared" si="16"/>
        <v>5.9499214940913996</v>
      </c>
      <c r="P12" s="129">
        <f t="shared" si="4"/>
        <v>5.6964365398100298</v>
      </c>
      <c r="Q12" s="129">
        <f t="shared" si="5"/>
        <v>5.6035098416782203</v>
      </c>
      <c r="R12" s="129">
        <f t="shared" si="6"/>
        <v>5.7908097650981301</v>
      </c>
      <c r="S12" s="61">
        <f t="shared" si="7"/>
        <v>6.9905956112852703</v>
      </c>
      <c r="T12" s="61">
        <f t="shared" si="1"/>
        <v>7.8422684980061996</v>
      </c>
      <c r="U12" s="61">
        <f t="shared" si="17"/>
        <v>6.9604756908009797</v>
      </c>
      <c r="V12" s="61"/>
      <c r="Y12" s="159" t="s">
        <v>50</v>
      </c>
      <c r="Z12" s="159" t="s">
        <v>161</v>
      </c>
      <c r="AA12" s="159" t="s">
        <v>163</v>
      </c>
      <c r="AB12" s="159">
        <f t="shared" si="8"/>
        <v>2</v>
      </c>
      <c r="AC12" s="164">
        <f t="shared" si="18"/>
        <v>6.0827806997484597</v>
      </c>
      <c r="AD12" s="164">
        <f t="shared" si="9"/>
        <v>7.8422684980061996</v>
      </c>
      <c r="AE12" s="159"/>
      <c r="AF12" s="159">
        <f t="shared" si="10"/>
        <v>12</v>
      </c>
      <c r="AG12" s="160">
        <f t="shared" si="11"/>
        <v>281</v>
      </c>
      <c r="AH12" s="161">
        <f t="shared" si="12"/>
        <v>6.24305709842257</v>
      </c>
      <c r="AI12" s="161">
        <f t="shared" si="13"/>
        <v>5.5728913633828396</v>
      </c>
      <c r="AJ12" s="161">
        <f t="shared" si="14"/>
        <v>6.9878494305634096</v>
      </c>
      <c r="AK12" s="160">
        <f t="shared" si="15"/>
        <v>5</v>
      </c>
    </row>
    <row r="13" spans="1:37" x14ac:dyDescent="0.2">
      <c r="A13" s="62" t="s">
        <v>36</v>
      </c>
      <c r="B13" s="62" t="s">
        <v>61</v>
      </c>
      <c r="C13" s="62" t="s">
        <v>201</v>
      </c>
      <c r="D13" s="62"/>
      <c r="E13" s="62">
        <f t="shared" si="2"/>
        <v>1</v>
      </c>
      <c r="F13" s="128">
        <v>135</v>
      </c>
      <c r="G13" s="129">
        <v>0.75834175935288195</v>
      </c>
      <c r="H13" s="129">
        <v>0.64110058365054701</v>
      </c>
      <c r="I13" s="129">
        <v>0.89682987278984805</v>
      </c>
      <c r="J13" s="129"/>
      <c r="K13" s="129"/>
      <c r="L13" s="129"/>
      <c r="M13" s="60">
        <f t="shared" si="0"/>
        <v>2</v>
      </c>
      <c r="N13" s="61">
        <f t="shared" si="3"/>
        <v>0.75834175935288195</v>
      </c>
      <c r="O13" s="61">
        <f t="shared" si="16"/>
        <v>5.9499214940913996</v>
      </c>
      <c r="P13" s="129">
        <f t="shared" si="4"/>
        <v>5.6964365398100298</v>
      </c>
      <c r="Q13" s="129">
        <f t="shared" si="5"/>
        <v>5.6035098416782203</v>
      </c>
      <c r="R13" s="129">
        <f t="shared" si="6"/>
        <v>5.7908097650981301</v>
      </c>
      <c r="S13" s="61">
        <f t="shared" si="7"/>
        <v>6.9905956112852703</v>
      </c>
      <c r="T13" s="61">
        <f t="shared" si="1"/>
        <v>7.8422684980061996</v>
      </c>
      <c r="U13" s="61">
        <f t="shared" si="17"/>
        <v>3.9997755457045057</v>
      </c>
      <c r="V13" s="61"/>
      <c r="Y13" s="159" t="s">
        <v>53</v>
      </c>
      <c r="Z13" s="159" t="s">
        <v>162</v>
      </c>
      <c r="AA13" s="159" t="s">
        <v>163</v>
      </c>
      <c r="AB13" s="159">
        <f>RANK(AH13,$AH$6:$AH$13,1)</f>
        <v>4</v>
      </c>
      <c r="AC13" s="164">
        <f t="shared" si="18"/>
        <v>6.0827806997484597</v>
      </c>
      <c r="AD13" s="164">
        <f t="shared" si="9"/>
        <v>7.8422684980061996</v>
      </c>
      <c r="AE13" s="159"/>
      <c r="AF13" s="159">
        <f t="shared" si="10"/>
        <v>16</v>
      </c>
      <c r="AG13" s="160">
        <f t="shared" si="11"/>
        <v>1518</v>
      </c>
      <c r="AH13" s="161">
        <f t="shared" si="12"/>
        <v>6.7653088510562398</v>
      </c>
      <c r="AI13" s="161">
        <f t="shared" si="13"/>
        <v>6.4440383786824897</v>
      </c>
      <c r="AJ13" s="161">
        <f t="shared" si="14"/>
        <v>7.1013806298182303</v>
      </c>
      <c r="AK13" s="160">
        <f t="shared" si="15"/>
        <v>1</v>
      </c>
    </row>
    <row r="14" spans="1:37" x14ac:dyDescent="0.2">
      <c r="A14" s="62" t="s">
        <v>37</v>
      </c>
      <c r="B14" s="62" t="s">
        <v>157</v>
      </c>
      <c r="C14" s="62" t="s">
        <v>201</v>
      </c>
      <c r="D14" s="62"/>
      <c r="E14" s="62">
        <f t="shared" si="2"/>
        <v>4</v>
      </c>
      <c r="F14" s="128">
        <v>729</v>
      </c>
      <c r="G14" s="129">
        <v>3.48537005163511</v>
      </c>
      <c r="H14" s="129">
        <v>3.2452283406439899</v>
      </c>
      <c r="I14" s="129">
        <v>3.74259449586379</v>
      </c>
      <c r="J14" s="129"/>
      <c r="K14" s="129"/>
      <c r="L14" s="129"/>
      <c r="M14" s="60">
        <f t="shared" si="0"/>
        <v>2</v>
      </c>
      <c r="N14" s="61">
        <f t="shared" si="3"/>
        <v>0.75834175935288195</v>
      </c>
      <c r="O14" s="61">
        <f t="shared" si="16"/>
        <v>5.9499214940913996</v>
      </c>
      <c r="P14" s="129">
        <f t="shared" si="4"/>
        <v>5.6964365398100298</v>
      </c>
      <c r="Q14" s="129">
        <f t="shared" si="5"/>
        <v>5.6035098416782203</v>
      </c>
      <c r="R14" s="129">
        <f t="shared" si="6"/>
        <v>5.7908097650981301</v>
      </c>
      <c r="S14" s="61">
        <f t="shared" si="7"/>
        <v>6.9905956112852703</v>
      </c>
      <c r="T14" s="61">
        <f t="shared" si="1"/>
        <v>7.8422684980061996</v>
      </c>
      <c r="U14" s="61">
        <f t="shared" si="17"/>
        <v>3.9997755457045057</v>
      </c>
      <c r="V14" s="61"/>
      <c r="Y14" s="162" t="s">
        <v>29</v>
      </c>
      <c r="Z14" s="162" t="s">
        <v>55</v>
      </c>
      <c r="AA14" s="162" t="s">
        <v>201</v>
      </c>
      <c r="AB14" s="162">
        <f>RANK(AH14,$AH$14:$AH$22,1)</f>
        <v>7</v>
      </c>
      <c r="AC14" s="165">
        <f t="shared" ref="AC14:AC22" si="19">MIN($AH$14:$AH$22)</f>
        <v>0.75834175935288195</v>
      </c>
      <c r="AD14" s="165">
        <f>MAX($AH$14:$AH$22)</f>
        <v>7.0530209617755801</v>
      </c>
      <c r="AE14" s="162"/>
      <c r="AF14" s="162">
        <f t="shared" si="10"/>
        <v>11</v>
      </c>
      <c r="AG14" s="167">
        <f t="shared" si="11"/>
        <v>467</v>
      </c>
      <c r="AH14" s="165">
        <f t="shared" si="12"/>
        <v>6.1037772840151598</v>
      </c>
      <c r="AI14" s="165">
        <f t="shared" si="13"/>
        <v>5.5890591083819103</v>
      </c>
      <c r="AJ14" s="165">
        <f t="shared" si="14"/>
        <v>6.6625526835255098</v>
      </c>
      <c r="AK14" s="167">
        <f t="shared" si="15"/>
        <v>5</v>
      </c>
    </row>
    <row r="15" spans="1:37" x14ac:dyDescent="0.2">
      <c r="A15" s="62" t="s">
        <v>38</v>
      </c>
      <c r="B15" s="62" t="s">
        <v>62</v>
      </c>
      <c r="C15" s="62" t="s">
        <v>201</v>
      </c>
      <c r="D15" s="62"/>
      <c r="E15" s="62">
        <f t="shared" si="2"/>
        <v>19</v>
      </c>
      <c r="F15" s="128">
        <v>408</v>
      </c>
      <c r="G15" s="129">
        <v>6.9434989788972103</v>
      </c>
      <c r="H15" s="129">
        <v>6.3212979014880997</v>
      </c>
      <c r="I15" s="129">
        <v>7.6219600003181096</v>
      </c>
      <c r="J15" s="129"/>
      <c r="K15" s="129"/>
      <c r="L15" s="129"/>
      <c r="M15" s="60">
        <f t="shared" si="0"/>
        <v>1</v>
      </c>
      <c r="N15" s="61">
        <f t="shared" si="3"/>
        <v>0.75834175935288195</v>
      </c>
      <c r="O15" s="61">
        <f t="shared" si="16"/>
        <v>5.9499214940913996</v>
      </c>
      <c r="P15" s="129">
        <f t="shared" si="4"/>
        <v>5.6964365398100298</v>
      </c>
      <c r="Q15" s="129">
        <f t="shared" si="5"/>
        <v>5.6035098416782203</v>
      </c>
      <c r="R15" s="129">
        <f t="shared" si="6"/>
        <v>5.7908097650981301</v>
      </c>
      <c r="S15" s="61">
        <f t="shared" si="7"/>
        <v>6.9905956112852703</v>
      </c>
      <c r="T15" s="61">
        <f t="shared" si="1"/>
        <v>7.8422684980061996</v>
      </c>
      <c r="U15" s="61">
        <f t="shared" si="17"/>
        <v>3.9997755457045057</v>
      </c>
      <c r="V15" s="61"/>
      <c r="Y15" s="162" t="s">
        <v>32</v>
      </c>
      <c r="Z15" s="162" t="s">
        <v>156</v>
      </c>
      <c r="AA15" s="162" t="s">
        <v>201</v>
      </c>
      <c r="AB15" s="162">
        <f>RANK(AH15,$AH$14:$AH$22,1)</f>
        <v>6</v>
      </c>
      <c r="AC15" s="165">
        <f t="shared" si="19"/>
        <v>0.75834175935288195</v>
      </c>
      <c r="AD15" s="165">
        <f t="shared" ref="AD15:AD22" si="20">MAX($AH$14:$AH$22)</f>
        <v>7.0530209617755801</v>
      </c>
      <c r="AE15" s="162"/>
      <c r="AF15" s="162">
        <f t="shared" si="10"/>
        <v>8</v>
      </c>
      <c r="AG15" s="167">
        <f t="shared" si="11"/>
        <v>816</v>
      </c>
      <c r="AH15" s="165">
        <f t="shared" si="12"/>
        <v>5.9570740254051699</v>
      </c>
      <c r="AI15" s="165">
        <f t="shared" si="13"/>
        <v>5.5729167390426104</v>
      </c>
      <c r="AJ15" s="165">
        <f t="shared" si="14"/>
        <v>6.3659271290391199</v>
      </c>
      <c r="AK15" s="167">
        <f t="shared" si="15"/>
        <v>5</v>
      </c>
    </row>
    <row r="16" spans="1:37" x14ac:dyDescent="0.2">
      <c r="A16" s="62" t="s">
        <v>39</v>
      </c>
      <c r="B16" s="62" t="s">
        <v>158</v>
      </c>
      <c r="C16" s="62" t="s">
        <v>200</v>
      </c>
      <c r="D16" s="62"/>
      <c r="E16" s="62">
        <f t="shared" si="2"/>
        <v>7</v>
      </c>
      <c r="F16" s="128">
        <v>720</v>
      </c>
      <c r="G16" s="129">
        <v>5.9499214940913996</v>
      </c>
      <c r="H16" s="129">
        <v>5.5422600074897801</v>
      </c>
      <c r="I16" s="129">
        <v>6.3855414736983898</v>
      </c>
      <c r="J16" s="129"/>
      <c r="K16" s="129"/>
      <c r="L16" s="129"/>
      <c r="M16" s="60">
        <f t="shared" si="0"/>
        <v>5</v>
      </c>
      <c r="N16" s="61">
        <f t="shared" si="3"/>
        <v>0.75834175935288195</v>
      </c>
      <c r="O16" s="61">
        <f t="shared" si="16"/>
        <v>5.9499214940913996</v>
      </c>
      <c r="P16" s="129">
        <f t="shared" si="4"/>
        <v>5.6964365398100298</v>
      </c>
      <c r="Q16" s="129">
        <f t="shared" si="5"/>
        <v>5.6035098416782203</v>
      </c>
      <c r="R16" s="129">
        <f t="shared" si="6"/>
        <v>5.7908097650981301</v>
      </c>
      <c r="S16" s="61">
        <f t="shared" si="7"/>
        <v>6.9905956112852703</v>
      </c>
      <c r="T16" s="61">
        <f t="shared" si="1"/>
        <v>7.8422684980061996</v>
      </c>
      <c r="U16" s="61">
        <f t="shared" si="17"/>
        <v>6.4732563363137068</v>
      </c>
      <c r="V16" s="61"/>
      <c r="Y16" s="162" t="s">
        <v>36</v>
      </c>
      <c r="Z16" s="162" t="s">
        <v>61</v>
      </c>
      <c r="AA16" s="162" t="s">
        <v>201</v>
      </c>
      <c r="AB16" s="162">
        <f>RANK(AH16,$AH$14:$AH$22,1)</f>
        <v>1</v>
      </c>
      <c r="AC16" s="165">
        <f t="shared" si="19"/>
        <v>0.75834175935288195</v>
      </c>
      <c r="AD16" s="165">
        <f t="shared" si="20"/>
        <v>7.0530209617755801</v>
      </c>
      <c r="AE16" s="162"/>
      <c r="AF16" s="162">
        <f t="shared" si="10"/>
        <v>1</v>
      </c>
      <c r="AG16" s="167">
        <f t="shared" si="11"/>
        <v>135</v>
      </c>
      <c r="AH16" s="165">
        <f t="shared" si="12"/>
        <v>0.75834175935288195</v>
      </c>
      <c r="AI16" s="165">
        <f t="shared" si="13"/>
        <v>0.64110058365054701</v>
      </c>
      <c r="AJ16" s="165">
        <f t="shared" si="14"/>
        <v>0.89682987278984805</v>
      </c>
      <c r="AK16" s="167">
        <f t="shared" si="15"/>
        <v>2</v>
      </c>
    </row>
    <row r="17" spans="1:37" x14ac:dyDescent="0.2">
      <c r="A17" s="62" t="s">
        <v>40</v>
      </c>
      <c r="B17" s="62" t="s">
        <v>63</v>
      </c>
      <c r="C17" s="62" t="s">
        <v>200</v>
      </c>
      <c r="D17" s="62"/>
      <c r="E17" s="62">
        <f t="shared" si="2"/>
        <v>21</v>
      </c>
      <c r="F17" s="128">
        <v>446</v>
      </c>
      <c r="G17" s="129">
        <v>7.0081709616593297</v>
      </c>
      <c r="H17" s="129">
        <v>6.4065567898684801</v>
      </c>
      <c r="I17" s="129">
        <v>7.6616555645672602</v>
      </c>
      <c r="J17" s="129"/>
      <c r="K17" s="129"/>
      <c r="L17" s="129"/>
      <c r="M17" s="60">
        <f t="shared" si="0"/>
        <v>1</v>
      </c>
      <c r="N17" s="61">
        <f t="shared" si="3"/>
        <v>0.75834175935288195</v>
      </c>
      <c r="O17" s="61">
        <f t="shared" si="16"/>
        <v>5.9499214940913996</v>
      </c>
      <c r="P17" s="129">
        <f t="shared" si="4"/>
        <v>5.6964365398100298</v>
      </c>
      <c r="Q17" s="129">
        <f t="shared" si="5"/>
        <v>5.6035098416782203</v>
      </c>
      <c r="R17" s="129">
        <f t="shared" si="6"/>
        <v>5.7908097650981301</v>
      </c>
      <c r="S17" s="61">
        <f t="shared" si="7"/>
        <v>6.9905956112852703</v>
      </c>
      <c r="T17" s="61">
        <f t="shared" si="1"/>
        <v>7.8422684980061996</v>
      </c>
      <c r="U17" s="61">
        <f t="shared" si="17"/>
        <v>6.4732563363137068</v>
      </c>
      <c r="V17" s="61"/>
      <c r="Y17" s="162" t="s">
        <v>37</v>
      </c>
      <c r="Z17" s="162" t="s">
        <v>157</v>
      </c>
      <c r="AA17" s="162" t="s">
        <v>201</v>
      </c>
      <c r="AB17" s="162">
        <f t="shared" ref="AB17:AB22" si="21">RANK(AH17,$AH$14:$AH$22,1)</f>
        <v>4</v>
      </c>
      <c r="AC17" s="165">
        <f t="shared" si="19"/>
        <v>0.75834175935288195</v>
      </c>
      <c r="AD17" s="165">
        <f>MAX($AH$14:$AH$22)</f>
        <v>7.0530209617755801</v>
      </c>
      <c r="AE17" s="162"/>
      <c r="AF17" s="162">
        <f t="shared" si="10"/>
        <v>4</v>
      </c>
      <c r="AG17" s="167">
        <f t="shared" si="11"/>
        <v>729</v>
      </c>
      <c r="AH17" s="165">
        <f t="shared" si="12"/>
        <v>3.48537005163511</v>
      </c>
      <c r="AI17" s="165">
        <f t="shared" si="13"/>
        <v>3.2452283406439899</v>
      </c>
      <c r="AJ17" s="165">
        <f t="shared" si="14"/>
        <v>3.74259449586379</v>
      </c>
      <c r="AK17" s="167">
        <f t="shared" si="15"/>
        <v>2</v>
      </c>
    </row>
    <row r="18" spans="1:37" x14ac:dyDescent="0.2">
      <c r="A18" s="62" t="s">
        <v>41</v>
      </c>
      <c r="B18" s="62" t="s">
        <v>64</v>
      </c>
      <c r="C18" s="62" t="s">
        <v>163</v>
      </c>
      <c r="D18" s="62"/>
      <c r="E18" s="62">
        <f t="shared" si="2"/>
        <v>24</v>
      </c>
      <c r="F18" s="128">
        <v>659</v>
      </c>
      <c r="G18" s="129">
        <v>7.6009227220299902</v>
      </c>
      <c r="H18" s="129">
        <v>7.0616731929353502</v>
      </c>
      <c r="I18" s="129">
        <v>8.1777275396716895</v>
      </c>
      <c r="J18" s="129"/>
      <c r="K18" s="129"/>
      <c r="L18" s="129"/>
      <c r="M18" s="60">
        <f t="shared" si="0"/>
        <v>1</v>
      </c>
      <c r="N18" s="61">
        <f t="shared" si="3"/>
        <v>0.75834175935288195</v>
      </c>
      <c r="O18" s="61">
        <f t="shared" si="16"/>
        <v>5.9499214940913996</v>
      </c>
      <c r="P18" s="129">
        <f t="shared" si="4"/>
        <v>5.6964365398100298</v>
      </c>
      <c r="Q18" s="129">
        <f t="shared" si="5"/>
        <v>5.6035098416782203</v>
      </c>
      <c r="R18" s="129">
        <f t="shared" si="6"/>
        <v>5.7908097650981301</v>
      </c>
      <c r="S18" s="61">
        <f t="shared" si="7"/>
        <v>6.9905956112852703</v>
      </c>
      <c r="T18" s="61">
        <f t="shared" si="1"/>
        <v>7.8422684980061996</v>
      </c>
      <c r="U18" s="61">
        <f t="shared" si="17"/>
        <v>6.9604756908009797</v>
      </c>
      <c r="V18" s="61"/>
      <c r="Y18" s="162" t="s">
        <v>38</v>
      </c>
      <c r="Z18" s="162" t="s">
        <v>62</v>
      </c>
      <c r="AA18" s="162" t="s">
        <v>201</v>
      </c>
      <c r="AB18" s="162">
        <f t="shared" si="21"/>
        <v>8</v>
      </c>
      <c r="AC18" s="165">
        <f t="shared" si="19"/>
        <v>0.75834175935288195</v>
      </c>
      <c r="AD18" s="165">
        <f t="shared" si="20"/>
        <v>7.0530209617755801</v>
      </c>
      <c r="AE18" s="162"/>
      <c r="AF18" s="162">
        <f t="shared" si="10"/>
        <v>19</v>
      </c>
      <c r="AG18" s="167">
        <f t="shared" si="11"/>
        <v>408</v>
      </c>
      <c r="AH18" s="165">
        <f t="shared" si="12"/>
        <v>6.9434989788972103</v>
      </c>
      <c r="AI18" s="165">
        <f t="shared" si="13"/>
        <v>6.3212979014880997</v>
      </c>
      <c r="AJ18" s="165">
        <f t="shared" si="14"/>
        <v>7.6219600003181096</v>
      </c>
      <c r="AK18" s="167">
        <f t="shared" si="15"/>
        <v>1</v>
      </c>
    </row>
    <row r="19" spans="1:37" x14ac:dyDescent="0.2">
      <c r="A19" s="62" t="s">
        <v>42</v>
      </c>
      <c r="B19" s="62" t="s">
        <v>65</v>
      </c>
      <c r="C19" s="62" t="s">
        <v>200</v>
      </c>
      <c r="D19" s="62"/>
      <c r="E19" s="62">
        <f t="shared" si="2"/>
        <v>9</v>
      </c>
      <c r="F19" s="128">
        <v>252</v>
      </c>
      <c r="G19" s="129">
        <v>6.0014289116456299</v>
      </c>
      <c r="H19" s="129">
        <v>5.3224527006534901</v>
      </c>
      <c r="I19" s="129">
        <v>6.7608358030054898</v>
      </c>
      <c r="J19" s="129"/>
      <c r="K19" s="129"/>
      <c r="L19" s="129"/>
      <c r="M19" s="60">
        <f t="shared" si="0"/>
        <v>5</v>
      </c>
      <c r="N19" s="61">
        <f t="shared" si="3"/>
        <v>0.75834175935288195</v>
      </c>
      <c r="O19" s="61">
        <f t="shared" si="16"/>
        <v>5.9499214940913996</v>
      </c>
      <c r="P19" s="129">
        <f t="shared" si="4"/>
        <v>5.6964365398100298</v>
      </c>
      <c r="Q19" s="129">
        <f t="shared" si="5"/>
        <v>5.6035098416782203</v>
      </c>
      <c r="R19" s="129">
        <f t="shared" si="6"/>
        <v>5.7908097650981301</v>
      </c>
      <c r="S19" s="61">
        <f t="shared" si="7"/>
        <v>6.9905956112852703</v>
      </c>
      <c r="T19" s="61">
        <f t="shared" si="1"/>
        <v>7.8422684980061996</v>
      </c>
      <c r="U19" s="61">
        <f t="shared" si="17"/>
        <v>6.4732563363137068</v>
      </c>
      <c r="V19" s="61"/>
      <c r="Y19" s="162" t="s">
        <v>43</v>
      </c>
      <c r="Z19" s="162" t="s">
        <v>159</v>
      </c>
      <c r="AA19" s="162" t="s">
        <v>201</v>
      </c>
      <c r="AB19" s="162">
        <f t="shared" si="21"/>
        <v>9</v>
      </c>
      <c r="AC19" s="165">
        <f t="shared" si="19"/>
        <v>0.75834175935288195</v>
      </c>
      <c r="AD19" s="165">
        <f t="shared" si="20"/>
        <v>7.0530209617755801</v>
      </c>
      <c r="AE19" s="162"/>
      <c r="AF19" s="162">
        <f t="shared" si="10"/>
        <v>22</v>
      </c>
      <c r="AG19" s="167">
        <f t="shared" si="11"/>
        <v>572</v>
      </c>
      <c r="AH19" s="165">
        <f t="shared" si="12"/>
        <v>7.0530209617755801</v>
      </c>
      <c r="AI19" s="165">
        <f t="shared" si="13"/>
        <v>6.5158742201819901</v>
      </c>
      <c r="AJ19" s="165">
        <f t="shared" si="14"/>
        <v>7.6308337805376496</v>
      </c>
      <c r="AK19" s="167">
        <f t="shared" si="15"/>
        <v>1</v>
      </c>
    </row>
    <row r="20" spans="1:37" x14ac:dyDescent="0.2">
      <c r="A20" s="62" t="s">
        <v>43</v>
      </c>
      <c r="B20" s="62" t="s">
        <v>159</v>
      </c>
      <c r="C20" s="62" t="s">
        <v>201</v>
      </c>
      <c r="D20" s="62"/>
      <c r="E20" s="62">
        <f t="shared" si="2"/>
        <v>22</v>
      </c>
      <c r="F20" s="128">
        <v>572</v>
      </c>
      <c r="G20" s="129">
        <v>7.0530209617755801</v>
      </c>
      <c r="H20" s="129">
        <v>6.5158742201819901</v>
      </c>
      <c r="I20" s="129">
        <v>7.6308337805376496</v>
      </c>
      <c r="J20" s="129"/>
      <c r="K20" s="129"/>
      <c r="L20" s="129"/>
      <c r="M20" s="60">
        <f t="shared" si="0"/>
        <v>1</v>
      </c>
      <c r="N20" s="61">
        <f t="shared" si="3"/>
        <v>0.75834175935288195</v>
      </c>
      <c r="O20" s="61">
        <f t="shared" si="16"/>
        <v>5.9499214940913996</v>
      </c>
      <c r="P20" s="129">
        <f t="shared" si="4"/>
        <v>5.6964365398100298</v>
      </c>
      <c r="Q20" s="129">
        <f t="shared" si="5"/>
        <v>5.6035098416782203</v>
      </c>
      <c r="R20" s="129">
        <f t="shared" si="6"/>
        <v>5.7908097650981301</v>
      </c>
      <c r="S20" s="61">
        <f t="shared" si="7"/>
        <v>6.9905956112852703</v>
      </c>
      <c r="T20" s="61">
        <f t="shared" si="1"/>
        <v>7.8422684980061996</v>
      </c>
      <c r="U20" s="61">
        <f t="shared" si="17"/>
        <v>3.9997755457045057</v>
      </c>
      <c r="V20" s="61"/>
      <c r="Y20" s="162" t="s">
        <v>48</v>
      </c>
      <c r="Z20" s="162" t="s">
        <v>160</v>
      </c>
      <c r="AA20" s="162" t="s">
        <v>201</v>
      </c>
      <c r="AB20" s="162">
        <f t="shared" si="21"/>
        <v>5</v>
      </c>
      <c r="AC20" s="165">
        <f t="shared" si="19"/>
        <v>0.75834175935288195</v>
      </c>
      <c r="AD20" s="165">
        <f t="shared" si="20"/>
        <v>7.0530209617755801</v>
      </c>
      <c r="AE20" s="162"/>
      <c r="AF20" s="162">
        <f t="shared" si="10"/>
        <v>6</v>
      </c>
      <c r="AG20" s="167">
        <f t="shared" si="11"/>
        <v>222</v>
      </c>
      <c r="AH20" s="165">
        <f t="shared" si="12"/>
        <v>4.2873696407879498</v>
      </c>
      <c r="AI20" s="165">
        <f t="shared" si="13"/>
        <v>3.7686661685543399</v>
      </c>
      <c r="AJ20" s="165">
        <f t="shared" si="14"/>
        <v>4.8738494772758498</v>
      </c>
      <c r="AK20" s="167">
        <f t="shared" si="15"/>
        <v>2</v>
      </c>
    </row>
    <row r="21" spans="1:37" x14ac:dyDescent="0.2">
      <c r="A21" s="62" t="s">
        <v>44</v>
      </c>
      <c r="B21" s="62" t="s">
        <v>66</v>
      </c>
      <c r="C21" s="62" t="s">
        <v>200</v>
      </c>
      <c r="D21" s="62"/>
      <c r="E21" s="62">
        <f t="shared" si="2"/>
        <v>14</v>
      </c>
      <c r="F21" s="128">
        <v>232</v>
      </c>
      <c r="G21" s="129">
        <v>6.5815602836879403</v>
      </c>
      <c r="H21" s="129">
        <v>5.80934896622413</v>
      </c>
      <c r="I21" s="129">
        <v>7.4483012932194503</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1</v>
      </c>
      <c r="N21" s="61">
        <f t="shared" si="3"/>
        <v>0.75834175935288195</v>
      </c>
      <c r="O21" s="61">
        <f t="shared" si="16"/>
        <v>5.9499214940913996</v>
      </c>
      <c r="P21" s="129">
        <f t="shared" si="4"/>
        <v>5.6964365398100298</v>
      </c>
      <c r="Q21" s="129">
        <f t="shared" si="5"/>
        <v>5.6035098416782203</v>
      </c>
      <c r="R21" s="129">
        <f t="shared" si="6"/>
        <v>5.7908097650981301</v>
      </c>
      <c r="S21" s="61">
        <f t="shared" si="7"/>
        <v>6.9905956112852703</v>
      </c>
      <c r="T21" s="61">
        <f t="shared" si="1"/>
        <v>7.8422684980061996</v>
      </c>
      <c r="U21" s="61">
        <f t="shared" si="17"/>
        <v>6.4732563363137068</v>
      </c>
      <c r="V21" s="61"/>
      <c r="Y21" s="162" t="s">
        <v>52</v>
      </c>
      <c r="Z21" s="162" t="s">
        <v>72</v>
      </c>
      <c r="AA21" s="162" t="s">
        <v>201</v>
      </c>
      <c r="AB21" s="162">
        <f t="shared" si="21"/>
        <v>3</v>
      </c>
      <c r="AC21" s="165">
        <f t="shared" si="19"/>
        <v>0.75834175935288195</v>
      </c>
      <c r="AD21" s="165">
        <f t="shared" si="20"/>
        <v>7.0530209617755801</v>
      </c>
      <c r="AE21" s="162"/>
      <c r="AF21" s="162">
        <f t="shared" si="10"/>
        <v>3</v>
      </c>
      <c r="AG21" s="167">
        <f t="shared" si="11"/>
        <v>107</v>
      </c>
      <c r="AH21" s="165">
        <f t="shared" si="12"/>
        <v>2.7088607594936698</v>
      </c>
      <c r="AI21" s="165">
        <f t="shared" si="13"/>
        <v>2.2467050947287901</v>
      </c>
      <c r="AJ21" s="165">
        <f t="shared" si="14"/>
        <v>3.2629103283860599</v>
      </c>
      <c r="AK21" s="167">
        <f t="shared" si="15"/>
        <v>2</v>
      </c>
    </row>
    <row r="22" spans="1:37" x14ac:dyDescent="0.2">
      <c r="A22" s="62" t="s">
        <v>45</v>
      </c>
      <c r="B22" s="62" t="s">
        <v>67</v>
      </c>
      <c r="C22" s="62" t="s">
        <v>163</v>
      </c>
      <c r="D22" s="62"/>
      <c r="E22" s="62">
        <f t="shared" si="2"/>
        <v>15</v>
      </c>
      <c r="F22" s="128">
        <v>474</v>
      </c>
      <c r="G22" s="129">
        <v>6.7579127459367001</v>
      </c>
      <c r="H22" s="129">
        <v>6.1938079012780998</v>
      </c>
      <c r="I22" s="129">
        <v>7.3693577017910501</v>
      </c>
      <c r="J22" s="129"/>
      <c r="K22" s="129"/>
      <c r="L22" s="129"/>
      <c r="M22" s="60">
        <f t="shared" si="0"/>
        <v>1</v>
      </c>
      <c r="N22" s="61">
        <f t="shared" si="3"/>
        <v>0.75834175935288195</v>
      </c>
      <c r="O22" s="61">
        <f t="shared" si="16"/>
        <v>5.9499214940913996</v>
      </c>
      <c r="P22" s="129">
        <f t="shared" si="4"/>
        <v>5.6964365398100298</v>
      </c>
      <c r="Q22" s="129">
        <f t="shared" si="5"/>
        <v>5.6035098416782203</v>
      </c>
      <c r="R22" s="129">
        <f t="shared" si="6"/>
        <v>5.7908097650981301</v>
      </c>
      <c r="S22" s="61">
        <f t="shared" si="7"/>
        <v>6.9905956112852703</v>
      </c>
      <c r="T22" s="61">
        <f t="shared" si="1"/>
        <v>7.8422684980061996</v>
      </c>
      <c r="U22" s="61">
        <f>VLOOKUP(C22,$C$43:$I$46,5,FALSE)</f>
        <v>6.9604756908009797</v>
      </c>
      <c r="V22" s="61"/>
      <c r="Y22" s="162" t="s">
        <v>54</v>
      </c>
      <c r="Z22" s="162" t="s">
        <v>73</v>
      </c>
      <c r="AA22" s="162" t="s">
        <v>201</v>
      </c>
      <c r="AB22" s="162">
        <f t="shared" si="21"/>
        <v>2</v>
      </c>
      <c r="AC22" s="165">
        <f t="shared" si="19"/>
        <v>0.75834175935288195</v>
      </c>
      <c r="AD22" s="165">
        <f t="shared" si="20"/>
        <v>7.0530209617755801</v>
      </c>
      <c r="AE22" s="162"/>
      <c r="AF22" s="162">
        <f t="shared" si="10"/>
        <v>2</v>
      </c>
      <c r="AG22" s="167">
        <f t="shared" si="11"/>
        <v>95</v>
      </c>
      <c r="AH22" s="165">
        <f t="shared" si="12"/>
        <v>1.7472871068603999</v>
      </c>
      <c r="AI22" s="165">
        <f t="shared" si="13"/>
        <v>1.4315401481433001</v>
      </c>
      <c r="AJ22" s="165">
        <f t="shared" si="14"/>
        <v>2.1311708826373899</v>
      </c>
      <c r="AK22" s="167">
        <f t="shared" si="15"/>
        <v>2</v>
      </c>
    </row>
    <row r="23" spans="1:37" x14ac:dyDescent="0.2">
      <c r="A23" s="62" t="s">
        <v>46</v>
      </c>
      <c r="B23" s="62" t="s">
        <v>68</v>
      </c>
      <c r="C23" s="62" t="s">
        <v>163</v>
      </c>
      <c r="D23" s="62"/>
      <c r="E23" s="62">
        <f t="shared" si="2"/>
        <v>26</v>
      </c>
      <c r="F23" s="128">
        <v>708</v>
      </c>
      <c r="G23" s="129">
        <v>7.8422684980061996</v>
      </c>
      <c r="H23" s="129">
        <v>7.3054793754766196</v>
      </c>
      <c r="I23" s="129">
        <v>8.4149190094401796</v>
      </c>
      <c r="J23" s="129"/>
      <c r="K23" s="129"/>
      <c r="L23" s="129"/>
      <c r="M23" s="60">
        <f t="shared" si="0"/>
        <v>1</v>
      </c>
      <c r="N23" s="61">
        <f t="shared" si="3"/>
        <v>0.75834175935288195</v>
      </c>
      <c r="O23" s="61">
        <f t="shared" si="16"/>
        <v>5.9499214940913996</v>
      </c>
      <c r="P23" s="129">
        <f t="shared" si="4"/>
        <v>5.6964365398100298</v>
      </c>
      <c r="Q23" s="129">
        <f t="shared" si="5"/>
        <v>5.6035098416782203</v>
      </c>
      <c r="R23" s="129">
        <f t="shared" si="6"/>
        <v>5.7908097650981301</v>
      </c>
      <c r="S23" s="61">
        <f t="shared" si="7"/>
        <v>6.9905956112852703</v>
      </c>
      <c r="T23" s="61">
        <f t="shared" si="1"/>
        <v>7.8422684980061996</v>
      </c>
      <c r="U23" s="61">
        <f t="shared" si="17"/>
        <v>6.9604756908009797</v>
      </c>
      <c r="V23" s="61"/>
      <c r="Y23" s="163" t="s">
        <v>30</v>
      </c>
      <c r="Z23" s="163" t="s">
        <v>56</v>
      </c>
      <c r="AA23" s="163" t="s">
        <v>200</v>
      </c>
      <c r="AB23" s="163">
        <f>RANK(AH23,$AH$23:$AH$31,1)</f>
        <v>9</v>
      </c>
      <c r="AC23" s="166">
        <f>MIN($AH$23:$AH$31)</f>
        <v>4.0754815882584197</v>
      </c>
      <c r="AD23" s="166">
        <f>MAX($AH$23:$AH$31)</f>
        <v>7.7104112966491103</v>
      </c>
      <c r="AE23" s="163"/>
      <c r="AF23" s="163">
        <f t="shared" si="10"/>
        <v>25</v>
      </c>
      <c r="AG23" s="168">
        <f t="shared" si="11"/>
        <v>688</v>
      </c>
      <c r="AH23" s="166">
        <f t="shared" si="12"/>
        <v>7.7104112966491103</v>
      </c>
      <c r="AI23" s="166">
        <f t="shared" si="13"/>
        <v>7.1749421398033304</v>
      </c>
      <c r="AJ23" s="166">
        <f t="shared" si="14"/>
        <v>8.2822771374278101</v>
      </c>
      <c r="AK23" s="168">
        <f t="shared" si="15"/>
        <v>1</v>
      </c>
    </row>
    <row r="24" spans="1:37" x14ac:dyDescent="0.2">
      <c r="A24" s="62" t="s">
        <v>47</v>
      </c>
      <c r="B24" s="62" t="s">
        <v>69</v>
      </c>
      <c r="C24" s="62" t="s">
        <v>163</v>
      </c>
      <c r="D24" s="62"/>
      <c r="E24" s="62">
        <f t="shared" si="2"/>
        <v>10</v>
      </c>
      <c r="F24" s="128">
        <v>266</v>
      </c>
      <c r="G24" s="129">
        <v>6.0827806997484597</v>
      </c>
      <c r="H24" s="129">
        <v>5.4121828094952802</v>
      </c>
      <c r="I24" s="129">
        <v>6.83046897175229</v>
      </c>
      <c r="J24" s="129"/>
      <c r="K24" s="129"/>
      <c r="L24" s="129"/>
      <c r="M24" s="60">
        <f t="shared" si="0"/>
        <v>5</v>
      </c>
      <c r="N24" s="61">
        <f t="shared" si="3"/>
        <v>0.75834175935288195</v>
      </c>
      <c r="O24" s="61">
        <f t="shared" si="16"/>
        <v>5.9499214940913996</v>
      </c>
      <c r="P24" s="129">
        <f t="shared" si="4"/>
        <v>5.6964365398100298</v>
      </c>
      <c r="Q24" s="129">
        <f t="shared" si="5"/>
        <v>5.6035098416782203</v>
      </c>
      <c r="R24" s="129">
        <f t="shared" si="6"/>
        <v>5.7908097650981301</v>
      </c>
      <c r="S24" s="61">
        <f t="shared" si="7"/>
        <v>6.9905956112852703</v>
      </c>
      <c r="T24" s="61">
        <f t="shared" si="1"/>
        <v>7.8422684980061996</v>
      </c>
      <c r="U24" s="61">
        <f t="shared" si="17"/>
        <v>6.9604756908009797</v>
      </c>
      <c r="V24" s="61"/>
      <c r="Y24" s="163" t="s">
        <v>31</v>
      </c>
      <c r="Z24" s="163" t="s">
        <v>57</v>
      </c>
      <c r="AA24" s="163" t="s">
        <v>200</v>
      </c>
      <c r="AB24" s="163">
        <f t="shared" ref="AB24:AB31" si="22">RANK(AH24,$AH$23:$AH$31,1)</f>
        <v>8</v>
      </c>
      <c r="AC24" s="166">
        <f t="shared" ref="AC24:AC31" si="23">MIN($AH$23:$AH$31)</f>
        <v>4.0754815882584197</v>
      </c>
      <c r="AD24" s="166">
        <f t="shared" ref="AD24:AD31" si="24">MAX($AH$23:$AH$31)</f>
        <v>7.7104112966491103</v>
      </c>
      <c r="AE24" s="163"/>
      <c r="AF24" s="163">
        <f t="shared" si="10"/>
        <v>23</v>
      </c>
      <c r="AG24" s="168">
        <f t="shared" si="11"/>
        <v>774</v>
      </c>
      <c r="AH24" s="166">
        <f t="shared" si="12"/>
        <v>7.5919568415890204</v>
      </c>
      <c r="AI24" s="166">
        <f t="shared" si="13"/>
        <v>7.0936331034530804</v>
      </c>
      <c r="AJ24" s="166">
        <f t="shared" si="14"/>
        <v>8.1222271007326601</v>
      </c>
      <c r="AK24" s="168">
        <f t="shared" si="15"/>
        <v>1</v>
      </c>
    </row>
    <row r="25" spans="1:37" x14ac:dyDescent="0.2">
      <c r="A25" s="62" t="s">
        <v>48</v>
      </c>
      <c r="B25" s="62" t="s">
        <v>160</v>
      </c>
      <c r="C25" s="62" t="s">
        <v>201</v>
      </c>
      <c r="D25" s="62"/>
      <c r="E25" s="62">
        <f t="shared" si="2"/>
        <v>6</v>
      </c>
      <c r="F25" s="128">
        <v>222</v>
      </c>
      <c r="G25" s="129">
        <v>4.2873696407879498</v>
      </c>
      <c r="H25" s="129">
        <v>3.7686661685543399</v>
      </c>
      <c r="I25" s="129">
        <v>4.8738494772758498</v>
      </c>
      <c r="J25" s="129"/>
      <c r="K25" s="129"/>
      <c r="L25" s="129"/>
      <c r="M25" s="60">
        <f t="shared" si="0"/>
        <v>2</v>
      </c>
      <c r="N25" s="61">
        <f t="shared" si="3"/>
        <v>0.75834175935288195</v>
      </c>
      <c r="O25" s="61">
        <f t="shared" si="16"/>
        <v>5.9499214940913996</v>
      </c>
      <c r="P25" s="129">
        <f t="shared" si="4"/>
        <v>5.6964365398100298</v>
      </c>
      <c r="Q25" s="129">
        <f t="shared" si="5"/>
        <v>5.6035098416782203</v>
      </c>
      <c r="R25" s="129">
        <f t="shared" si="6"/>
        <v>5.7908097650981301</v>
      </c>
      <c r="S25" s="61">
        <f t="shared" si="7"/>
        <v>6.9905956112852703</v>
      </c>
      <c r="T25" s="61">
        <f t="shared" si="1"/>
        <v>7.8422684980061996</v>
      </c>
      <c r="U25" s="61">
        <f t="shared" si="17"/>
        <v>3.9997755457045057</v>
      </c>
      <c r="V25" s="61"/>
      <c r="Y25" s="163" t="s">
        <v>34</v>
      </c>
      <c r="Z25" s="163" t="s">
        <v>59</v>
      </c>
      <c r="AA25" s="163" t="s">
        <v>200</v>
      </c>
      <c r="AB25" s="163">
        <f t="shared" si="22"/>
        <v>4</v>
      </c>
      <c r="AC25" s="166">
        <f t="shared" si="23"/>
        <v>4.0754815882584197</v>
      </c>
      <c r="AD25" s="166">
        <f t="shared" si="24"/>
        <v>7.7104112966491103</v>
      </c>
      <c r="AE25" s="163"/>
      <c r="AF25" s="163">
        <f t="shared" si="10"/>
        <v>13</v>
      </c>
      <c r="AG25" s="168">
        <f t="shared" si="11"/>
        <v>760</v>
      </c>
      <c r="AH25" s="166">
        <f t="shared" si="12"/>
        <v>6.38226402418542</v>
      </c>
      <c r="AI25" s="166">
        <f t="shared" si="13"/>
        <v>5.9571448806294498</v>
      </c>
      <c r="AJ25" s="166">
        <f t="shared" si="14"/>
        <v>6.8355158015045596</v>
      </c>
      <c r="AK25" s="168">
        <f t="shared" si="15"/>
        <v>1</v>
      </c>
    </row>
    <row r="26" spans="1:37" x14ac:dyDescent="0.2">
      <c r="A26" s="62" t="s">
        <v>49</v>
      </c>
      <c r="B26" s="62" t="s">
        <v>70</v>
      </c>
      <c r="C26" s="62" t="s">
        <v>200</v>
      </c>
      <c r="D26" s="62"/>
      <c r="E26" s="62">
        <f t="shared" si="2"/>
        <v>5</v>
      </c>
      <c r="F26" s="128">
        <v>311</v>
      </c>
      <c r="G26" s="129">
        <v>4.0754815882584197</v>
      </c>
      <c r="H26" s="129">
        <v>3.654477991017</v>
      </c>
      <c r="I26" s="129">
        <v>4.5426988881131596</v>
      </c>
      <c r="J26" s="129"/>
      <c r="K26" s="129"/>
      <c r="L26" s="129"/>
      <c r="M26" s="60">
        <f t="shared" si="0"/>
        <v>2</v>
      </c>
      <c r="N26" s="61">
        <f t="shared" si="3"/>
        <v>0.75834175935288195</v>
      </c>
      <c r="O26" s="61">
        <f t="shared" si="16"/>
        <v>5.9499214940913996</v>
      </c>
      <c r="P26" s="129">
        <f t="shared" si="4"/>
        <v>5.6964365398100298</v>
      </c>
      <c r="Q26" s="129">
        <f t="shared" si="5"/>
        <v>5.6035098416782203</v>
      </c>
      <c r="R26" s="129">
        <f t="shared" si="6"/>
        <v>5.7908097650981301</v>
      </c>
      <c r="S26" s="61">
        <f t="shared" si="7"/>
        <v>6.9905956112852703</v>
      </c>
      <c r="T26" s="61">
        <f t="shared" si="1"/>
        <v>7.8422684980061996</v>
      </c>
      <c r="U26" s="61">
        <f t="shared" si="17"/>
        <v>6.4732563363137068</v>
      </c>
      <c r="V26" s="61"/>
      <c r="Y26" s="163" t="s">
        <v>39</v>
      </c>
      <c r="Z26" s="163" t="s">
        <v>158</v>
      </c>
      <c r="AA26" s="163" t="s">
        <v>200</v>
      </c>
      <c r="AB26" s="163">
        <f t="shared" si="22"/>
        <v>2</v>
      </c>
      <c r="AC26" s="166">
        <f t="shared" si="23"/>
        <v>4.0754815882584197</v>
      </c>
      <c r="AD26" s="166">
        <f t="shared" si="24"/>
        <v>7.7104112966491103</v>
      </c>
      <c r="AE26" s="163"/>
      <c r="AF26" s="163">
        <f t="shared" si="10"/>
        <v>7</v>
      </c>
      <c r="AG26" s="168">
        <f t="shared" si="11"/>
        <v>720</v>
      </c>
      <c r="AH26" s="166">
        <f t="shared" si="12"/>
        <v>5.9499214940913996</v>
      </c>
      <c r="AI26" s="166">
        <f t="shared" si="13"/>
        <v>5.5422600074897801</v>
      </c>
      <c r="AJ26" s="166">
        <f t="shared" si="14"/>
        <v>6.3855414736983898</v>
      </c>
      <c r="AK26" s="168">
        <f t="shared" si="15"/>
        <v>5</v>
      </c>
    </row>
    <row r="27" spans="1:37" x14ac:dyDescent="0.2">
      <c r="A27" s="62" t="s">
        <v>50</v>
      </c>
      <c r="B27" s="62" t="s">
        <v>161</v>
      </c>
      <c r="C27" s="62" t="s">
        <v>163</v>
      </c>
      <c r="D27" s="62"/>
      <c r="E27" s="62">
        <f t="shared" si="2"/>
        <v>12</v>
      </c>
      <c r="F27" s="128">
        <v>281</v>
      </c>
      <c r="G27" s="129">
        <v>6.24305709842257</v>
      </c>
      <c r="H27" s="129">
        <v>5.5728913633828396</v>
      </c>
      <c r="I27" s="129">
        <v>6.9878494305634096</v>
      </c>
      <c r="J27" s="129"/>
      <c r="K27" s="129"/>
      <c r="L27" s="129"/>
      <c r="M27" s="60">
        <f t="shared" si="0"/>
        <v>5</v>
      </c>
      <c r="N27" s="61">
        <f t="shared" si="3"/>
        <v>0.75834175935288195</v>
      </c>
      <c r="O27" s="61">
        <f t="shared" si="16"/>
        <v>5.9499214940913996</v>
      </c>
      <c r="P27" s="129">
        <f t="shared" si="4"/>
        <v>5.6964365398100298</v>
      </c>
      <c r="Q27" s="129">
        <f t="shared" si="5"/>
        <v>5.6035098416782203</v>
      </c>
      <c r="R27" s="129">
        <f t="shared" si="6"/>
        <v>5.7908097650981301</v>
      </c>
      <c r="S27" s="61">
        <f t="shared" si="7"/>
        <v>6.9905956112852703</v>
      </c>
      <c r="T27" s="61">
        <f t="shared" si="1"/>
        <v>7.8422684980061996</v>
      </c>
      <c r="U27" s="61">
        <f t="shared" si="17"/>
        <v>6.9604756908009797</v>
      </c>
      <c r="V27" s="61"/>
      <c r="Y27" s="163" t="s">
        <v>40</v>
      </c>
      <c r="Z27" s="163" t="s">
        <v>63</v>
      </c>
      <c r="AA27" s="163" t="s">
        <v>200</v>
      </c>
      <c r="AB27" s="163">
        <f t="shared" si="22"/>
        <v>7</v>
      </c>
      <c r="AC27" s="166">
        <f t="shared" si="23"/>
        <v>4.0754815882584197</v>
      </c>
      <c r="AD27" s="166">
        <f t="shared" si="24"/>
        <v>7.7104112966491103</v>
      </c>
      <c r="AE27" s="163"/>
      <c r="AF27" s="163">
        <f t="shared" si="10"/>
        <v>21</v>
      </c>
      <c r="AG27" s="168">
        <f t="shared" si="11"/>
        <v>446</v>
      </c>
      <c r="AH27" s="166">
        <f t="shared" si="12"/>
        <v>7.0081709616593297</v>
      </c>
      <c r="AI27" s="166">
        <f t="shared" si="13"/>
        <v>6.4065567898684801</v>
      </c>
      <c r="AJ27" s="166">
        <f t="shared" si="14"/>
        <v>7.6616555645672602</v>
      </c>
      <c r="AK27" s="168">
        <f t="shared" si="15"/>
        <v>1</v>
      </c>
    </row>
    <row r="28" spans="1:37" x14ac:dyDescent="0.2">
      <c r="A28" s="62" t="s">
        <v>51</v>
      </c>
      <c r="B28" s="62" t="s">
        <v>71</v>
      </c>
      <c r="C28" s="62" t="s">
        <v>200</v>
      </c>
      <c r="D28" s="62"/>
      <c r="E28" s="62">
        <f t="shared" si="2"/>
        <v>17</v>
      </c>
      <c r="F28" s="128">
        <v>284</v>
      </c>
      <c r="G28" s="129">
        <v>6.8252823840422998</v>
      </c>
      <c r="H28" s="129">
        <v>6.09819460670818</v>
      </c>
      <c r="I28" s="129">
        <v>7.6320149216664097</v>
      </c>
      <c r="J28" s="129"/>
      <c r="K28" s="129"/>
      <c r="L28" s="129"/>
      <c r="M28" s="60">
        <f t="shared" si="0"/>
        <v>1</v>
      </c>
      <c r="N28" s="61">
        <f t="shared" si="3"/>
        <v>0.75834175935288195</v>
      </c>
      <c r="O28" s="61">
        <f t="shared" si="16"/>
        <v>5.9499214940913996</v>
      </c>
      <c r="P28" s="129">
        <f t="shared" si="4"/>
        <v>5.6964365398100298</v>
      </c>
      <c r="Q28" s="129">
        <f t="shared" si="5"/>
        <v>5.6035098416782203</v>
      </c>
      <c r="R28" s="129">
        <f t="shared" si="6"/>
        <v>5.7908097650981301</v>
      </c>
      <c r="S28" s="61">
        <f t="shared" si="7"/>
        <v>6.9905956112852703</v>
      </c>
      <c r="T28" s="61">
        <f t="shared" si="1"/>
        <v>7.8422684980061996</v>
      </c>
      <c r="U28" s="61">
        <f t="shared" si="17"/>
        <v>6.4732563363137068</v>
      </c>
      <c r="V28" s="61"/>
      <c r="Y28" s="163" t="s">
        <v>42</v>
      </c>
      <c r="Z28" s="163" t="s">
        <v>65</v>
      </c>
      <c r="AA28" s="163" t="s">
        <v>200</v>
      </c>
      <c r="AB28" s="163">
        <f t="shared" si="22"/>
        <v>3</v>
      </c>
      <c r="AC28" s="166">
        <f t="shared" si="23"/>
        <v>4.0754815882584197</v>
      </c>
      <c r="AD28" s="166">
        <f t="shared" si="24"/>
        <v>7.7104112966491103</v>
      </c>
      <c r="AE28" s="163"/>
      <c r="AF28" s="163">
        <f t="shared" si="10"/>
        <v>9</v>
      </c>
      <c r="AG28" s="168">
        <f t="shared" si="11"/>
        <v>252</v>
      </c>
      <c r="AH28" s="166">
        <f t="shared" si="12"/>
        <v>6.0014289116456299</v>
      </c>
      <c r="AI28" s="166">
        <f t="shared" si="13"/>
        <v>5.3224527006534901</v>
      </c>
      <c r="AJ28" s="166">
        <f t="shared" si="14"/>
        <v>6.7608358030054898</v>
      </c>
      <c r="AK28" s="168">
        <f t="shared" si="15"/>
        <v>5</v>
      </c>
    </row>
    <row r="29" spans="1:37" x14ac:dyDescent="0.2">
      <c r="A29" s="62" t="s">
        <v>52</v>
      </c>
      <c r="B29" s="62" t="s">
        <v>72</v>
      </c>
      <c r="C29" s="62" t="s">
        <v>201</v>
      </c>
      <c r="D29" s="62"/>
      <c r="E29" s="62">
        <f t="shared" si="2"/>
        <v>3</v>
      </c>
      <c r="F29" s="128">
        <v>107</v>
      </c>
      <c r="G29" s="129">
        <v>2.7088607594936698</v>
      </c>
      <c r="H29" s="129">
        <v>2.2467050947287901</v>
      </c>
      <c r="I29" s="129">
        <v>3.2629103283860599</v>
      </c>
      <c r="J29" s="129"/>
      <c r="K29" s="129"/>
      <c r="L29" s="129"/>
      <c r="M29" s="60">
        <f t="shared" si="0"/>
        <v>2</v>
      </c>
      <c r="N29" s="61">
        <f t="shared" si="3"/>
        <v>0.75834175935288195</v>
      </c>
      <c r="O29" s="61">
        <f t="shared" si="16"/>
        <v>5.9499214940913996</v>
      </c>
      <c r="P29" s="129">
        <f t="shared" si="4"/>
        <v>5.6964365398100298</v>
      </c>
      <c r="Q29" s="129">
        <f t="shared" si="5"/>
        <v>5.6035098416782203</v>
      </c>
      <c r="R29" s="129">
        <f t="shared" si="6"/>
        <v>5.7908097650981301</v>
      </c>
      <c r="S29" s="61">
        <f t="shared" si="7"/>
        <v>6.9905956112852703</v>
      </c>
      <c r="T29" s="61">
        <f t="shared" si="1"/>
        <v>7.8422684980061996</v>
      </c>
      <c r="U29" s="61">
        <f t="shared" si="17"/>
        <v>3.9997755457045057</v>
      </c>
      <c r="V29" s="61"/>
      <c r="Y29" s="163" t="s">
        <v>44</v>
      </c>
      <c r="Z29" s="163" t="s">
        <v>66</v>
      </c>
      <c r="AA29" s="163" t="s">
        <v>200</v>
      </c>
      <c r="AB29" s="163">
        <f t="shared" si="22"/>
        <v>5</v>
      </c>
      <c r="AC29" s="166">
        <f t="shared" si="23"/>
        <v>4.0754815882584197</v>
      </c>
      <c r="AD29" s="166">
        <f t="shared" si="24"/>
        <v>7.7104112966491103</v>
      </c>
      <c r="AE29" s="163"/>
      <c r="AF29" s="163">
        <f t="shared" si="10"/>
        <v>14</v>
      </c>
      <c r="AG29" s="168">
        <f t="shared" si="11"/>
        <v>232</v>
      </c>
      <c r="AH29" s="166">
        <f t="shared" si="12"/>
        <v>6.5815602836879403</v>
      </c>
      <c r="AI29" s="166">
        <f t="shared" si="13"/>
        <v>5.80934896622413</v>
      </c>
      <c r="AJ29" s="166">
        <f t="shared" si="14"/>
        <v>7.4483012932194503</v>
      </c>
      <c r="AK29" s="168">
        <f t="shared" si="15"/>
        <v>1</v>
      </c>
    </row>
    <row r="30" spans="1:37" x14ac:dyDescent="0.2">
      <c r="A30" s="62" t="s">
        <v>53</v>
      </c>
      <c r="B30" s="62" t="s">
        <v>162</v>
      </c>
      <c r="C30" s="62" t="s">
        <v>163</v>
      </c>
      <c r="D30" s="62"/>
      <c r="E30" s="62">
        <f t="shared" si="2"/>
        <v>16</v>
      </c>
      <c r="F30" s="128">
        <v>1518</v>
      </c>
      <c r="G30" s="129">
        <v>6.7653088510562398</v>
      </c>
      <c r="H30" s="129">
        <v>6.4440383786824897</v>
      </c>
      <c r="I30" s="129">
        <v>7.1013806298182303</v>
      </c>
      <c r="J30" s="129"/>
      <c r="K30" s="129"/>
      <c r="L30" s="129"/>
      <c r="M30" s="60">
        <f t="shared" si="0"/>
        <v>1</v>
      </c>
      <c r="N30" s="61">
        <f t="shared" si="3"/>
        <v>0.75834175935288195</v>
      </c>
      <c r="O30" s="61">
        <f t="shared" si="16"/>
        <v>5.9499214940913996</v>
      </c>
      <c r="P30" s="129">
        <f>$G$32</f>
        <v>5.6964365398100298</v>
      </c>
      <c r="Q30" s="129">
        <f t="shared" si="5"/>
        <v>5.6035098416782203</v>
      </c>
      <c r="R30" s="129">
        <f t="shared" si="6"/>
        <v>5.7908097650981301</v>
      </c>
      <c r="S30" s="61">
        <f t="shared" si="7"/>
        <v>6.9905956112852703</v>
      </c>
      <c r="T30" s="61">
        <f t="shared" si="1"/>
        <v>7.8422684980061996</v>
      </c>
      <c r="U30" s="61">
        <f t="shared" si="17"/>
        <v>6.9604756908009797</v>
      </c>
      <c r="V30" s="61"/>
      <c r="Y30" s="163" t="s">
        <v>49</v>
      </c>
      <c r="Z30" s="163" t="s">
        <v>70</v>
      </c>
      <c r="AA30" s="163" t="s">
        <v>200</v>
      </c>
      <c r="AB30" s="163">
        <f t="shared" si="22"/>
        <v>1</v>
      </c>
      <c r="AC30" s="166">
        <f t="shared" si="23"/>
        <v>4.0754815882584197</v>
      </c>
      <c r="AD30" s="166">
        <f t="shared" si="24"/>
        <v>7.7104112966491103</v>
      </c>
      <c r="AE30" s="163"/>
      <c r="AF30" s="163">
        <f t="shared" si="10"/>
        <v>5</v>
      </c>
      <c r="AG30" s="168">
        <f t="shared" si="11"/>
        <v>311</v>
      </c>
      <c r="AH30" s="166">
        <f t="shared" si="12"/>
        <v>4.0754815882584197</v>
      </c>
      <c r="AI30" s="166">
        <f t="shared" si="13"/>
        <v>3.654477991017</v>
      </c>
      <c r="AJ30" s="166">
        <f t="shared" si="14"/>
        <v>4.5426988881131596</v>
      </c>
      <c r="AK30" s="168">
        <f t="shared" si="15"/>
        <v>2</v>
      </c>
    </row>
    <row r="31" spans="1:37" x14ac:dyDescent="0.2">
      <c r="A31" s="62" t="s">
        <v>54</v>
      </c>
      <c r="B31" s="62" t="s">
        <v>73</v>
      </c>
      <c r="C31" s="62" t="s">
        <v>201</v>
      </c>
      <c r="D31" s="62"/>
      <c r="E31" s="62">
        <f t="shared" si="2"/>
        <v>2</v>
      </c>
      <c r="F31" s="128">
        <v>95</v>
      </c>
      <c r="G31" s="129">
        <v>1.7472871068603999</v>
      </c>
      <c r="H31" s="129">
        <v>1.4315401481433001</v>
      </c>
      <c r="I31" s="129">
        <v>2.1311708826373899</v>
      </c>
      <c r="J31" s="129"/>
      <c r="K31" s="129"/>
      <c r="L31" s="129"/>
      <c r="M31" s="60">
        <f t="shared" si="0"/>
        <v>2</v>
      </c>
      <c r="N31" s="61">
        <f t="shared" si="3"/>
        <v>0.75834175935288195</v>
      </c>
      <c r="O31" s="61">
        <f t="shared" si="16"/>
        <v>5.9499214940913996</v>
      </c>
      <c r="P31" s="129">
        <f t="shared" si="4"/>
        <v>5.6964365398100298</v>
      </c>
      <c r="Q31" s="129">
        <f t="shared" si="5"/>
        <v>5.6035098416782203</v>
      </c>
      <c r="R31" s="129">
        <f t="shared" si="6"/>
        <v>5.7908097650981301</v>
      </c>
      <c r="S31" s="61">
        <f t="shared" si="7"/>
        <v>6.9905956112852703</v>
      </c>
      <c r="T31" s="61">
        <f t="shared" si="1"/>
        <v>7.8422684980061996</v>
      </c>
      <c r="U31" s="61">
        <f t="shared" si="17"/>
        <v>3.9997755457045057</v>
      </c>
      <c r="V31" s="61"/>
      <c r="Y31" s="163" t="s">
        <v>51</v>
      </c>
      <c r="Z31" s="163" t="s">
        <v>71</v>
      </c>
      <c r="AA31" s="163" t="s">
        <v>200</v>
      </c>
      <c r="AB31" s="163">
        <f t="shared" si="22"/>
        <v>6</v>
      </c>
      <c r="AC31" s="166">
        <f t="shared" si="23"/>
        <v>4.0754815882584197</v>
      </c>
      <c r="AD31" s="166">
        <f t="shared" si="24"/>
        <v>7.7104112966491103</v>
      </c>
      <c r="AE31" s="163"/>
      <c r="AF31" s="163">
        <f t="shared" si="10"/>
        <v>17</v>
      </c>
      <c r="AG31" s="168">
        <f t="shared" si="11"/>
        <v>284</v>
      </c>
      <c r="AH31" s="166">
        <f t="shared" si="12"/>
        <v>6.8252823840422998</v>
      </c>
      <c r="AI31" s="166">
        <f t="shared" si="13"/>
        <v>6.09819460670818</v>
      </c>
      <c r="AJ31" s="166">
        <f t="shared" si="14"/>
        <v>7.6320149216664097</v>
      </c>
      <c r="AK31" s="168">
        <f t="shared" si="15"/>
        <v>1</v>
      </c>
    </row>
    <row r="32" spans="1:37" x14ac:dyDescent="0.2">
      <c r="A32" s="62"/>
      <c r="B32" s="62" t="s">
        <v>171</v>
      </c>
      <c r="C32" s="62"/>
      <c r="D32" s="62"/>
      <c r="E32" s="62"/>
      <c r="F32" s="128">
        <v>13404</v>
      </c>
      <c r="G32" s="129">
        <v>5.6964365398100298</v>
      </c>
      <c r="H32" s="129">
        <v>5.6035098416782203</v>
      </c>
      <c r="I32" s="129">
        <v>5.7908097650981301</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5373</v>
      </c>
      <c r="G44" s="254">
        <v>6.9604756908009797</v>
      </c>
      <c r="H44" s="129">
        <v>6.7830893185223857</v>
      </c>
      <c r="I44" s="129">
        <v>7.1421455170958685</v>
      </c>
      <c r="J44" s="129">
        <f>VLOOKUP($C44,$AA$6:$AD$13,3,FALSE)</f>
        <v>6.0827806997484597</v>
      </c>
      <c r="K44" s="129">
        <f>VLOOKUP($C44,$AA$6:$AD$13,4,FALSE)</f>
        <v>7.8422684980061996</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1</v>
      </c>
      <c r="N44" s="61">
        <f>MIN($G$6:$G$31)</f>
        <v>0.75834175935288195</v>
      </c>
      <c r="O44" s="61">
        <f>VLOOKUP(7,$E$5:$G$39,3,FALSE)</f>
        <v>5.9499214940913996</v>
      </c>
      <c r="P44" s="129">
        <f>$G$32</f>
        <v>5.6964365398100298</v>
      </c>
      <c r="Q44" s="129">
        <f>$H$32</f>
        <v>5.6035098416782203</v>
      </c>
      <c r="R44" s="129">
        <f>$I$32</f>
        <v>5.7908097650981301</v>
      </c>
      <c r="S44" s="61">
        <f>VLOOKUP(20,$E$5:$G$39,3,FALSE)</f>
        <v>6.9905956112852703</v>
      </c>
      <c r="T44" s="61">
        <f>MAX($G$6:$G$31)</f>
        <v>7.8422684980061996</v>
      </c>
    </row>
    <row r="45" spans="1:22" x14ac:dyDescent="0.2">
      <c r="C45" s="62" t="s">
        <v>201</v>
      </c>
      <c r="D45" s="62"/>
      <c r="E45" s="62"/>
      <c r="F45" s="128">
        <v>3564</v>
      </c>
      <c r="G45" s="254">
        <v>3.9997755457045057</v>
      </c>
      <c r="H45" s="129">
        <v>3.8730838903897364</v>
      </c>
      <c r="I45" s="129">
        <v>4.1304333162799152</v>
      </c>
      <c r="J45" s="129">
        <f>VLOOKUP($C45,$AA$14:$AD$22,3,FALSE)</f>
        <v>0.75834175935288195</v>
      </c>
      <c r="K45" s="129">
        <f>VLOOKUP($C45,$AA$14:$AD$22,4,FALSE)</f>
        <v>7.0530209617755801</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2</v>
      </c>
      <c r="N45" s="61">
        <f>MIN($G$6:$G$31)</f>
        <v>0.75834175935288195</v>
      </c>
      <c r="O45" s="61">
        <f>VLOOKUP(7,$E$5:$G$39,3,FALSE)</f>
        <v>5.9499214940913996</v>
      </c>
      <c r="P45" s="129">
        <f>$G$32</f>
        <v>5.6964365398100298</v>
      </c>
      <c r="Q45" s="129">
        <f t="shared" ref="Q45:Q46" si="25">$H$32</f>
        <v>5.6035098416782203</v>
      </c>
      <c r="R45" s="129">
        <f t="shared" ref="R45:R46" si="26">$I$32</f>
        <v>5.7908097650981301</v>
      </c>
      <c r="S45" s="61">
        <f>VLOOKUP(20,$E$5:$G$39,3,FALSE)</f>
        <v>6.9905956112852703</v>
      </c>
      <c r="T45" s="61">
        <f t="shared" ref="T45:T46" si="27">MAX($G$6:$G$31)</f>
        <v>7.8422684980061996</v>
      </c>
    </row>
    <row r="46" spans="1:22" x14ac:dyDescent="0.2">
      <c r="C46" s="62" t="s">
        <v>200</v>
      </c>
      <c r="D46" s="62"/>
      <c r="E46" s="62"/>
      <c r="F46" s="128">
        <v>4467</v>
      </c>
      <c r="G46" s="254">
        <v>6.4732563363137068</v>
      </c>
      <c r="H46" s="129">
        <v>6.2920860465470572</v>
      </c>
      <c r="I46" s="129">
        <v>6.6592724210264382</v>
      </c>
      <c r="J46" s="129">
        <f>VLOOKUP($C46,$AA$23:$AD$31,3,FALSE)</f>
        <v>4.0754815882584197</v>
      </c>
      <c r="K46" s="129">
        <f>VLOOKUP($C46,$AA$23:$AD$31,4,FALSE)</f>
        <v>7.7104112966491103</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1</v>
      </c>
      <c r="N46" s="61">
        <f>MIN($G$6:$G$31)</f>
        <v>0.75834175935288195</v>
      </c>
      <c r="O46" s="61">
        <f>VLOOKUP(7,$E$5:$G$39,3,FALSE)</f>
        <v>5.9499214940913996</v>
      </c>
      <c r="P46" s="129">
        <f t="shared" ref="P46" si="28">$G$32</f>
        <v>5.6964365398100298</v>
      </c>
      <c r="Q46" s="129">
        <f t="shared" si="25"/>
        <v>5.6035098416782203</v>
      </c>
      <c r="R46" s="129">
        <f t="shared" si="26"/>
        <v>5.7908097650981301</v>
      </c>
      <c r="S46" s="61">
        <f>VLOOKUP(20,$E$5:$G$39,3,FALSE)</f>
        <v>6.9905956112852703</v>
      </c>
      <c r="T46" s="61">
        <f t="shared" si="27"/>
        <v>7.8422684980061996</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C2:D2" xr:uid="{00000000-0002-0000-1300-000000000000}">
      <formula1>"Better / Worse,Higher / Lower,Significance not measured"</formula1>
    </dataValidation>
    <dataValidation type="list" allowBlank="1" showInputMessage="1" showErrorMessage="1" sqref="K2:N2" xr:uid="{00000000-0002-0000-1300-000001000000}">
      <formula1>"High = Worst,Low = Worst"</formula1>
    </dataValidation>
  </dataValidations>
  <pageMargins left="0.75" right="0.75" top="1" bottom="1" header="0.5" footer="0.5"/>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tabColor theme="6" tint="0.39997558519241921"/>
  </sheetPr>
  <dimension ref="A1:AK55"/>
  <sheetViews>
    <sheetView workbookViewId="0">
      <selection activeCell="A46" sqref="A46:XFD46"/>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8" width="7.33203125" style="21" customWidth="1"/>
    <col min="9" max="9" width="6.886718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5.554687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21</v>
      </c>
      <c r="F6" s="128">
        <v>618</v>
      </c>
      <c r="G6" s="129">
        <v>6.4529602171870097</v>
      </c>
      <c r="H6" s="129">
        <v>5.9781383082533504</v>
      </c>
      <c r="I6" s="129">
        <v>6.9627026831109502</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1</v>
      </c>
      <c r="N6" s="61">
        <f>MIN($G$6:$G$32)</f>
        <v>2.4640657084188899</v>
      </c>
      <c r="O6" s="61">
        <f>VLOOKUP(7,$E$5:$G$39,3,FALSE)</f>
        <v>5.0266388695853603</v>
      </c>
      <c r="P6" s="129">
        <f>$G$32</f>
        <v>5.7934579080787598</v>
      </c>
      <c r="Q6" s="129">
        <f>$H$32</f>
        <v>5.70854655045801</v>
      </c>
      <c r="R6" s="129">
        <f>$I$32</f>
        <v>5.8795535184876098</v>
      </c>
      <c r="S6" s="61">
        <f>VLOOKUP(20,$E$5:$G$39,3,FALSE)</f>
        <v>6.34071024189398</v>
      </c>
      <c r="T6" s="61">
        <f t="shared" ref="T6:T31" si="1">MAX($G$6:$G$31)</f>
        <v>9.9487977185818899</v>
      </c>
      <c r="U6" s="61">
        <f>VLOOKUP(C6,$C$43:$I$46,5,FALSE)</f>
        <v>4.7529124662270128</v>
      </c>
      <c r="V6" s="61"/>
      <c r="Y6" s="159" t="s">
        <v>33</v>
      </c>
      <c r="Z6" s="159" t="s">
        <v>58</v>
      </c>
      <c r="AA6" s="159" t="s">
        <v>163</v>
      </c>
      <c r="AB6" s="159">
        <f>RANK(AH6,$AH$6:$AH$13,1)</f>
        <v>1</v>
      </c>
      <c r="AC6" s="164">
        <f>MIN($AH$6:$AH$13)</f>
        <v>5.234375</v>
      </c>
      <c r="AD6" s="164">
        <f>MAX($AH$6:$AH$13)</f>
        <v>7.2173215717722501</v>
      </c>
      <c r="AE6" s="159"/>
      <c r="AF6" s="159">
        <f>VLOOKUP($Y6,$A$6:$I$31,5,FALSE)</f>
        <v>9</v>
      </c>
      <c r="AG6" s="160">
        <f>VLOOKUP($Y6,$A$6:$I$31,6,FALSE)</f>
        <v>670</v>
      </c>
      <c r="AH6" s="161">
        <f>VLOOKUP($Y6,$A$6:$I$31,7,FALSE)</f>
        <v>5.234375</v>
      </c>
      <c r="AI6" s="161">
        <f>VLOOKUP($Y6,$A$6:$I$31,8,FALSE)</f>
        <v>4.8617955250276603</v>
      </c>
      <c r="AJ6" s="161">
        <f>VLOOKUP($Y6,$A$6:$I$31,9,FALSE)</f>
        <v>5.6338159923650997</v>
      </c>
      <c r="AK6" s="160">
        <f>VLOOKUP($Y6,$A$6:$M$31,13,FALSE)</f>
        <v>2</v>
      </c>
    </row>
    <row r="7" spans="1:37" x14ac:dyDescent="0.2">
      <c r="A7" s="62" t="s">
        <v>30</v>
      </c>
      <c r="B7" s="62" t="s">
        <v>56</v>
      </c>
      <c r="C7" s="62" t="s">
        <v>200</v>
      </c>
      <c r="D7" s="62"/>
      <c r="E7" s="62">
        <f t="shared" ref="E7:E31" si="2">RANK(G7,$G$6:$G$31,1)</f>
        <v>25</v>
      </c>
      <c r="F7" s="128">
        <v>876</v>
      </c>
      <c r="G7" s="129">
        <v>7.7901289461983101</v>
      </c>
      <c r="H7" s="129">
        <v>7.3090487708762</v>
      </c>
      <c r="I7" s="129">
        <v>8.3000383093214101</v>
      </c>
      <c r="J7" s="129"/>
      <c r="K7" s="129"/>
      <c r="L7" s="129"/>
      <c r="M7" s="60">
        <f t="shared" si="0"/>
        <v>1</v>
      </c>
      <c r="N7" s="61">
        <f t="shared" ref="N7:N31" si="3">MIN($G$6:$G$32)</f>
        <v>2.4640657084188899</v>
      </c>
      <c r="O7" s="61">
        <f>VLOOKUP(7,$E$5:$G$39,3,FALSE)</f>
        <v>5.0266388695853603</v>
      </c>
      <c r="P7" s="129">
        <f t="shared" ref="P7:P31" si="4">$G$32</f>
        <v>5.7934579080787598</v>
      </c>
      <c r="Q7" s="129">
        <f t="shared" ref="Q7:Q31" si="5">$H$32</f>
        <v>5.70854655045801</v>
      </c>
      <c r="R7" s="129">
        <f t="shared" ref="R7:R31" si="6">$I$32</f>
        <v>5.8795535184876098</v>
      </c>
      <c r="S7" s="61">
        <f t="shared" ref="S7:S31" si="7">VLOOKUP(20,$E$5:$G$39,3,FALSE)</f>
        <v>6.34071024189398</v>
      </c>
      <c r="T7" s="61">
        <f t="shared" si="1"/>
        <v>9.9487977185818899</v>
      </c>
      <c r="U7" s="61">
        <f>VLOOKUP(C7,$C$43:$I$46,5,FALSE)</f>
        <v>6.7167902351862807</v>
      </c>
      <c r="V7" s="61"/>
      <c r="Y7" s="159" t="s">
        <v>35</v>
      </c>
      <c r="Z7" s="159" t="s">
        <v>60</v>
      </c>
      <c r="AA7" s="159" t="s">
        <v>163</v>
      </c>
      <c r="AB7" s="159">
        <f t="shared" ref="AB7:AB12" si="8">RANK(AH7,$AH$6:$AH$13,1)</f>
        <v>3</v>
      </c>
      <c r="AC7" s="164">
        <f>MIN($AH$6:$AH$13)</f>
        <v>5.234375</v>
      </c>
      <c r="AD7" s="164">
        <f t="shared" ref="AD7:AD13" si="9">MAX($AH$6:$AH$13)</f>
        <v>7.2173215717722501</v>
      </c>
      <c r="AE7" s="159"/>
      <c r="AF7" s="159">
        <f t="shared" ref="AF7:AF31" si="10">VLOOKUP($Y7,$A$6:$I$31,5,FALSE)</f>
        <v>13</v>
      </c>
      <c r="AG7" s="160">
        <f t="shared" ref="AG7:AG31" si="11">VLOOKUP($Y7,$A$6:$I$31,6,FALSE)</f>
        <v>845</v>
      </c>
      <c r="AH7" s="161">
        <f t="shared" ref="AH7:AH31" si="12">VLOOKUP($Y7,$A$6:$I$31,7,FALSE)</f>
        <v>5.9041363890441598</v>
      </c>
      <c r="AI7" s="161">
        <f t="shared" ref="AI7:AI31" si="13">VLOOKUP($Y7,$A$6:$I$31,8,FALSE)</f>
        <v>5.5296846998923996</v>
      </c>
      <c r="AJ7" s="161">
        <f t="shared" ref="AJ7:AJ31" si="14">VLOOKUP($Y7,$A$6:$I$31,9,FALSE)</f>
        <v>6.3022531131450199</v>
      </c>
      <c r="AK7" s="160">
        <f t="shared" ref="AK7:AK31" si="15">VLOOKUP($Y7,$A$6:$M$31,13,FALSE)</f>
        <v>5</v>
      </c>
    </row>
    <row r="8" spans="1:37" x14ac:dyDescent="0.2">
      <c r="A8" s="62" t="s">
        <v>31</v>
      </c>
      <c r="B8" s="62" t="s">
        <v>57</v>
      </c>
      <c r="C8" s="62" t="s">
        <v>200</v>
      </c>
      <c r="D8" s="62"/>
      <c r="E8" s="62">
        <f t="shared" si="2"/>
        <v>16</v>
      </c>
      <c r="F8" s="128">
        <v>748</v>
      </c>
      <c r="G8" s="129">
        <v>6.0332311663171501</v>
      </c>
      <c r="H8" s="129">
        <v>5.6275773523132999</v>
      </c>
      <c r="I8" s="129">
        <v>6.4661223115696496</v>
      </c>
      <c r="J8" s="129"/>
      <c r="K8" s="129"/>
      <c r="L8" s="129"/>
      <c r="M8" s="60">
        <f t="shared" si="0"/>
        <v>5</v>
      </c>
      <c r="N8" s="61">
        <f t="shared" si="3"/>
        <v>2.4640657084188899</v>
      </c>
      <c r="O8" s="61">
        <f t="shared" ref="O8:O31" si="16">VLOOKUP(7,$E$5:$G$39,3,FALSE)</f>
        <v>5.0266388695853603</v>
      </c>
      <c r="P8" s="129">
        <f t="shared" si="4"/>
        <v>5.7934579080787598</v>
      </c>
      <c r="Q8" s="129">
        <f t="shared" si="5"/>
        <v>5.70854655045801</v>
      </c>
      <c r="R8" s="129">
        <f t="shared" si="6"/>
        <v>5.8795535184876098</v>
      </c>
      <c r="S8" s="61">
        <f t="shared" si="7"/>
        <v>6.34071024189398</v>
      </c>
      <c r="T8" s="61">
        <f t="shared" si="1"/>
        <v>9.9487977185818899</v>
      </c>
      <c r="U8" s="61">
        <f t="shared" ref="U8:U31" si="17">VLOOKUP(C8,$C$43:$I$46,5,FALSE)</f>
        <v>6.7167902351862807</v>
      </c>
      <c r="V8" s="61"/>
      <c r="Y8" s="159" t="s">
        <v>41</v>
      </c>
      <c r="Z8" s="159" t="s">
        <v>64</v>
      </c>
      <c r="AA8" s="159" t="s">
        <v>163</v>
      </c>
      <c r="AB8" s="159">
        <f t="shared" si="8"/>
        <v>6</v>
      </c>
      <c r="AC8" s="164">
        <f t="shared" ref="AC8:AC13" si="18">MIN($AH$6:$AH$13)</f>
        <v>5.234375</v>
      </c>
      <c r="AD8" s="164">
        <f>MAX($AH$6:$AH$13)</f>
        <v>7.2173215717722501</v>
      </c>
      <c r="AE8" s="159"/>
      <c r="AF8" s="159">
        <f t="shared" si="10"/>
        <v>18</v>
      </c>
      <c r="AG8" s="160">
        <f t="shared" si="11"/>
        <v>677</v>
      </c>
      <c r="AH8" s="161">
        <f t="shared" si="12"/>
        <v>6.25</v>
      </c>
      <c r="AI8" s="161">
        <f t="shared" si="13"/>
        <v>5.8094796449147497</v>
      </c>
      <c r="AJ8" s="161">
        <f t="shared" si="14"/>
        <v>6.7215403407585397</v>
      </c>
      <c r="AK8" s="160">
        <f t="shared" si="15"/>
        <v>5</v>
      </c>
    </row>
    <row r="9" spans="1:37" x14ac:dyDescent="0.2">
      <c r="A9" s="62" t="s">
        <v>32</v>
      </c>
      <c r="B9" s="62" t="s">
        <v>156</v>
      </c>
      <c r="C9" s="62" t="s">
        <v>201</v>
      </c>
      <c r="D9" s="62"/>
      <c r="E9" s="62">
        <f t="shared" si="2"/>
        <v>6</v>
      </c>
      <c r="F9" s="128">
        <v>869</v>
      </c>
      <c r="G9" s="129">
        <v>5.0112450262383899</v>
      </c>
      <c r="H9" s="129">
        <v>4.6963639016980103</v>
      </c>
      <c r="I9" s="129">
        <v>5.3460539719740598</v>
      </c>
      <c r="J9" s="129"/>
      <c r="K9" s="129"/>
      <c r="L9" s="129"/>
      <c r="M9" s="60">
        <f t="shared" si="0"/>
        <v>2</v>
      </c>
      <c r="N9" s="61">
        <f t="shared" si="3"/>
        <v>2.4640657084188899</v>
      </c>
      <c r="O9" s="61">
        <f t="shared" si="16"/>
        <v>5.0266388695853603</v>
      </c>
      <c r="P9" s="129">
        <f t="shared" si="4"/>
        <v>5.7934579080787598</v>
      </c>
      <c r="Q9" s="129">
        <f t="shared" si="5"/>
        <v>5.70854655045801</v>
      </c>
      <c r="R9" s="129">
        <f t="shared" si="6"/>
        <v>5.8795535184876098</v>
      </c>
      <c r="S9" s="61">
        <f t="shared" si="7"/>
        <v>6.34071024189398</v>
      </c>
      <c r="T9" s="61">
        <f t="shared" si="1"/>
        <v>9.9487977185818899</v>
      </c>
      <c r="U9" s="61">
        <f t="shared" si="17"/>
        <v>4.7529124662270128</v>
      </c>
      <c r="V9" s="61"/>
      <c r="X9" s="63"/>
      <c r="Y9" s="159" t="s">
        <v>45</v>
      </c>
      <c r="Z9" s="159" t="s">
        <v>67</v>
      </c>
      <c r="AA9" s="159" t="s">
        <v>163</v>
      </c>
      <c r="AB9" s="159">
        <f t="shared" si="8"/>
        <v>8</v>
      </c>
      <c r="AC9" s="164">
        <f t="shared" si="18"/>
        <v>5.234375</v>
      </c>
      <c r="AD9" s="164">
        <f t="shared" si="9"/>
        <v>7.2173215717722501</v>
      </c>
      <c r="AE9" s="159"/>
      <c r="AF9" s="159">
        <f t="shared" si="10"/>
        <v>23</v>
      </c>
      <c r="AG9" s="160">
        <f t="shared" si="11"/>
        <v>630</v>
      </c>
      <c r="AH9" s="161">
        <f t="shared" si="12"/>
        <v>7.2173215717722501</v>
      </c>
      <c r="AI9" s="161">
        <f t="shared" si="13"/>
        <v>6.6930749656490098</v>
      </c>
      <c r="AJ9" s="161">
        <f t="shared" si="14"/>
        <v>7.77920722085672</v>
      </c>
      <c r="AK9" s="160">
        <f t="shared" si="15"/>
        <v>1</v>
      </c>
    </row>
    <row r="10" spans="1:37" x14ac:dyDescent="0.2">
      <c r="A10" s="62" t="s">
        <v>33</v>
      </c>
      <c r="B10" s="62" t="s">
        <v>58</v>
      </c>
      <c r="C10" s="62" t="s">
        <v>163</v>
      </c>
      <c r="D10" s="62"/>
      <c r="E10" s="62">
        <f t="shared" si="2"/>
        <v>9</v>
      </c>
      <c r="F10" s="128">
        <v>670</v>
      </c>
      <c r="G10" s="129">
        <v>5.234375</v>
      </c>
      <c r="H10" s="129">
        <v>4.8617955250276603</v>
      </c>
      <c r="I10" s="129">
        <v>5.6338159923650997</v>
      </c>
      <c r="J10" s="129"/>
      <c r="K10" s="129"/>
      <c r="L10" s="129"/>
      <c r="M10" s="60">
        <f t="shared" si="0"/>
        <v>2</v>
      </c>
      <c r="N10" s="61">
        <f t="shared" si="3"/>
        <v>2.4640657084188899</v>
      </c>
      <c r="O10" s="61">
        <f t="shared" si="16"/>
        <v>5.0266388695853603</v>
      </c>
      <c r="P10" s="129">
        <f t="shared" si="4"/>
        <v>5.7934579080787598</v>
      </c>
      <c r="Q10" s="129">
        <f t="shared" si="5"/>
        <v>5.70854655045801</v>
      </c>
      <c r="R10" s="129">
        <f t="shared" si="6"/>
        <v>5.8795535184876098</v>
      </c>
      <c r="S10" s="61">
        <f t="shared" si="7"/>
        <v>6.34071024189398</v>
      </c>
      <c r="T10" s="61">
        <f t="shared" si="1"/>
        <v>9.9487977185818899</v>
      </c>
      <c r="U10" s="61">
        <f t="shared" si="17"/>
        <v>6.0797830263306585</v>
      </c>
      <c r="V10" s="61"/>
      <c r="Y10" s="159" t="s">
        <v>46</v>
      </c>
      <c r="Z10" s="159" t="s">
        <v>68</v>
      </c>
      <c r="AA10" s="159" t="s">
        <v>163</v>
      </c>
      <c r="AB10" s="159">
        <f t="shared" si="8"/>
        <v>7</v>
      </c>
      <c r="AC10" s="164">
        <f t="shared" si="18"/>
        <v>5.234375</v>
      </c>
      <c r="AD10" s="164">
        <f t="shared" si="9"/>
        <v>7.2173215717722501</v>
      </c>
      <c r="AE10" s="159"/>
      <c r="AF10" s="159">
        <f t="shared" si="10"/>
        <v>19</v>
      </c>
      <c r="AG10" s="160">
        <f t="shared" si="11"/>
        <v>684</v>
      </c>
      <c r="AH10" s="161">
        <f t="shared" si="12"/>
        <v>6.2597236203898596</v>
      </c>
      <c r="AI10" s="161">
        <f t="shared" si="13"/>
        <v>5.8207243397578203</v>
      </c>
      <c r="AJ10" s="161">
        <f t="shared" si="14"/>
        <v>6.7294664574353797</v>
      </c>
      <c r="AK10" s="160">
        <f t="shared" si="15"/>
        <v>5</v>
      </c>
    </row>
    <row r="11" spans="1:37" x14ac:dyDescent="0.2">
      <c r="A11" s="62" t="s">
        <v>34</v>
      </c>
      <c r="B11" s="62" t="s">
        <v>59</v>
      </c>
      <c r="C11" s="62" t="s">
        <v>200</v>
      </c>
      <c r="D11" s="62"/>
      <c r="E11" s="62">
        <f t="shared" si="2"/>
        <v>26</v>
      </c>
      <c r="F11" s="128">
        <v>1535</v>
      </c>
      <c r="G11" s="129">
        <v>9.9487977185818899</v>
      </c>
      <c r="H11" s="129">
        <v>9.48643005532392</v>
      </c>
      <c r="I11" s="129">
        <v>10.431104036000701</v>
      </c>
      <c r="J11" s="129"/>
      <c r="K11" s="129"/>
      <c r="L11" s="129"/>
      <c r="M11" s="60">
        <f t="shared" si="0"/>
        <v>1</v>
      </c>
      <c r="N11" s="61">
        <f t="shared" si="3"/>
        <v>2.4640657084188899</v>
      </c>
      <c r="O11" s="61">
        <f t="shared" si="16"/>
        <v>5.0266388695853603</v>
      </c>
      <c r="P11" s="129">
        <f t="shared" si="4"/>
        <v>5.7934579080787598</v>
      </c>
      <c r="Q11" s="129">
        <f t="shared" si="5"/>
        <v>5.70854655045801</v>
      </c>
      <c r="R11" s="129">
        <f t="shared" si="6"/>
        <v>5.8795535184876098</v>
      </c>
      <c r="S11" s="61">
        <f t="shared" si="7"/>
        <v>6.34071024189398</v>
      </c>
      <c r="T11" s="61">
        <f t="shared" si="1"/>
        <v>9.9487977185818899</v>
      </c>
      <c r="U11" s="61">
        <f t="shared" si="17"/>
        <v>6.7167902351862807</v>
      </c>
      <c r="V11" s="61"/>
      <c r="Y11" s="159" t="s">
        <v>47</v>
      </c>
      <c r="Z11" s="159" t="s">
        <v>69</v>
      </c>
      <c r="AA11" s="159" t="s">
        <v>163</v>
      </c>
      <c r="AB11" s="159">
        <f t="shared" si="8"/>
        <v>4</v>
      </c>
      <c r="AC11" s="164">
        <f t="shared" si="18"/>
        <v>5.234375</v>
      </c>
      <c r="AD11" s="164">
        <f t="shared" si="9"/>
        <v>7.2173215717722501</v>
      </c>
      <c r="AE11" s="159"/>
      <c r="AF11" s="159">
        <f t="shared" si="10"/>
        <v>14</v>
      </c>
      <c r="AG11" s="160">
        <f t="shared" si="11"/>
        <v>330</v>
      </c>
      <c r="AH11" s="161">
        <f t="shared" si="12"/>
        <v>5.99237334301798</v>
      </c>
      <c r="AI11" s="161">
        <f t="shared" si="13"/>
        <v>5.3956565766596096</v>
      </c>
      <c r="AJ11" s="161">
        <f t="shared" si="14"/>
        <v>6.65044316656825</v>
      </c>
      <c r="AK11" s="160">
        <f t="shared" si="15"/>
        <v>5</v>
      </c>
    </row>
    <row r="12" spans="1:37" x14ac:dyDescent="0.2">
      <c r="A12" s="62" t="s">
        <v>35</v>
      </c>
      <c r="B12" s="62" t="s">
        <v>60</v>
      </c>
      <c r="C12" s="62" t="s">
        <v>163</v>
      </c>
      <c r="D12" s="62"/>
      <c r="E12" s="62">
        <f t="shared" si="2"/>
        <v>13</v>
      </c>
      <c r="F12" s="128">
        <v>845</v>
      </c>
      <c r="G12" s="129">
        <v>5.9041363890441598</v>
      </c>
      <c r="H12" s="129">
        <v>5.5296846998923996</v>
      </c>
      <c r="I12" s="129">
        <v>6.3022531131450199</v>
      </c>
      <c r="J12" s="129"/>
      <c r="K12" s="129"/>
      <c r="L12" s="129"/>
      <c r="M12" s="60">
        <f t="shared" si="0"/>
        <v>5</v>
      </c>
      <c r="N12" s="61">
        <f t="shared" si="3"/>
        <v>2.4640657084188899</v>
      </c>
      <c r="O12" s="61">
        <f t="shared" si="16"/>
        <v>5.0266388695853603</v>
      </c>
      <c r="P12" s="129">
        <f t="shared" si="4"/>
        <v>5.7934579080787598</v>
      </c>
      <c r="Q12" s="129">
        <f t="shared" si="5"/>
        <v>5.70854655045801</v>
      </c>
      <c r="R12" s="129">
        <f t="shared" si="6"/>
        <v>5.8795535184876098</v>
      </c>
      <c r="S12" s="61">
        <f t="shared" si="7"/>
        <v>6.34071024189398</v>
      </c>
      <c r="T12" s="61">
        <f t="shared" si="1"/>
        <v>9.9487977185818899</v>
      </c>
      <c r="U12" s="61">
        <f t="shared" si="17"/>
        <v>6.0797830263306585</v>
      </c>
      <c r="V12" s="61"/>
      <c r="Y12" s="159" t="s">
        <v>50</v>
      </c>
      <c r="Z12" s="159" t="s">
        <v>161</v>
      </c>
      <c r="AA12" s="159" t="s">
        <v>163</v>
      </c>
      <c r="AB12" s="159">
        <f t="shared" si="8"/>
        <v>2</v>
      </c>
      <c r="AC12" s="164">
        <f t="shared" si="18"/>
        <v>5.234375</v>
      </c>
      <c r="AD12" s="164">
        <f t="shared" si="9"/>
        <v>7.2173215717722501</v>
      </c>
      <c r="AE12" s="159"/>
      <c r="AF12" s="159">
        <f t="shared" si="10"/>
        <v>10</v>
      </c>
      <c r="AG12" s="160">
        <f t="shared" si="11"/>
        <v>296</v>
      </c>
      <c r="AH12" s="161">
        <f t="shared" si="12"/>
        <v>5.2538161164359201</v>
      </c>
      <c r="AI12" s="161">
        <f t="shared" si="13"/>
        <v>4.7011226232161096</v>
      </c>
      <c r="AJ12" s="161">
        <f t="shared" si="14"/>
        <v>5.8674870685032099</v>
      </c>
      <c r="AK12" s="160">
        <f t="shared" si="15"/>
        <v>5</v>
      </c>
    </row>
    <row r="13" spans="1:37" x14ac:dyDescent="0.2">
      <c r="A13" s="62" t="s">
        <v>36</v>
      </c>
      <c r="B13" s="62" t="s">
        <v>61</v>
      </c>
      <c r="C13" s="62" t="s">
        <v>201</v>
      </c>
      <c r="D13" s="62"/>
      <c r="E13" s="62">
        <f t="shared" si="2"/>
        <v>1</v>
      </c>
      <c r="F13" s="128">
        <v>456</v>
      </c>
      <c r="G13" s="129">
        <v>2.4640657084188899</v>
      </c>
      <c r="H13" s="129">
        <v>2.25037915184175</v>
      </c>
      <c r="I13" s="129">
        <v>2.69748310218236</v>
      </c>
      <c r="J13" s="129"/>
      <c r="K13" s="129"/>
      <c r="L13" s="129"/>
      <c r="M13" s="60">
        <f t="shared" si="0"/>
        <v>2</v>
      </c>
      <c r="N13" s="61">
        <f t="shared" si="3"/>
        <v>2.4640657084188899</v>
      </c>
      <c r="O13" s="61">
        <f t="shared" si="16"/>
        <v>5.0266388695853603</v>
      </c>
      <c r="P13" s="129">
        <f t="shared" si="4"/>
        <v>5.7934579080787598</v>
      </c>
      <c r="Q13" s="129">
        <f t="shared" si="5"/>
        <v>5.70854655045801</v>
      </c>
      <c r="R13" s="129">
        <f t="shared" si="6"/>
        <v>5.8795535184876098</v>
      </c>
      <c r="S13" s="61">
        <f t="shared" si="7"/>
        <v>6.34071024189398</v>
      </c>
      <c r="T13" s="61">
        <f t="shared" si="1"/>
        <v>9.9487977185818899</v>
      </c>
      <c r="U13" s="61">
        <f t="shared" si="17"/>
        <v>4.7529124662270128</v>
      </c>
      <c r="V13" s="61"/>
      <c r="Y13" s="159" t="s">
        <v>53</v>
      </c>
      <c r="Z13" s="159" t="s">
        <v>162</v>
      </c>
      <c r="AA13" s="159" t="s">
        <v>163</v>
      </c>
      <c r="AB13" s="159">
        <f>RANK(AH13,$AH$6:$AH$13,1)</f>
        <v>5</v>
      </c>
      <c r="AC13" s="164">
        <f t="shared" si="18"/>
        <v>5.234375</v>
      </c>
      <c r="AD13" s="164">
        <f t="shared" si="9"/>
        <v>7.2173215717722501</v>
      </c>
      <c r="AE13" s="159"/>
      <c r="AF13" s="159">
        <f t="shared" si="10"/>
        <v>17</v>
      </c>
      <c r="AG13" s="160">
        <f t="shared" si="11"/>
        <v>1786</v>
      </c>
      <c r="AH13" s="161">
        <f t="shared" si="12"/>
        <v>6.2451919714665403</v>
      </c>
      <c r="AI13" s="161">
        <f t="shared" si="13"/>
        <v>5.9705794220734401</v>
      </c>
      <c r="AJ13" s="161">
        <f t="shared" si="14"/>
        <v>6.5315577706279004</v>
      </c>
      <c r="AK13" s="160">
        <f t="shared" si="15"/>
        <v>1</v>
      </c>
    </row>
    <row r="14" spans="1:37" x14ac:dyDescent="0.2">
      <c r="A14" s="62" t="s">
        <v>37</v>
      </c>
      <c r="B14" s="62" t="s">
        <v>157</v>
      </c>
      <c r="C14" s="62" t="s">
        <v>201</v>
      </c>
      <c r="D14" s="62"/>
      <c r="E14" s="62">
        <f t="shared" si="2"/>
        <v>4</v>
      </c>
      <c r="F14" s="128">
        <v>967</v>
      </c>
      <c r="G14" s="129">
        <v>4.0211244178310004</v>
      </c>
      <c r="H14" s="129">
        <v>3.78008294989325</v>
      </c>
      <c r="I14" s="129">
        <v>4.2768529904940404</v>
      </c>
      <c r="J14" s="129"/>
      <c r="K14" s="129"/>
      <c r="L14" s="129"/>
      <c r="M14" s="60">
        <f t="shared" si="0"/>
        <v>2</v>
      </c>
      <c r="N14" s="61">
        <f t="shared" si="3"/>
        <v>2.4640657084188899</v>
      </c>
      <c r="O14" s="61">
        <f t="shared" si="16"/>
        <v>5.0266388695853603</v>
      </c>
      <c r="P14" s="129">
        <f t="shared" si="4"/>
        <v>5.7934579080787598</v>
      </c>
      <c r="Q14" s="129">
        <f t="shared" si="5"/>
        <v>5.70854655045801</v>
      </c>
      <c r="R14" s="129">
        <f t="shared" si="6"/>
        <v>5.8795535184876098</v>
      </c>
      <c r="S14" s="61">
        <f t="shared" si="7"/>
        <v>6.34071024189398</v>
      </c>
      <c r="T14" s="61">
        <f t="shared" si="1"/>
        <v>9.9487977185818899</v>
      </c>
      <c r="U14" s="61">
        <f t="shared" si="17"/>
        <v>4.7529124662270128</v>
      </c>
      <c r="V14" s="61"/>
      <c r="Y14" s="162" t="s">
        <v>29</v>
      </c>
      <c r="Z14" s="162" t="s">
        <v>55</v>
      </c>
      <c r="AA14" s="162" t="s">
        <v>201</v>
      </c>
      <c r="AB14" s="162">
        <f>RANK(AH14,$AH$14:$AH$22,1)</f>
        <v>7</v>
      </c>
      <c r="AC14" s="165">
        <f t="shared" ref="AC14:AC22" si="19">MIN($AH$14:$AH$22)</f>
        <v>2.4640657084188899</v>
      </c>
      <c r="AD14" s="165">
        <f>MAX($AH$14:$AH$22)</f>
        <v>7.6347061696239598</v>
      </c>
      <c r="AE14" s="162"/>
      <c r="AF14" s="162">
        <f t="shared" si="10"/>
        <v>21</v>
      </c>
      <c r="AG14" s="167">
        <f t="shared" si="11"/>
        <v>618</v>
      </c>
      <c r="AH14" s="165">
        <f t="shared" si="12"/>
        <v>6.4529602171870097</v>
      </c>
      <c r="AI14" s="165">
        <f t="shared" si="13"/>
        <v>5.9781383082533504</v>
      </c>
      <c r="AJ14" s="165">
        <f t="shared" si="14"/>
        <v>6.9627026831109502</v>
      </c>
      <c r="AK14" s="167">
        <f t="shared" si="15"/>
        <v>1</v>
      </c>
    </row>
    <row r="15" spans="1:37" x14ac:dyDescent="0.2">
      <c r="A15" s="62" t="s">
        <v>38</v>
      </c>
      <c r="B15" s="62" t="s">
        <v>62</v>
      </c>
      <c r="C15" s="62" t="s">
        <v>201</v>
      </c>
      <c r="D15" s="62"/>
      <c r="E15" s="62">
        <f t="shared" si="2"/>
        <v>22</v>
      </c>
      <c r="F15" s="128">
        <v>476</v>
      </c>
      <c r="G15" s="129">
        <v>6.6638667226655501</v>
      </c>
      <c r="H15" s="129">
        <v>6.1084897693362796</v>
      </c>
      <c r="I15" s="129">
        <v>7.2658304017231501</v>
      </c>
      <c r="J15" s="129"/>
      <c r="K15" s="129"/>
      <c r="L15" s="129"/>
      <c r="M15" s="60">
        <f t="shared" si="0"/>
        <v>1</v>
      </c>
      <c r="N15" s="61">
        <f t="shared" si="3"/>
        <v>2.4640657084188899</v>
      </c>
      <c r="O15" s="61">
        <f t="shared" si="16"/>
        <v>5.0266388695853603</v>
      </c>
      <c r="P15" s="129">
        <f t="shared" si="4"/>
        <v>5.7934579080787598</v>
      </c>
      <c r="Q15" s="129">
        <f t="shared" si="5"/>
        <v>5.70854655045801</v>
      </c>
      <c r="R15" s="129">
        <f t="shared" si="6"/>
        <v>5.8795535184876098</v>
      </c>
      <c r="S15" s="61">
        <f t="shared" si="7"/>
        <v>6.34071024189398</v>
      </c>
      <c r="T15" s="61">
        <f t="shared" si="1"/>
        <v>9.9487977185818899</v>
      </c>
      <c r="U15" s="61">
        <f t="shared" si="17"/>
        <v>4.7529124662270128</v>
      </c>
      <c r="V15" s="61"/>
      <c r="Y15" s="162" t="s">
        <v>32</v>
      </c>
      <c r="Z15" s="162" t="s">
        <v>156</v>
      </c>
      <c r="AA15" s="162" t="s">
        <v>201</v>
      </c>
      <c r="AB15" s="162">
        <f>RANK(AH15,$AH$14:$AH$22,1)</f>
        <v>5</v>
      </c>
      <c r="AC15" s="165">
        <f t="shared" si="19"/>
        <v>2.4640657084188899</v>
      </c>
      <c r="AD15" s="165">
        <f t="shared" ref="AD15:AD22" si="20">MAX($AH$14:$AH$22)</f>
        <v>7.6347061696239598</v>
      </c>
      <c r="AE15" s="162"/>
      <c r="AF15" s="162">
        <f t="shared" si="10"/>
        <v>6</v>
      </c>
      <c r="AG15" s="167">
        <f t="shared" si="11"/>
        <v>869</v>
      </c>
      <c r="AH15" s="165">
        <f t="shared" si="12"/>
        <v>5.0112450262383899</v>
      </c>
      <c r="AI15" s="165">
        <f t="shared" si="13"/>
        <v>4.6963639016980103</v>
      </c>
      <c r="AJ15" s="165">
        <f t="shared" si="14"/>
        <v>5.3460539719740598</v>
      </c>
      <c r="AK15" s="167">
        <f t="shared" si="15"/>
        <v>2</v>
      </c>
    </row>
    <row r="16" spans="1:37" x14ac:dyDescent="0.2">
      <c r="A16" s="62" t="s">
        <v>39</v>
      </c>
      <c r="B16" s="62" t="s">
        <v>158</v>
      </c>
      <c r="C16" s="62" t="s">
        <v>200</v>
      </c>
      <c r="D16" s="62"/>
      <c r="E16" s="62">
        <f t="shared" si="2"/>
        <v>12</v>
      </c>
      <c r="F16" s="128">
        <v>884</v>
      </c>
      <c r="G16" s="129">
        <v>5.8811788969463104</v>
      </c>
      <c r="H16" s="129">
        <v>5.5162121620641598</v>
      </c>
      <c r="I16" s="129">
        <v>6.2686906829284901</v>
      </c>
      <c r="J16" s="129"/>
      <c r="K16" s="129"/>
      <c r="L16" s="129"/>
      <c r="M16" s="60">
        <f t="shared" si="0"/>
        <v>5</v>
      </c>
      <c r="N16" s="61">
        <f t="shared" si="3"/>
        <v>2.4640657084188899</v>
      </c>
      <c r="O16" s="61">
        <f t="shared" si="16"/>
        <v>5.0266388695853603</v>
      </c>
      <c r="P16" s="129">
        <f t="shared" si="4"/>
        <v>5.7934579080787598</v>
      </c>
      <c r="Q16" s="129">
        <f t="shared" si="5"/>
        <v>5.70854655045801</v>
      </c>
      <c r="R16" s="129">
        <f t="shared" si="6"/>
        <v>5.8795535184876098</v>
      </c>
      <c r="S16" s="61">
        <f t="shared" si="7"/>
        <v>6.34071024189398</v>
      </c>
      <c r="T16" s="61">
        <f t="shared" si="1"/>
        <v>9.9487977185818899</v>
      </c>
      <c r="U16" s="61">
        <f t="shared" si="17"/>
        <v>6.7167902351862807</v>
      </c>
      <c r="V16" s="61"/>
      <c r="Y16" s="162" t="s">
        <v>36</v>
      </c>
      <c r="Z16" s="162" t="s">
        <v>61</v>
      </c>
      <c r="AA16" s="162" t="s">
        <v>201</v>
      </c>
      <c r="AB16" s="162">
        <f>RANK(AH16,$AH$14:$AH$22,1)</f>
        <v>1</v>
      </c>
      <c r="AC16" s="165">
        <f t="shared" si="19"/>
        <v>2.4640657084188899</v>
      </c>
      <c r="AD16" s="165">
        <f t="shared" si="20"/>
        <v>7.6347061696239598</v>
      </c>
      <c r="AE16" s="162"/>
      <c r="AF16" s="162">
        <f t="shared" si="10"/>
        <v>1</v>
      </c>
      <c r="AG16" s="167">
        <f t="shared" si="11"/>
        <v>456</v>
      </c>
      <c r="AH16" s="165">
        <f t="shared" si="12"/>
        <v>2.4640657084188899</v>
      </c>
      <c r="AI16" s="165">
        <f t="shared" si="13"/>
        <v>2.25037915184175</v>
      </c>
      <c r="AJ16" s="165">
        <f t="shared" si="14"/>
        <v>2.69748310218236</v>
      </c>
      <c r="AK16" s="167">
        <f t="shared" si="15"/>
        <v>2</v>
      </c>
    </row>
    <row r="17" spans="1:37" x14ac:dyDescent="0.2">
      <c r="A17" s="62" t="s">
        <v>40</v>
      </c>
      <c r="B17" s="62" t="s">
        <v>63</v>
      </c>
      <c r="C17" s="62" t="s">
        <v>200</v>
      </c>
      <c r="D17" s="62"/>
      <c r="E17" s="62">
        <f t="shared" si="2"/>
        <v>15</v>
      </c>
      <c r="F17" s="128">
        <v>492</v>
      </c>
      <c r="G17" s="129">
        <v>6.0168766051119</v>
      </c>
      <c r="H17" s="129">
        <v>5.5218165931487402</v>
      </c>
      <c r="I17" s="129">
        <v>6.55324272432025</v>
      </c>
      <c r="J17" s="129"/>
      <c r="K17" s="129"/>
      <c r="L17" s="129"/>
      <c r="M17" s="60">
        <f t="shared" si="0"/>
        <v>5</v>
      </c>
      <c r="N17" s="61">
        <f t="shared" si="3"/>
        <v>2.4640657084188899</v>
      </c>
      <c r="O17" s="61">
        <f t="shared" si="16"/>
        <v>5.0266388695853603</v>
      </c>
      <c r="P17" s="129">
        <f t="shared" si="4"/>
        <v>5.7934579080787598</v>
      </c>
      <c r="Q17" s="129">
        <f t="shared" si="5"/>
        <v>5.70854655045801</v>
      </c>
      <c r="R17" s="129">
        <f t="shared" si="6"/>
        <v>5.8795535184876098</v>
      </c>
      <c r="S17" s="61">
        <f t="shared" si="7"/>
        <v>6.34071024189398</v>
      </c>
      <c r="T17" s="61">
        <f t="shared" si="1"/>
        <v>9.9487977185818899</v>
      </c>
      <c r="U17" s="61">
        <f t="shared" si="17"/>
        <v>6.7167902351862807</v>
      </c>
      <c r="V17" s="61"/>
      <c r="Y17" s="162" t="s">
        <v>37</v>
      </c>
      <c r="Z17" s="162" t="s">
        <v>157</v>
      </c>
      <c r="AA17" s="162" t="s">
        <v>201</v>
      </c>
      <c r="AB17" s="162">
        <f t="shared" ref="AB17:AB22" si="21">RANK(AH17,$AH$14:$AH$22,1)</f>
        <v>4</v>
      </c>
      <c r="AC17" s="165">
        <f t="shared" si="19"/>
        <v>2.4640657084188899</v>
      </c>
      <c r="AD17" s="165">
        <f>MAX($AH$14:$AH$22)</f>
        <v>7.6347061696239598</v>
      </c>
      <c r="AE17" s="162"/>
      <c r="AF17" s="162">
        <f t="shared" si="10"/>
        <v>4</v>
      </c>
      <c r="AG17" s="167">
        <f t="shared" si="11"/>
        <v>967</v>
      </c>
      <c r="AH17" s="165">
        <f t="shared" si="12"/>
        <v>4.0211244178310004</v>
      </c>
      <c r="AI17" s="165">
        <f t="shared" si="13"/>
        <v>3.78008294989325</v>
      </c>
      <c r="AJ17" s="165">
        <f t="shared" si="14"/>
        <v>4.2768529904940404</v>
      </c>
      <c r="AK17" s="167">
        <f t="shared" si="15"/>
        <v>2</v>
      </c>
    </row>
    <row r="18" spans="1:37" x14ac:dyDescent="0.2">
      <c r="A18" s="62" t="s">
        <v>41</v>
      </c>
      <c r="B18" s="62" t="s">
        <v>64</v>
      </c>
      <c r="C18" s="62" t="s">
        <v>163</v>
      </c>
      <c r="D18" s="62"/>
      <c r="E18" s="62">
        <f t="shared" si="2"/>
        <v>18</v>
      </c>
      <c r="F18" s="128">
        <v>677</v>
      </c>
      <c r="G18" s="129">
        <v>6.25</v>
      </c>
      <c r="H18" s="129">
        <v>5.8094796449147497</v>
      </c>
      <c r="I18" s="129">
        <v>6.7215403407585397</v>
      </c>
      <c r="J18" s="129"/>
      <c r="K18" s="129"/>
      <c r="L18" s="129"/>
      <c r="M18" s="60">
        <f t="shared" si="0"/>
        <v>5</v>
      </c>
      <c r="N18" s="61">
        <f t="shared" si="3"/>
        <v>2.4640657084188899</v>
      </c>
      <c r="O18" s="61">
        <f t="shared" si="16"/>
        <v>5.0266388695853603</v>
      </c>
      <c r="P18" s="129">
        <f t="shared" si="4"/>
        <v>5.7934579080787598</v>
      </c>
      <c r="Q18" s="129">
        <f t="shared" si="5"/>
        <v>5.70854655045801</v>
      </c>
      <c r="R18" s="129">
        <f t="shared" si="6"/>
        <v>5.8795535184876098</v>
      </c>
      <c r="S18" s="61">
        <f t="shared" si="7"/>
        <v>6.34071024189398</v>
      </c>
      <c r="T18" s="61">
        <f t="shared" si="1"/>
        <v>9.9487977185818899</v>
      </c>
      <c r="U18" s="61">
        <f t="shared" si="17"/>
        <v>6.0797830263306585</v>
      </c>
      <c r="V18" s="61"/>
      <c r="Y18" s="162" t="s">
        <v>38</v>
      </c>
      <c r="Z18" s="162" t="s">
        <v>62</v>
      </c>
      <c r="AA18" s="162" t="s">
        <v>201</v>
      </c>
      <c r="AB18" s="162">
        <f t="shared" si="21"/>
        <v>8</v>
      </c>
      <c r="AC18" s="165">
        <f t="shared" si="19"/>
        <v>2.4640657084188899</v>
      </c>
      <c r="AD18" s="165">
        <f t="shared" si="20"/>
        <v>7.6347061696239598</v>
      </c>
      <c r="AE18" s="162"/>
      <c r="AF18" s="162">
        <f t="shared" si="10"/>
        <v>22</v>
      </c>
      <c r="AG18" s="167">
        <f t="shared" si="11"/>
        <v>476</v>
      </c>
      <c r="AH18" s="165">
        <f t="shared" si="12"/>
        <v>6.6638667226655501</v>
      </c>
      <c r="AI18" s="165">
        <f t="shared" si="13"/>
        <v>6.1084897693362796</v>
      </c>
      <c r="AJ18" s="165">
        <f t="shared" si="14"/>
        <v>7.2658304017231501</v>
      </c>
      <c r="AK18" s="167">
        <f t="shared" si="15"/>
        <v>1</v>
      </c>
    </row>
    <row r="19" spans="1:37" x14ac:dyDescent="0.2">
      <c r="A19" s="62" t="s">
        <v>42</v>
      </c>
      <c r="B19" s="62" t="s">
        <v>65</v>
      </c>
      <c r="C19" s="62" t="s">
        <v>200</v>
      </c>
      <c r="D19" s="62"/>
      <c r="E19" s="62">
        <f t="shared" si="2"/>
        <v>5</v>
      </c>
      <c r="F19" s="128">
        <v>252</v>
      </c>
      <c r="G19" s="129">
        <v>4.9209138840070299</v>
      </c>
      <c r="H19" s="129">
        <v>4.3615342542512501</v>
      </c>
      <c r="I19" s="129">
        <v>5.5478739274714304</v>
      </c>
      <c r="J19" s="129"/>
      <c r="K19" s="129"/>
      <c r="L19" s="129"/>
      <c r="M19" s="60">
        <f t="shared" si="0"/>
        <v>2</v>
      </c>
      <c r="N19" s="61">
        <f t="shared" si="3"/>
        <v>2.4640657084188899</v>
      </c>
      <c r="O19" s="61">
        <f t="shared" si="16"/>
        <v>5.0266388695853603</v>
      </c>
      <c r="P19" s="129">
        <f t="shared" si="4"/>
        <v>5.7934579080787598</v>
      </c>
      <c r="Q19" s="129">
        <f t="shared" si="5"/>
        <v>5.70854655045801</v>
      </c>
      <c r="R19" s="129">
        <f t="shared" si="6"/>
        <v>5.8795535184876098</v>
      </c>
      <c r="S19" s="61">
        <f t="shared" si="7"/>
        <v>6.34071024189398</v>
      </c>
      <c r="T19" s="61">
        <f t="shared" si="1"/>
        <v>9.9487977185818899</v>
      </c>
      <c r="U19" s="61">
        <f t="shared" si="17"/>
        <v>6.7167902351862807</v>
      </c>
      <c r="V19" s="61"/>
      <c r="Y19" s="162" t="s">
        <v>43</v>
      </c>
      <c r="Z19" s="162" t="s">
        <v>159</v>
      </c>
      <c r="AA19" s="162" t="s">
        <v>201</v>
      </c>
      <c r="AB19" s="162">
        <f t="shared" si="21"/>
        <v>6</v>
      </c>
      <c r="AC19" s="165">
        <f t="shared" si="19"/>
        <v>2.4640657084188899</v>
      </c>
      <c r="AD19" s="165">
        <f t="shared" si="20"/>
        <v>7.6347061696239598</v>
      </c>
      <c r="AE19" s="162"/>
      <c r="AF19" s="162">
        <f t="shared" si="10"/>
        <v>20</v>
      </c>
      <c r="AG19" s="167">
        <f t="shared" si="11"/>
        <v>616</v>
      </c>
      <c r="AH19" s="165">
        <f t="shared" si="12"/>
        <v>6.34071024189398</v>
      </c>
      <c r="AI19" s="165">
        <f t="shared" si="13"/>
        <v>5.8731692801428101</v>
      </c>
      <c r="AJ19" s="165">
        <f t="shared" si="14"/>
        <v>6.8427646514582703</v>
      </c>
      <c r="AK19" s="167">
        <f t="shared" si="15"/>
        <v>5</v>
      </c>
    </row>
    <row r="20" spans="1:37" x14ac:dyDescent="0.2">
      <c r="A20" s="62" t="s">
        <v>43</v>
      </c>
      <c r="B20" s="62" t="s">
        <v>159</v>
      </c>
      <c r="C20" s="62" t="s">
        <v>201</v>
      </c>
      <c r="D20" s="62"/>
      <c r="E20" s="62">
        <f t="shared" si="2"/>
        <v>20</v>
      </c>
      <c r="F20" s="128">
        <v>616</v>
      </c>
      <c r="G20" s="129">
        <v>6.34071024189398</v>
      </c>
      <c r="H20" s="129">
        <v>5.8731692801428101</v>
      </c>
      <c r="I20" s="129">
        <v>6.8427646514582703</v>
      </c>
      <c r="J20" s="129"/>
      <c r="K20" s="129"/>
      <c r="L20" s="129"/>
      <c r="M20" s="60">
        <f t="shared" si="0"/>
        <v>5</v>
      </c>
      <c r="N20" s="61">
        <f t="shared" si="3"/>
        <v>2.4640657084188899</v>
      </c>
      <c r="O20" s="61">
        <f t="shared" si="16"/>
        <v>5.0266388695853603</v>
      </c>
      <c r="P20" s="129">
        <f t="shared" si="4"/>
        <v>5.7934579080787598</v>
      </c>
      <c r="Q20" s="129">
        <f t="shared" si="5"/>
        <v>5.70854655045801</v>
      </c>
      <c r="R20" s="129">
        <f t="shared" si="6"/>
        <v>5.8795535184876098</v>
      </c>
      <c r="S20" s="61">
        <f t="shared" si="7"/>
        <v>6.34071024189398</v>
      </c>
      <c r="T20" s="61">
        <f t="shared" si="1"/>
        <v>9.9487977185818899</v>
      </c>
      <c r="U20" s="61">
        <f t="shared" si="17"/>
        <v>4.7529124662270128</v>
      </c>
      <c r="V20" s="61"/>
      <c r="Y20" s="162" t="s">
        <v>48</v>
      </c>
      <c r="Z20" s="162" t="s">
        <v>160</v>
      </c>
      <c r="AA20" s="162" t="s">
        <v>201</v>
      </c>
      <c r="AB20" s="162">
        <f t="shared" si="21"/>
        <v>9</v>
      </c>
      <c r="AC20" s="165">
        <f t="shared" si="19"/>
        <v>2.4640657084188899</v>
      </c>
      <c r="AD20" s="165">
        <f t="shared" si="20"/>
        <v>7.6347061696239598</v>
      </c>
      <c r="AE20" s="162"/>
      <c r="AF20" s="162">
        <f t="shared" si="10"/>
        <v>24</v>
      </c>
      <c r="AG20" s="167">
        <f t="shared" si="11"/>
        <v>469</v>
      </c>
      <c r="AH20" s="165">
        <f t="shared" si="12"/>
        <v>7.6347061696239598</v>
      </c>
      <c r="AI20" s="165">
        <f t="shared" si="13"/>
        <v>6.9968004133617603</v>
      </c>
      <c r="AJ20" s="165">
        <f t="shared" si="14"/>
        <v>8.3255641722605898</v>
      </c>
      <c r="AK20" s="167">
        <f t="shared" si="15"/>
        <v>1</v>
      </c>
    </row>
    <row r="21" spans="1:37" x14ac:dyDescent="0.2">
      <c r="A21" s="62" t="s">
        <v>44</v>
      </c>
      <c r="B21" s="62" t="s">
        <v>66</v>
      </c>
      <c r="C21" s="62" t="s">
        <v>200</v>
      </c>
      <c r="D21" s="62"/>
      <c r="E21" s="62">
        <f t="shared" si="2"/>
        <v>7</v>
      </c>
      <c r="F21" s="128">
        <v>217</v>
      </c>
      <c r="G21" s="129">
        <v>5.0266388695853603</v>
      </c>
      <c r="H21" s="129">
        <v>4.41391289957906</v>
      </c>
      <c r="I21" s="129">
        <v>5.7193322794790902</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5</v>
      </c>
      <c r="N21" s="61">
        <f t="shared" si="3"/>
        <v>2.4640657084188899</v>
      </c>
      <c r="O21" s="61">
        <f t="shared" si="16"/>
        <v>5.0266388695853603</v>
      </c>
      <c r="P21" s="129">
        <f t="shared" si="4"/>
        <v>5.7934579080787598</v>
      </c>
      <c r="Q21" s="129">
        <f t="shared" si="5"/>
        <v>5.70854655045801</v>
      </c>
      <c r="R21" s="129">
        <f t="shared" si="6"/>
        <v>5.8795535184876098</v>
      </c>
      <c r="S21" s="61">
        <f t="shared" si="7"/>
        <v>6.34071024189398</v>
      </c>
      <c r="T21" s="61">
        <f t="shared" si="1"/>
        <v>9.9487977185818899</v>
      </c>
      <c r="U21" s="61">
        <f t="shared" si="17"/>
        <v>6.7167902351862807</v>
      </c>
      <c r="V21" s="61"/>
      <c r="Y21" s="162" t="s">
        <v>52</v>
      </c>
      <c r="Z21" s="162" t="s">
        <v>72</v>
      </c>
      <c r="AA21" s="162" t="s">
        <v>201</v>
      </c>
      <c r="AB21" s="162">
        <f t="shared" si="21"/>
        <v>3</v>
      </c>
      <c r="AC21" s="165">
        <f t="shared" si="19"/>
        <v>2.4640657084188899</v>
      </c>
      <c r="AD21" s="165">
        <f t="shared" si="20"/>
        <v>7.6347061696239598</v>
      </c>
      <c r="AE21" s="162"/>
      <c r="AF21" s="162">
        <f t="shared" si="10"/>
        <v>3</v>
      </c>
      <c r="AG21" s="167">
        <f t="shared" si="11"/>
        <v>171</v>
      </c>
      <c r="AH21" s="165">
        <f t="shared" si="12"/>
        <v>3.9202200825309501</v>
      </c>
      <c r="AI21" s="165">
        <f t="shared" si="13"/>
        <v>3.3836536306851901</v>
      </c>
      <c r="AJ21" s="165">
        <f t="shared" si="14"/>
        <v>4.5378767794940504</v>
      </c>
      <c r="AK21" s="167">
        <f t="shared" si="15"/>
        <v>2</v>
      </c>
    </row>
    <row r="22" spans="1:37" x14ac:dyDescent="0.2">
      <c r="A22" s="62" t="s">
        <v>45</v>
      </c>
      <c r="B22" s="62" t="s">
        <v>67</v>
      </c>
      <c r="C22" s="62" t="s">
        <v>163</v>
      </c>
      <c r="D22" s="62"/>
      <c r="E22" s="62">
        <f t="shared" si="2"/>
        <v>23</v>
      </c>
      <c r="F22" s="128">
        <v>630</v>
      </c>
      <c r="G22" s="129">
        <v>7.2173215717722501</v>
      </c>
      <c r="H22" s="129">
        <v>6.6930749656490098</v>
      </c>
      <c r="I22" s="129">
        <v>7.77920722085672</v>
      </c>
      <c r="J22" s="129"/>
      <c r="K22" s="129"/>
      <c r="L22" s="129"/>
      <c r="M22" s="60">
        <f t="shared" si="0"/>
        <v>1</v>
      </c>
      <c r="N22" s="61">
        <f t="shared" si="3"/>
        <v>2.4640657084188899</v>
      </c>
      <c r="O22" s="61">
        <f t="shared" si="16"/>
        <v>5.0266388695853603</v>
      </c>
      <c r="P22" s="129">
        <f t="shared" si="4"/>
        <v>5.7934579080787598</v>
      </c>
      <c r="Q22" s="129">
        <f t="shared" si="5"/>
        <v>5.70854655045801</v>
      </c>
      <c r="R22" s="129">
        <f t="shared" si="6"/>
        <v>5.8795535184876098</v>
      </c>
      <c r="S22" s="61">
        <f t="shared" si="7"/>
        <v>6.34071024189398</v>
      </c>
      <c r="T22" s="61">
        <f t="shared" si="1"/>
        <v>9.9487977185818899</v>
      </c>
      <c r="U22" s="61">
        <f>VLOOKUP(C22,$C$43:$I$46,5,FALSE)</f>
        <v>6.0797830263306585</v>
      </c>
      <c r="V22" s="61"/>
      <c r="Y22" s="162" t="s">
        <v>54</v>
      </c>
      <c r="Z22" s="162" t="s">
        <v>73</v>
      </c>
      <c r="AA22" s="162" t="s">
        <v>201</v>
      </c>
      <c r="AB22" s="162">
        <f t="shared" si="21"/>
        <v>2</v>
      </c>
      <c r="AC22" s="165">
        <f t="shared" si="19"/>
        <v>2.4640657084188899</v>
      </c>
      <c r="AD22" s="165">
        <f t="shared" si="20"/>
        <v>7.6347061696239598</v>
      </c>
      <c r="AE22" s="162"/>
      <c r="AF22" s="162">
        <f t="shared" si="10"/>
        <v>2</v>
      </c>
      <c r="AG22" s="167">
        <f t="shared" si="11"/>
        <v>227</v>
      </c>
      <c r="AH22" s="165">
        <f t="shared" si="12"/>
        <v>3.8209055714526201</v>
      </c>
      <c r="AI22" s="165">
        <f t="shared" si="13"/>
        <v>3.3625273162520002</v>
      </c>
      <c r="AJ22" s="165">
        <f t="shared" si="14"/>
        <v>4.3389641699737398</v>
      </c>
      <c r="AK22" s="167">
        <f t="shared" si="15"/>
        <v>2</v>
      </c>
    </row>
    <row r="23" spans="1:37" x14ac:dyDescent="0.2">
      <c r="A23" s="62" t="s">
        <v>46</v>
      </c>
      <c r="B23" s="62" t="s">
        <v>68</v>
      </c>
      <c r="C23" s="62" t="s">
        <v>163</v>
      </c>
      <c r="D23" s="62"/>
      <c r="E23" s="62">
        <f t="shared" si="2"/>
        <v>19</v>
      </c>
      <c r="F23" s="128">
        <v>684</v>
      </c>
      <c r="G23" s="129">
        <v>6.2597236203898596</v>
      </c>
      <c r="H23" s="129">
        <v>5.8207243397578203</v>
      </c>
      <c r="I23" s="129">
        <v>6.7294664574353797</v>
      </c>
      <c r="J23" s="129"/>
      <c r="K23" s="129"/>
      <c r="L23" s="129"/>
      <c r="M23" s="60">
        <f t="shared" si="0"/>
        <v>5</v>
      </c>
      <c r="N23" s="61">
        <f t="shared" si="3"/>
        <v>2.4640657084188899</v>
      </c>
      <c r="O23" s="61">
        <f t="shared" si="16"/>
        <v>5.0266388695853603</v>
      </c>
      <c r="P23" s="129">
        <f t="shared" si="4"/>
        <v>5.7934579080787598</v>
      </c>
      <c r="Q23" s="129">
        <f t="shared" si="5"/>
        <v>5.70854655045801</v>
      </c>
      <c r="R23" s="129">
        <f t="shared" si="6"/>
        <v>5.8795535184876098</v>
      </c>
      <c r="S23" s="61">
        <f t="shared" si="7"/>
        <v>6.34071024189398</v>
      </c>
      <c r="T23" s="61">
        <f t="shared" si="1"/>
        <v>9.9487977185818899</v>
      </c>
      <c r="U23" s="61">
        <f t="shared" si="17"/>
        <v>6.0797830263306585</v>
      </c>
      <c r="V23" s="61"/>
      <c r="Y23" s="163" t="s">
        <v>30</v>
      </c>
      <c r="Z23" s="163" t="s">
        <v>56</v>
      </c>
      <c r="AA23" s="163" t="s">
        <v>200</v>
      </c>
      <c r="AB23" s="163">
        <f>RANK(AH23,$AH$23:$AH$31,1)</f>
        <v>8</v>
      </c>
      <c r="AC23" s="166">
        <f>MIN($AH$23:$AH$31)</f>
        <v>4.9209138840070299</v>
      </c>
      <c r="AD23" s="166">
        <f>MAX($AH$23:$AH$31)</f>
        <v>9.9487977185818899</v>
      </c>
      <c r="AE23" s="163"/>
      <c r="AF23" s="163">
        <f t="shared" si="10"/>
        <v>25</v>
      </c>
      <c r="AG23" s="168">
        <f t="shared" si="11"/>
        <v>876</v>
      </c>
      <c r="AH23" s="166">
        <f t="shared" si="12"/>
        <v>7.7901289461983101</v>
      </c>
      <c r="AI23" s="166">
        <f t="shared" si="13"/>
        <v>7.3090487708762</v>
      </c>
      <c r="AJ23" s="166">
        <f t="shared" si="14"/>
        <v>8.3000383093214101</v>
      </c>
      <c r="AK23" s="168">
        <f t="shared" si="15"/>
        <v>1</v>
      </c>
    </row>
    <row r="24" spans="1:37" x14ac:dyDescent="0.2">
      <c r="A24" s="62" t="s">
        <v>47</v>
      </c>
      <c r="B24" s="62" t="s">
        <v>69</v>
      </c>
      <c r="C24" s="62" t="s">
        <v>163</v>
      </c>
      <c r="D24" s="62"/>
      <c r="E24" s="62">
        <f t="shared" si="2"/>
        <v>14</v>
      </c>
      <c r="F24" s="128">
        <v>330</v>
      </c>
      <c r="G24" s="129">
        <v>5.99237334301798</v>
      </c>
      <c r="H24" s="129">
        <v>5.3956565766596096</v>
      </c>
      <c r="I24" s="129">
        <v>6.65044316656825</v>
      </c>
      <c r="J24" s="129"/>
      <c r="K24" s="129"/>
      <c r="L24" s="129"/>
      <c r="M24" s="60">
        <f t="shared" si="0"/>
        <v>5</v>
      </c>
      <c r="N24" s="61">
        <f t="shared" si="3"/>
        <v>2.4640657084188899</v>
      </c>
      <c r="O24" s="61">
        <f t="shared" si="16"/>
        <v>5.0266388695853603</v>
      </c>
      <c r="P24" s="129">
        <f t="shared" si="4"/>
        <v>5.7934579080787598</v>
      </c>
      <c r="Q24" s="129">
        <f t="shared" si="5"/>
        <v>5.70854655045801</v>
      </c>
      <c r="R24" s="129">
        <f t="shared" si="6"/>
        <v>5.8795535184876098</v>
      </c>
      <c r="S24" s="61">
        <f t="shared" si="7"/>
        <v>6.34071024189398</v>
      </c>
      <c r="T24" s="61">
        <f t="shared" si="1"/>
        <v>9.9487977185818899</v>
      </c>
      <c r="U24" s="61">
        <f t="shared" si="17"/>
        <v>6.0797830263306585</v>
      </c>
      <c r="V24" s="61"/>
      <c r="Y24" s="163" t="s">
        <v>31</v>
      </c>
      <c r="Z24" s="163" t="s">
        <v>57</v>
      </c>
      <c r="AA24" s="163" t="s">
        <v>200</v>
      </c>
      <c r="AB24" s="163">
        <f t="shared" ref="AB24:AB31" si="22">RANK(AH24,$AH$23:$AH$31,1)</f>
        <v>7</v>
      </c>
      <c r="AC24" s="166">
        <f t="shared" ref="AC24:AC31" si="23">MIN($AH$23:$AH$31)</f>
        <v>4.9209138840070299</v>
      </c>
      <c r="AD24" s="166">
        <f t="shared" ref="AD24:AD31" si="24">MAX($AH$23:$AH$31)</f>
        <v>9.9487977185818899</v>
      </c>
      <c r="AE24" s="163"/>
      <c r="AF24" s="163">
        <f t="shared" si="10"/>
        <v>16</v>
      </c>
      <c r="AG24" s="168">
        <f t="shared" si="11"/>
        <v>748</v>
      </c>
      <c r="AH24" s="166">
        <f t="shared" si="12"/>
        <v>6.0332311663171501</v>
      </c>
      <c r="AI24" s="166">
        <f t="shared" si="13"/>
        <v>5.6275773523132999</v>
      </c>
      <c r="AJ24" s="166">
        <f t="shared" si="14"/>
        <v>6.4661223115696496</v>
      </c>
      <c r="AK24" s="168">
        <f t="shared" si="15"/>
        <v>5</v>
      </c>
    </row>
    <row r="25" spans="1:37" x14ac:dyDescent="0.2">
      <c r="A25" s="62" t="s">
        <v>48</v>
      </c>
      <c r="B25" s="62" t="s">
        <v>160</v>
      </c>
      <c r="C25" s="62" t="s">
        <v>201</v>
      </c>
      <c r="D25" s="62"/>
      <c r="E25" s="62">
        <f t="shared" si="2"/>
        <v>24</v>
      </c>
      <c r="F25" s="128">
        <v>469</v>
      </c>
      <c r="G25" s="129">
        <v>7.6347061696239598</v>
      </c>
      <c r="H25" s="129">
        <v>6.9968004133617603</v>
      </c>
      <c r="I25" s="129">
        <v>8.3255641722605898</v>
      </c>
      <c r="J25" s="129"/>
      <c r="K25" s="129"/>
      <c r="L25" s="129"/>
      <c r="M25" s="60">
        <f t="shared" si="0"/>
        <v>1</v>
      </c>
      <c r="N25" s="61">
        <f t="shared" si="3"/>
        <v>2.4640657084188899</v>
      </c>
      <c r="O25" s="61">
        <f t="shared" si="16"/>
        <v>5.0266388695853603</v>
      </c>
      <c r="P25" s="129">
        <f t="shared" si="4"/>
        <v>5.7934579080787598</v>
      </c>
      <c r="Q25" s="129">
        <f t="shared" si="5"/>
        <v>5.70854655045801</v>
      </c>
      <c r="R25" s="129">
        <f t="shared" si="6"/>
        <v>5.8795535184876098</v>
      </c>
      <c r="S25" s="61">
        <f t="shared" si="7"/>
        <v>6.34071024189398</v>
      </c>
      <c r="T25" s="61">
        <f t="shared" si="1"/>
        <v>9.9487977185818899</v>
      </c>
      <c r="U25" s="61">
        <f t="shared" si="17"/>
        <v>4.7529124662270128</v>
      </c>
      <c r="V25" s="61"/>
      <c r="Y25" s="163" t="s">
        <v>34</v>
      </c>
      <c r="Z25" s="163" t="s">
        <v>59</v>
      </c>
      <c r="AA25" s="163" t="s">
        <v>200</v>
      </c>
      <c r="AB25" s="163">
        <f t="shared" si="22"/>
        <v>9</v>
      </c>
      <c r="AC25" s="166">
        <f t="shared" si="23"/>
        <v>4.9209138840070299</v>
      </c>
      <c r="AD25" s="166">
        <f t="shared" si="24"/>
        <v>9.9487977185818899</v>
      </c>
      <c r="AE25" s="163"/>
      <c r="AF25" s="163">
        <f t="shared" si="10"/>
        <v>26</v>
      </c>
      <c r="AG25" s="168">
        <f t="shared" si="11"/>
        <v>1535</v>
      </c>
      <c r="AH25" s="166">
        <f t="shared" si="12"/>
        <v>9.9487977185818899</v>
      </c>
      <c r="AI25" s="166">
        <f t="shared" si="13"/>
        <v>9.48643005532392</v>
      </c>
      <c r="AJ25" s="166">
        <f t="shared" si="14"/>
        <v>10.431104036000701</v>
      </c>
      <c r="AK25" s="168">
        <f t="shared" si="15"/>
        <v>1</v>
      </c>
    </row>
    <row r="26" spans="1:37" x14ac:dyDescent="0.2">
      <c r="A26" s="62" t="s">
        <v>49</v>
      </c>
      <c r="B26" s="62" t="s">
        <v>70</v>
      </c>
      <c r="C26" s="62" t="s">
        <v>200</v>
      </c>
      <c r="D26" s="62"/>
      <c r="E26" s="62">
        <f t="shared" si="2"/>
        <v>8</v>
      </c>
      <c r="F26" s="128">
        <v>467</v>
      </c>
      <c r="G26" s="129">
        <v>5.1699324698328404</v>
      </c>
      <c r="H26" s="129">
        <v>4.7320764626853302</v>
      </c>
      <c r="I26" s="129">
        <v>5.6459019835923199</v>
      </c>
      <c r="J26" s="129"/>
      <c r="K26" s="129"/>
      <c r="L26" s="129"/>
      <c r="M26" s="60">
        <f t="shared" si="0"/>
        <v>2</v>
      </c>
      <c r="N26" s="61">
        <f t="shared" si="3"/>
        <v>2.4640657084188899</v>
      </c>
      <c r="O26" s="61">
        <f t="shared" si="16"/>
        <v>5.0266388695853603</v>
      </c>
      <c r="P26" s="129">
        <f t="shared" si="4"/>
        <v>5.7934579080787598</v>
      </c>
      <c r="Q26" s="129">
        <f t="shared" si="5"/>
        <v>5.70854655045801</v>
      </c>
      <c r="R26" s="129">
        <f t="shared" si="6"/>
        <v>5.8795535184876098</v>
      </c>
      <c r="S26" s="61">
        <f t="shared" si="7"/>
        <v>6.34071024189398</v>
      </c>
      <c r="T26" s="61">
        <f t="shared" si="1"/>
        <v>9.9487977185818899</v>
      </c>
      <c r="U26" s="61">
        <f t="shared" si="17"/>
        <v>6.7167902351862807</v>
      </c>
      <c r="V26" s="61"/>
      <c r="Y26" s="163" t="s">
        <v>39</v>
      </c>
      <c r="Z26" s="163" t="s">
        <v>158</v>
      </c>
      <c r="AA26" s="163" t="s">
        <v>200</v>
      </c>
      <c r="AB26" s="163">
        <f t="shared" si="22"/>
        <v>5</v>
      </c>
      <c r="AC26" s="166">
        <f t="shared" si="23"/>
        <v>4.9209138840070299</v>
      </c>
      <c r="AD26" s="166">
        <f t="shared" si="24"/>
        <v>9.9487977185818899</v>
      </c>
      <c r="AE26" s="163"/>
      <c r="AF26" s="163">
        <f t="shared" si="10"/>
        <v>12</v>
      </c>
      <c r="AG26" s="168">
        <f t="shared" si="11"/>
        <v>884</v>
      </c>
      <c r="AH26" s="166">
        <f t="shared" si="12"/>
        <v>5.8811788969463104</v>
      </c>
      <c r="AI26" s="166">
        <f t="shared" si="13"/>
        <v>5.5162121620641598</v>
      </c>
      <c r="AJ26" s="166">
        <f t="shared" si="14"/>
        <v>6.2686906829284901</v>
      </c>
      <c r="AK26" s="168">
        <f t="shared" si="15"/>
        <v>5</v>
      </c>
    </row>
    <row r="27" spans="1:37" x14ac:dyDescent="0.2">
      <c r="A27" s="62" t="s">
        <v>50</v>
      </c>
      <c r="B27" s="62" t="s">
        <v>161</v>
      </c>
      <c r="C27" s="62" t="s">
        <v>163</v>
      </c>
      <c r="D27" s="62"/>
      <c r="E27" s="62">
        <f t="shared" si="2"/>
        <v>10</v>
      </c>
      <c r="F27" s="128">
        <v>296</v>
      </c>
      <c r="G27" s="129">
        <v>5.2538161164359201</v>
      </c>
      <c r="H27" s="129">
        <v>4.7011226232161096</v>
      </c>
      <c r="I27" s="129">
        <v>5.8674870685032099</v>
      </c>
      <c r="J27" s="129"/>
      <c r="K27" s="129"/>
      <c r="L27" s="129"/>
      <c r="M27" s="60">
        <f t="shared" si="0"/>
        <v>5</v>
      </c>
      <c r="N27" s="61">
        <f t="shared" si="3"/>
        <v>2.4640657084188899</v>
      </c>
      <c r="O27" s="61">
        <f t="shared" si="16"/>
        <v>5.0266388695853603</v>
      </c>
      <c r="P27" s="129">
        <f t="shared" si="4"/>
        <v>5.7934579080787598</v>
      </c>
      <c r="Q27" s="129">
        <f t="shared" si="5"/>
        <v>5.70854655045801</v>
      </c>
      <c r="R27" s="129">
        <f t="shared" si="6"/>
        <v>5.8795535184876098</v>
      </c>
      <c r="S27" s="61">
        <f t="shared" si="7"/>
        <v>6.34071024189398</v>
      </c>
      <c r="T27" s="61">
        <f t="shared" si="1"/>
        <v>9.9487977185818899</v>
      </c>
      <c r="U27" s="61">
        <f t="shared" si="17"/>
        <v>6.0797830263306585</v>
      </c>
      <c r="V27" s="61"/>
      <c r="Y27" s="163" t="s">
        <v>40</v>
      </c>
      <c r="Z27" s="163" t="s">
        <v>63</v>
      </c>
      <c r="AA27" s="163" t="s">
        <v>200</v>
      </c>
      <c r="AB27" s="163">
        <f t="shared" si="22"/>
        <v>6</v>
      </c>
      <c r="AC27" s="166">
        <f t="shared" si="23"/>
        <v>4.9209138840070299</v>
      </c>
      <c r="AD27" s="166">
        <f t="shared" si="24"/>
        <v>9.9487977185818899</v>
      </c>
      <c r="AE27" s="163"/>
      <c r="AF27" s="163">
        <f t="shared" si="10"/>
        <v>15</v>
      </c>
      <c r="AG27" s="168">
        <f t="shared" si="11"/>
        <v>492</v>
      </c>
      <c r="AH27" s="166">
        <f t="shared" si="12"/>
        <v>6.0168766051119</v>
      </c>
      <c r="AI27" s="166">
        <f t="shared" si="13"/>
        <v>5.5218165931487402</v>
      </c>
      <c r="AJ27" s="166">
        <f t="shared" si="14"/>
        <v>6.55324272432025</v>
      </c>
      <c r="AK27" s="168">
        <f t="shared" si="15"/>
        <v>5</v>
      </c>
    </row>
    <row r="28" spans="1:37" x14ac:dyDescent="0.2">
      <c r="A28" s="62" t="s">
        <v>51</v>
      </c>
      <c r="B28" s="62" t="s">
        <v>71</v>
      </c>
      <c r="C28" s="62" t="s">
        <v>200</v>
      </c>
      <c r="D28" s="62"/>
      <c r="E28" s="62">
        <f t="shared" si="2"/>
        <v>11</v>
      </c>
      <c r="F28" s="128">
        <v>318</v>
      </c>
      <c r="G28" s="129">
        <v>5.8498896247240602</v>
      </c>
      <c r="H28" s="129">
        <v>5.2566407731422196</v>
      </c>
      <c r="I28" s="129">
        <v>6.50549354022443</v>
      </c>
      <c r="J28" s="129"/>
      <c r="K28" s="129"/>
      <c r="L28" s="129"/>
      <c r="M28" s="60">
        <f t="shared" si="0"/>
        <v>5</v>
      </c>
      <c r="N28" s="61">
        <f t="shared" si="3"/>
        <v>2.4640657084188899</v>
      </c>
      <c r="O28" s="61">
        <f t="shared" si="16"/>
        <v>5.0266388695853603</v>
      </c>
      <c r="P28" s="129">
        <f t="shared" si="4"/>
        <v>5.7934579080787598</v>
      </c>
      <c r="Q28" s="129">
        <f t="shared" si="5"/>
        <v>5.70854655045801</v>
      </c>
      <c r="R28" s="129">
        <f t="shared" si="6"/>
        <v>5.8795535184876098</v>
      </c>
      <c r="S28" s="61">
        <f t="shared" si="7"/>
        <v>6.34071024189398</v>
      </c>
      <c r="T28" s="61">
        <f t="shared" si="1"/>
        <v>9.9487977185818899</v>
      </c>
      <c r="U28" s="61">
        <f t="shared" si="17"/>
        <v>6.7167902351862807</v>
      </c>
      <c r="V28" s="61"/>
      <c r="Y28" s="163" t="s">
        <v>42</v>
      </c>
      <c r="Z28" s="163" t="s">
        <v>65</v>
      </c>
      <c r="AA28" s="163" t="s">
        <v>200</v>
      </c>
      <c r="AB28" s="163">
        <f t="shared" si="22"/>
        <v>1</v>
      </c>
      <c r="AC28" s="166">
        <f t="shared" si="23"/>
        <v>4.9209138840070299</v>
      </c>
      <c r="AD28" s="166">
        <f t="shared" si="24"/>
        <v>9.9487977185818899</v>
      </c>
      <c r="AE28" s="163"/>
      <c r="AF28" s="163">
        <f t="shared" si="10"/>
        <v>5</v>
      </c>
      <c r="AG28" s="168">
        <f t="shared" si="11"/>
        <v>252</v>
      </c>
      <c r="AH28" s="166">
        <f t="shared" si="12"/>
        <v>4.9209138840070299</v>
      </c>
      <c r="AI28" s="166">
        <f t="shared" si="13"/>
        <v>4.3615342542512501</v>
      </c>
      <c r="AJ28" s="166">
        <f t="shared" si="14"/>
        <v>5.5478739274714304</v>
      </c>
      <c r="AK28" s="168">
        <f t="shared" si="15"/>
        <v>2</v>
      </c>
    </row>
    <row r="29" spans="1:37" x14ac:dyDescent="0.2">
      <c r="A29" s="62" t="s">
        <v>52</v>
      </c>
      <c r="B29" s="62" t="s">
        <v>72</v>
      </c>
      <c r="C29" s="62" t="s">
        <v>201</v>
      </c>
      <c r="D29" s="62"/>
      <c r="E29" s="62">
        <f t="shared" si="2"/>
        <v>3</v>
      </c>
      <c r="F29" s="128">
        <v>171</v>
      </c>
      <c r="G29" s="129">
        <v>3.9202200825309501</v>
      </c>
      <c r="H29" s="129">
        <v>3.3836536306851901</v>
      </c>
      <c r="I29" s="129">
        <v>4.5378767794940504</v>
      </c>
      <c r="J29" s="129"/>
      <c r="K29" s="129"/>
      <c r="L29" s="129"/>
      <c r="M29" s="60">
        <f t="shared" si="0"/>
        <v>2</v>
      </c>
      <c r="N29" s="61">
        <f t="shared" si="3"/>
        <v>2.4640657084188899</v>
      </c>
      <c r="O29" s="61">
        <f t="shared" si="16"/>
        <v>5.0266388695853603</v>
      </c>
      <c r="P29" s="129">
        <f t="shared" si="4"/>
        <v>5.7934579080787598</v>
      </c>
      <c r="Q29" s="129">
        <f t="shared" si="5"/>
        <v>5.70854655045801</v>
      </c>
      <c r="R29" s="129">
        <f t="shared" si="6"/>
        <v>5.8795535184876098</v>
      </c>
      <c r="S29" s="61">
        <f t="shared" si="7"/>
        <v>6.34071024189398</v>
      </c>
      <c r="T29" s="61">
        <f t="shared" si="1"/>
        <v>9.9487977185818899</v>
      </c>
      <c r="U29" s="61">
        <f t="shared" si="17"/>
        <v>4.7529124662270128</v>
      </c>
      <c r="V29" s="61"/>
      <c r="Y29" s="163" t="s">
        <v>44</v>
      </c>
      <c r="Z29" s="163" t="s">
        <v>66</v>
      </c>
      <c r="AA29" s="163" t="s">
        <v>200</v>
      </c>
      <c r="AB29" s="163">
        <f t="shared" si="22"/>
        <v>2</v>
      </c>
      <c r="AC29" s="166">
        <f t="shared" si="23"/>
        <v>4.9209138840070299</v>
      </c>
      <c r="AD29" s="166">
        <f t="shared" si="24"/>
        <v>9.9487977185818899</v>
      </c>
      <c r="AE29" s="163"/>
      <c r="AF29" s="163">
        <f t="shared" si="10"/>
        <v>7</v>
      </c>
      <c r="AG29" s="168">
        <f t="shared" si="11"/>
        <v>217</v>
      </c>
      <c r="AH29" s="166">
        <f t="shared" si="12"/>
        <v>5.0266388695853603</v>
      </c>
      <c r="AI29" s="166">
        <f t="shared" si="13"/>
        <v>4.41391289957906</v>
      </c>
      <c r="AJ29" s="166">
        <f t="shared" si="14"/>
        <v>5.7193322794790902</v>
      </c>
      <c r="AK29" s="168">
        <f t="shared" si="15"/>
        <v>5</v>
      </c>
    </row>
    <row r="30" spans="1:37" x14ac:dyDescent="0.2">
      <c r="A30" s="62" t="s">
        <v>53</v>
      </c>
      <c r="B30" s="62" t="s">
        <v>162</v>
      </c>
      <c r="C30" s="62" t="s">
        <v>163</v>
      </c>
      <c r="D30" s="62"/>
      <c r="E30" s="62">
        <f t="shared" si="2"/>
        <v>17</v>
      </c>
      <c r="F30" s="128">
        <v>1786</v>
      </c>
      <c r="G30" s="129">
        <v>6.2451919714665403</v>
      </c>
      <c r="H30" s="129">
        <v>5.9705794220734401</v>
      </c>
      <c r="I30" s="129">
        <v>6.5315577706279004</v>
      </c>
      <c r="J30" s="129"/>
      <c r="K30" s="129"/>
      <c r="L30" s="129"/>
      <c r="M30" s="60">
        <f t="shared" si="0"/>
        <v>1</v>
      </c>
      <c r="N30" s="61">
        <f t="shared" si="3"/>
        <v>2.4640657084188899</v>
      </c>
      <c r="O30" s="61">
        <f t="shared" si="16"/>
        <v>5.0266388695853603</v>
      </c>
      <c r="P30" s="129">
        <f>$G$32</f>
        <v>5.7934579080787598</v>
      </c>
      <c r="Q30" s="129">
        <f t="shared" si="5"/>
        <v>5.70854655045801</v>
      </c>
      <c r="R30" s="129">
        <f t="shared" si="6"/>
        <v>5.8795535184876098</v>
      </c>
      <c r="S30" s="61">
        <f t="shared" si="7"/>
        <v>6.34071024189398</v>
      </c>
      <c r="T30" s="61">
        <f t="shared" si="1"/>
        <v>9.9487977185818899</v>
      </c>
      <c r="U30" s="61">
        <f t="shared" si="17"/>
        <v>6.0797830263306585</v>
      </c>
      <c r="V30" s="61"/>
      <c r="Y30" s="163" t="s">
        <v>49</v>
      </c>
      <c r="Z30" s="163" t="s">
        <v>70</v>
      </c>
      <c r="AA30" s="163" t="s">
        <v>200</v>
      </c>
      <c r="AB30" s="163">
        <f t="shared" si="22"/>
        <v>3</v>
      </c>
      <c r="AC30" s="166">
        <f t="shared" si="23"/>
        <v>4.9209138840070299</v>
      </c>
      <c r="AD30" s="166">
        <f t="shared" si="24"/>
        <v>9.9487977185818899</v>
      </c>
      <c r="AE30" s="163"/>
      <c r="AF30" s="163">
        <f t="shared" si="10"/>
        <v>8</v>
      </c>
      <c r="AG30" s="168">
        <f t="shared" si="11"/>
        <v>467</v>
      </c>
      <c r="AH30" s="166">
        <f t="shared" si="12"/>
        <v>5.1699324698328404</v>
      </c>
      <c r="AI30" s="166">
        <f t="shared" si="13"/>
        <v>4.7320764626853302</v>
      </c>
      <c r="AJ30" s="166">
        <f t="shared" si="14"/>
        <v>5.6459019835923199</v>
      </c>
      <c r="AK30" s="168">
        <f t="shared" si="15"/>
        <v>2</v>
      </c>
    </row>
    <row r="31" spans="1:37" x14ac:dyDescent="0.2">
      <c r="A31" s="62" t="s">
        <v>54</v>
      </c>
      <c r="B31" s="62" t="s">
        <v>73</v>
      </c>
      <c r="C31" s="62" t="s">
        <v>201</v>
      </c>
      <c r="D31" s="62"/>
      <c r="E31" s="62">
        <f t="shared" si="2"/>
        <v>2</v>
      </c>
      <c r="F31" s="128">
        <v>227</v>
      </c>
      <c r="G31" s="129">
        <v>3.8209055714526201</v>
      </c>
      <c r="H31" s="129">
        <v>3.3625273162520002</v>
      </c>
      <c r="I31" s="129">
        <v>4.3389641699737398</v>
      </c>
      <c r="J31" s="129"/>
      <c r="K31" s="129"/>
      <c r="L31" s="129"/>
      <c r="M31" s="60">
        <f t="shared" si="0"/>
        <v>2</v>
      </c>
      <c r="N31" s="61">
        <f t="shared" si="3"/>
        <v>2.4640657084188899</v>
      </c>
      <c r="O31" s="61">
        <f t="shared" si="16"/>
        <v>5.0266388695853603</v>
      </c>
      <c r="P31" s="129">
        <f t="shared" si="4"/>
        <v>5.7934579080787598</v>
      </c>
      <c r="Q31" s="129">
        <f t="shared" si="5"/>
        <v>5.70854655045801</v>
      </c>
      <c r="R31" s="129">
        <f t="shared" si="6"/>
        <v>5.8795535184876098</v>
      </c>
      <c r="S31" s="61">
        <f t="shared" si="7"/>
        <v>6.34071024189398</v>
      </c>
      <c r="T31" s="61">
        <f t="shared" si="1"/>
        <v>9.9487977185818899</v>
      </c>
      <c r="U31" s="61">
        <f t="shared" si="17"/>
        <v>4.7529124662270128</v>
      </c>
      <c r="V31" s="61"/>
      <c r="Y31" s="163" t="s">
        <v>51</v>
      </c>
      <c r="Z31" s="163" t="s">
        <v>71</v>
      </c>
      <c r="AA31" s="163" t="s">
        <v>200</v>
      </c>
      <c r="AB31" s="163">
        <f t="shared" si="22"/>
        <v>4</v>
      </c>
      <c r="AC31" s="166">
        <f t="shared" si="23"/>
        <v>4.9209138840070299</v>
      </c>
      <c r="AD31" s="166">
        <f t="shared" si="24"/>
        <v>9.9487977185818899</v>
      </c>
      <c r="AE31" s="163"/>
      <c r="AF31" s="163">
        <f t="shared" si="10"/>
        <v>11</v>
      </c>
      <c r="AG31" s="168">
        <f t="shared" si="11"/>
        <v>318</v>
      </c>
      <c r="AH31" s="166">
        <f t="shared" si="12"/>
        <v>5.8498896247240602</v>
      </c>
      <c r="AI31" s="166">
        <f t="shared" si="13"/>
        <v>5.2566407731422196</v>
      </c>
      <c r="AJ31" s="166">
        <f t="shared" si="14"/>
        <v>6.50549354022443</v>
      </c>
      <c r="AK31" s="168">
        <f t="shared" si="15"/>
        <v>5</v>
      </c>
    </row>
    <row r="32" spans="1:37" x14ac:dyDescent="0.2">
      <c r="A32" s="62"/>
      <c r="B32" s="62" t="s">
        <v>171</v>
      </c>
      <c r="C32" s="62"/>
      <c r="D32" s="62"/>
      <c r="E32" s="62"/>
      <c r="F32" s="128">
        <v>16615</v>
      </c>
      <c r="G32" s="129">
        <v>5.7934579080787598</v>
      </c>
      <c r="H32" s="129">
        <v>5.70854655045801</v>
      </c>
      <c r="I32" s="129">
        <v>5.8795535184876098</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5918</v>
      </c>
      <c r="G44" s="254">
        <v>6.0797830263306585</v>
      </c>
      <c r="H44" s="129">
        <v>5.9313927819672836</v>
      </c>
      <c r="I44" s="129">
        <v>6.2316397342237986</v>
      </c>
      <c r="J44" s="129">
        <f>VLOOKUP($C44,$AA$6:$AD$13,3,FALSE)</f>
        <v>5.234375</v>
      </c>
      <c r="K44" s="129">
        <f>VLOOKUP($C44,$AA$6:$AD$13,4,FALSE)</f>
        <v>7.2173215717722501</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1</v>
      </c>
      <c r="N44" s="61">
        <f>MIN($G$6:$G$31)</f>
        <v>2.4640657084188899</v>
      </c>
      <c r="O44" s="61">
        <f>VLOOKUP(7,$E$5:$G$39,3,FALSE)</f>
        <v>5.0266388695853603</v>
      </c>
      <c r="P44" s="129">
        <f>$G$32</f>
        <v>5.7934579080787598</v>
      </c>
      <c r="Q44" s="129">
        <f>$H$32</f>
        <v>5.70854655045801</v>
      </c>
      <c r="R44" s="129">
        <f>$I$32</f>
        <v>5.8795535184876098</v>
      </c>
      <c r="S44" s="61">
        <f>VLOOKUP(20,$E$5:$G$39,3,FALSE)</f>
        <v>6.34071024189398</v>
      </c>
      <c r="T44" s="61">
        <f>MAX($G$6:$G$31)</f>
        <v>9.9487977185818899</v>
      </c>
    </row>
    <row r="45" spans="1:22" x14ac:dyDescent="0.2">
      <c r="C45" s="62" t="s">
        <v>201</v>
      </c>
      <c r="D45" s="62"/>
      <c r="E45" s="62"/>
      <c r="F45" s="128">
        <v>4908</v>
      </c>
      <c r="G45" s="254">
        <v>4.7529124662270128</v>
      </c>
      <c r="H45" s="129">
        <v>4.6248149820393936</v>
      </c>
      <c r="I45" s="129">
        <v>4.8843762744168364</v>
      </c>
      <c r="J45" s="129">
        <f>VLOOKUP($C45,$AA$14:$AD$22,3,FALSE)</f>
        <v>2.4640657084188899</v>
      </c>
      <c r="K45" s="129">
        <f>VLOOKUP($C45,$AA$14:$AD$22,4,FALSE)</f>
        <v>7.6347061696239598</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2</v>
      </c>
      <c r="N45" s="61">
        <f>MIN($G$6:$G$31)</f>
        <v>2.4640657084188899</v>
      </c>
      <c r="O45" s="61">
        <f>VLOOKUP(7,$E$5:$G$39,3,FALSE)</f>
        <v>5.0266388695853603</v>
      </c>
      <c r="P45" s="129">
        <f>$G$32</f>
        <v>5.7934579080787598</v>
      </c>
      <c r="Q45" s="129">
        <f t="shared" ref="Q45:Q46" si="25">$H$32</f>
        <v>5.70854655045801</v>
      </c>
      <c r="R45" s="129">
        <f t="shared" ref="R45:R46" si="26">$I$32</f>
        <v>5.8795535184876098</v>
      </c>
      <c r="S45" s="61">
        <f>VLOOKUP(20,$E$5:$G$39,3,FALSE)</f>
        <v>6.34071024189398</v>
      </c>
      <c r="T45" s="61">
        <f t="shared" ref="T45:T46" si="27">MAX($G$6:$G$31)</f>
        <v>9.9487977185818899</v>
      </c>
    </row>
    <row r="46" spans="1:22" x14ac:dyDescent="0.2">
      <c r="C46" s="62" t="s">
        <v>200</v>
      </c>
      <c r="D46" s="62"/>
      <c r="E46" s="62"/>
      <c r="F46" s="128">
        <v>5789</v>
      </c>
      <c r="G46" s="254">
        <v>6.7167902351862807</v>
      </c>
      <c r="H46" s="129">
        <v>6.5515990753027022</v>
      </c>
      <c r="I46" s="129">
        <v>6.8858395931132899</v>
      </c>
      <c r="J46" s="129">
        <f>VLOOKUP($C46,$AA$23:$AD$31,3,FALSE)</f>
        <v>4.9209138840070299</v>
      </c>
      <c r="K46" s="129">
        <f>VLOOKUP($C46,$AA$23:$AD$31,4,FALSE)</f>
        <v>9.9487977185818899</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1</v>
      </c>
      <c r="N46" s="61">
        <f>MIN($G$6:$G$31)</f>
        <v>2.4640657084188899</v>
      </c>
      <c r="O46" s="61">
        <f>VLOOKUP(7,$E$5:$G$39,3,FALSE)</f>
        <v>5.0266388695853603</v>
      </c>
      <c r="P46" s="129">
        <f t="shared" ref="P46" si="28">$G$32</f>
        <v>5.7934579080787598</v>
      </c>
      <c r="Q46" s="129">
        <f t="shared" si="25"/>
        <v>5.70854655045801</v>
      </c>
      <c r="R46" s="129">
        <f t="shared" si="26"/>
        <v>5.8795535184876098</v>
      </c>
      <c r="S46" s="61">
        <f>VLOOKUP(20,$E$5:$G$39,3,FALSE)</f>
        <v>6.34071024189398</v>
      </c>
      <c r="T46" s="61">
        <f t="shared" si="27"/>
        <v>9.9487977185818899</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K2:N2" xr:uid="{00000000-0002-0000-1400-000000000000}">
      <formula1>"High = Worst,Low = Worst"</formula1>
    </dataValidation>
    <dataValidation type="list" allowBlank="1" showInputMessage="1" showErrorMessage="1" sqref="C2:D2" xr:uid="{00000000-0002-0000-1400-000001000000}">
      <formula1>"Better / Worse,Higher / Lower,Significance not measured"</formula1>
    </dataValidation>
  </dataValidations>
  <pageMargins left="0.75" right="0.75" top="1" bottom="1" header="0.5" footer="0.5"/>
  <pageSetup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tabColor theme="6" tint="0.39997558519241921"/>
  </sheetPr>
  <dimension ref="A1:AK55"/>
  <sheetViews>
    <sheetView workbookViewId="0">
      <selection activeCell="Z38" sqref="Z38"/>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8" width="7.33203125" style="21" customWidth="1"/>
    <col min="9" max="9" width="6.886718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5.554687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8</v>
      </c>
      <c r="F6" s="128">
        <v>32</v>
      </c>
      <c r="G6" s="129">
        <v>114.67414096561271</v>
      </c>
      <c r="H6" s="129">
        <v>75.315264029594175</v>
      </c>
      <c r="I6" s="129">
        <v>165.93953557520598</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5</v>
      </c>
      <c r="N6" s="61">
        <f>MIN($G$6:$G$32)</f>
        <v>35.630369695278844</v>
      </c>
      <c r="O6" s="61">
        <f>VLOOKUP(7,$E$5:$G$39,3,FALSE)</f>
        <v>111.63492272418807</v>
      </c>
      <c r="P6" s="129">
        <f>$G$32</f>
        <v>132.33064583324659</v>
      </c>
      <c r="Q6" s="129">
        <f>$H$32</f>
        <v>124.23698379484173</v>
      </c>
      <c r="R6" s="129">
        <f>$I$32</f>
        <v>140.79919122858618</v>
      </c>
      <c r="S6" s="61">
        <f>VLOOKUP(20,$E$5:$G$39,3,FALSE)</f>
        <v>157.86774973748336</v>
      </c>
      <c r="T6" s="61">
        <f t="shared" ref="T6:T31" si="1">MAX($G$6:$G$31)</f>
        <v>241.4281734131078</v>
      </c>
      <c r="U6" s="61">
        <f>VLOOKUP(C6,$C$43:$I$46,5,FALSE)</f>
        <v>135.51913301613476</v>
      </c>
      <c r="V6" s="61"/>
      <c r="Y6" s="159" t="s">
        <v>33</v>
      </c>
      <c r="Z6" s="159" t="s">
        <v>58</v>
      </c>
      <c r="AA6" s="159" t="s">
        <v>163</v>
      </c>
      <c r="AB6" s="159">
        <f>RANK(AH6,$AH$6:$AH$13,1)</f>
        <v>7</v>
      </c>
      <c r="AC6" s="164">
        <f>MIN($AH$6:$AH$13)</f>
        <v>88.714133575543926</v>
      </c>
      <c r="AD6" s="164">
        <f>MAX($AH$6:$AH$13)</f>
        <v>214.27639527373745</v>
      </c>
      <c r="AE6" s="159"/>
      <c r="AF6" s="159">
        <f>VLOOKUP($Y6,$A$6:$I$31,5,FALSE)</f>
        <v>21</v>
      </c>
      <c r="AG6" s="160">
        <f>VLOOKUP($Y6,$A$6:$I$31,6,FALSE)</f>
        <v>70</v>
      </c>
      <c r="AH6" s="161">
        <f>VLOOKUP($Y6,$A$6:$I$31,7,FALSE)</f>
        <v>164.19521745070472</v>
      </c>
      <c r="AI6" s="161">
        <f>VLOOKUP($Y6,$A$6:$I$31,8,FALSE)</f>
        <v>126.63402072090649</v>
      </c>
      <c r="AJ6" s="161">
        <f>VLOOKUP($Y6,$A$6:$I$31,9,FALSE)</f>
        <v>209.07733263620517</v>
      </c>
      <c r="AK6" s="160">
        <f>VLOOKUP($Y6,$A$6:$M$31,13,FALSE)</f>
        <v>5</v>
      </c>
    </row>
    <row r="7" spans="1:37" x14ac:dyDescent="0.2">
      <c r="A7" s="62" t="s">
        <v>30</v>
      </c>
      <c r="B7" s="62" t="s">
        <v>56</v>
      </c>
      <c r="C7" s="62" t="s">
        <v>200</v>
      </c>
      <c r="D7" s="62"/>
      <c r="E7" s="62">
        <f t="shared" ref="E7:E31" si="2">RANK(G7,$G$6:$G$31,1)</f>
        <v>23</v>
      </c>
      <c r="F7" s="128">
        <v>53</v>
      </c>
      <c r="G7" s="129">
        <v>165.27958452954528</v>
      </c>
      <c r="H7" s="129">
        <v>123.26886298480891</v>
      </c>
      <c r="I7" s="129">
        <v>216.84243026246077</v>
      </c>
      <c r="J7" s="129"/>
      <c r="K7" s="129"/>
      <c r="L7" s="129"/>
      <c r="M7" s="60">
        <f t="shared" si="0"/>
        <v>5</v>
      </c>
      <c r="N7" s="61">
        <f t="shared" ref="N7:N31" si="3">MIN($G$6:$G$32)</f>
        <v>35.630369695278844</v>
      </c>
      <c r="O7" s="61">
        <f>VLOOKUP(7,$E$5:$G$39,3,FALSE)</f>
        <v>111.63492272418807</v>
      </c>
      <c r="P7" s="129">
        <f t="shared" ref="P7:P31" si="4">$G$32</f>
        <v>132.33064583324659</v>
      </c>
      <c r="Q7" s="129">
        <f t="shared" ref="Q7:Q31" si="5">$H$32</f>
        <v>124.23698379484173</v>
      </c>
      <c r="R7" s="129">
        <f t="shared" ref="R7:R31" si="6">$I$32</f>
        <v>140.79919122858618</v>
      </c>
      <c r="S7" s="61">
        <f t="shared" ref="S7:S31" si="7">VLOOKUP(20,$E$5:$G$39,3,FALSE)</f>
        <v>157.86774973748336</v>
      </c>
      <c r="T7" s="61">
        <f t="shared" si="1"/>
        <v>241.4281734131078</v>
      </c>
      <c r="U7" s="61">
        <f>VLOOKUP(C7,$C$43:$I$46,5,FALSE)</f>
        <v>141.56147325019262</v>
      </c>
      <c r="V7" s="61"/>
      <c r="Y7" s="159" t="s">
        <v>35</v>
      </c>
      <c r="Z7" s="159" t="s">
        <v>60</v>
      </c>
      <c r="AA7" s="159" t="s">
        <v>163</v>
      </c>
      <c r="AB7" s="159">
        <f t="shared" ref="AB7:AB12" si="8">RANK(AH7,$AH$6:$AH$13,1)</f>
        <v>1</v>
      </c>
      <c r="AC7" s="164">
        <f>MIN($AH$6:$AH$13)</f>
        <v>88.714133575543926</v>
      </c>
      <c r="AD7" s="164">
        <f t="shared" ref="AD7:AD13" si="9">MAX($AH$6:$AH$13)</f>
        <v>214.27639527373745</v>
      </c>
      <c r="AE7" s="159"/>
      <c r="AF7" s="159">
        <f t="shared" ref="AF7:AF31" si="10">VLOOKUP($Y7,$A$6:$I$31,5,FALSE)</f>
        <v>3</v>
      </c>
      <c r="AG7" s="160">
        <f t="shared" ref="AG7:AG31" si="11">VLOOKUP($Y7,$A$6:$I$31,6,FALSE)</f>
        <v>36</v>
      </c>
      <c r="AH7" s="161">
        <f t="shared" ref="AH7:AH31" si="12">VLOOKUP($Y7,$A$6:$I$31,7,FALSE)</f>
        <v>88.714133575543926</v>
      </c>
      <c r="AI7" s="161">
        <f t="shared" ref="AI7:AI31" si="13">VLOOKUP($Y7,$A$6:$I$31,8,FALSE)</f>
        <v>61.96897143092378</v>
      </c>
      <c r="AJ7" s="161">
        <f t="shared" ref="AJ7:AJ31" si="14">VLOOKUP($Y7,$A$6:$I$31,9,FALSE)</f>
        <v>123.02236465537766</v>
      </c>
      <c r="AK7" s="160">
        <f t="shared" ref="AK7:AK31" si="15">VLOOKUP($Y7,$A$6:$M$31,13,FALSE)</f>
        <v>2</v>
      </c>
    </row>
    <row r="8" spans="1:37" x14ac:dyDescent="0.2">
      <c r="A8" s="62" t="s">
        <v>31</v>
      </c>
      <c r="B8" s="62" t="s">
        <v>57</v>
      </c>
      <c r="C8" s="62" t="s">
        <v>200</v>
      </c>
      <c r="D8" s="62"/>
      <c r="E8" s="62">
        <f t="shared" si="2"/>
        <v>18</v>
      </c>
      <c r="F8" s="128">
        <v>56</v>
      </c>
      <c r="G8" s="129">
        <v>147.6966751606023</v>
      </c>
      <c r="H8" s="129">
        <v>111.41045599525046</v>
      </c>
      <c r="I8" s="129">
        <v>191.98425995623185</v>
      </c>
      <c r="J8" s="129"/>
      <c r="K8" s="129"/>
      <c r="L8" s="129"/>
      <c r="M8" s="60">
        <f t="shared" si="0"/>
        <v>5</v>
      </c>
      <c r="N8" s="61">
        <f t="shared" si="3"/>
        <v>35.630369695278844</v>
      </c>
      <c r="O8" s="61">
        <f t="shared" ref="O8:O31" si="16">VLOOKUP(7,$E$5:$G$39,3,FALSE)</f>
        <v>111.63492272418807</v>
      </c>
      <c r="P8" s="129">
        <f t="shared" si="4"/>
        <v>132.33064583324659</v>
      </c>
      <c r="Q8" s="129">
        <f t="shared" si="5"/>
        <v>124.23698379484173</v>
      </c>
      <c r="R8" s="129">
        <f t="shared" si="6"/>
        <v>140.79919122858618</v>
      </c>
      <c r="S8" s="61">
        <f t="shared" si="7"/>
        <v>157.86774973748336</v>
      </c>
      <c r="T8" s="61">
        <f t="shared" si="1"/>
        <v>241.4281734131078</v>
      </c>
      <c r="U8" s="61">
        <f t="shared" ref="U8:U31" si="17">VLOOKUP(C8,$C$43:$I$46,5,FALSE)</f>
        <v>141.56147325019262</v>
      </c>
      <c r="V8" s="61"/>
      <c r="Y8" s="159" t="s">
        <v>41</v>
      </c>
      <c r="Z8" s="159" t="s">
        <v>64</v>
      </c>
      <c r="AA8" s="159" t="s">
        <v>163</v>
      </c>
      <c r="AB8" s="159">
        <f t="shared" si="8"/>
        <v>8</v>
      </c>
      <c r="AC8" s="164">
        <f t="shared" ref="AC8:AC13" si="18">MIN($AH$6:$AH$13)</f>
        <v>88.714133575543926</v>
      </c>
      <c r="AD8" s="164">
        <f>MAX($AH$6:$AH$13)</f>
        <v>214.27639527373745</v>
      </c>
      <c r="AE8" s="159"/>
      <c r="AF8" s="159">
        <f t="shared" si="10"/>
        <v>25</v>
      </c>
      <c r="AG8" s="160">
        <f t="shared" si="11"/>
        <v>79</v>
      </c>
      <c r="AH8" s="161">
        <f t="shared" si="12"/>
        <v>214.27639527373745</v>
      </c>
      <c r="AI8" s="161">
        <f t="shared" si="13"/>
        <v>169.42855567357046</v>
      </c>
      <c r="AJ8" s="161">
        <f t="shared" si="14"/>
        <v>267.30420241529407</v>
      </c>
      <c r="AK8" s="160">
        <f t="shared" si="15"/>
        <v>1</v>
      </c>
    </row>
    <row r="9" spans="1:37" x14ac:dyDescent="0.2">
      <c r="A9" s="62" t="s">
        <v>32</v>
      </c>
      <c r="B9" s="62" t="s">
        <v>156</v>
      </c>
      <c r="C9" s="62" t="s">
        <v>201</v>
      </c>
      <c r="D9" s="62"/>
      <c r="E9" s="62">
        <f t="shared" si="2"/>
        <v>24</v>
      </c>
      <c r="F9" s="128">
        <v>73</v>
      </c>
      <c r="G9" s="129">
        <v>170.00957036196692</v>
      </c>
      <c r="H9" s="129">
        <v>128.65470194282435</v>
      </c>
      <c r="I9" s="129">
        <v>219.24101071776977</v>
      </c>
      <c r="J9" s="129"/>
      <c r="K9" s="129"/>
      <c r="L9" s="129"/>
      <c r="M9" s="60">
        <f t="shared" si="0"/>
        <v>5</v>
      </c>
      <c r="N9" s="61">
        <f t="shared" si="3"/>
        <v>35.630369695278844</v>
      </c>
      <c r="O9" s="61">
        <f t="shared" si="16"/>
        <v>111.63492272418807</v>
      </c>
      <c r="P9" s="129">
        <f t="shared" si="4"/>
        <v>132.33064583324659</v>
      </c>
      <c r="Q9" s="129">
        <f t="shared" si="5"/>
        <v>124.23698379484173</v>
      </c>
      <c r="R9" s="129">
        <f t="shared" si="6"/>
        <v>140.79919122858618</v>
      </c>
      <c r="S9" s="61">
        <f t="shared" si="7"/>
        <v>157.86774973748336</v>
      </c>
      <c r="T9" s="61">
        <f t="shared" si="1"/>
        <v>241.4281734131078</v>
      </c>
      <c r="U9" s="61">
        <f t="shared" si="17"/>
        <v>135.51913301613476</v>
      </c>
      <c r="V9" s="61"/>
      <c r="X9" s="63"/>
      <c r="Y9" s="159" t="s">
        <v>45</v>
      </c>
      <c r="Z9" s="159" t="s">
        <v>67</v>
      </c>
      <c r="AA9" s="159" t="s">
        <v>163</v>
      </c>
      <c r="AB9" s="159">
        <f t="shared" si="8"/>
        <v>6</v>
      </c>
      <c r="AC9" s="164">
        <f t="shared" si="18"/>
        <v>88.714133575543926</v>
      </c>
      <c r="AD9" s="164">
        <f t="shared" si="9"/>
        <v>214.27639527373745</v>
      </c>
      <c r="AE9" s="159"/>
      <c r="AF9" s="159">
        <f t="shared" si="10"/>
        <v>14</v>
      </c>
      <c r="AG9" s="160">
        <f t="shared" si="11"/>
        <v>32</v>
      </c>
      <c r="AH9" s="161">
        <f t="shared" si="12"/>
        <v>124.5395036622046</v>
      </c>
      <c r="AI9" s="161">
        <f t="shared" si="13"/>
        <v>84.97217767368501</v>
      </c>
      <c r="AJ9" s="161">
        <f t="shared" si="14"/>
        <v>176.07640558512475</v>
      </c>
      <c r="AK9" s="160">
        <f t="shared" si="15"/>
        <v>5</v>
      </c>
    </row>
    <row r="10" spans="1:37" x14ac:dyDescent="0.2">
      <c r="A10" s="62" t="s">
        <v>33</v>
      </c>
      <c r="B10" s="62" t="s">
        <v>58</v>
      </c>
      <c r="C10" s="62" t="s">
        <v>163</v>
      </c>
      <c r="D10" s="62"/>
      <c r="E10" s="62">
        <f t="shared" si="2"/>
        <v>21</v>
      </c>
      <c r="F10" s="128">
        <v>70</v>
      </c>
      <c r="G10" s="129">
        <v>164.19521745070472</v>
      </c>
      <c r="H10" s="129">
        <v>126.63402072090649</v>
      </c>
      <c r="I10" s="129">
        <v>209.07733263620517</v>
      </c>
      <c r="J10" s="129"/>
      <c r="K10" s="129"/>
      <c r="L10" s="129"/>
      <c r="M10" s="60">
        <f t="shared" si="0"/>
        <v>5</v>
      </c>
      <c r="N10" s="61">
        <f t="shared" si="3"/>
        <v>35.630369695278844</v>
      </c>
      <c r="O10" s="61">
        <f t="shared" si="16"/>
        <v>111.63492272418807</v>
      </c>
      <c r="P10" s="129">
        <f t="shared" si="4"/>
        <v>132.33064583324659</v>
      </c>
      <c r="Q10" s="129">
        <f t="shared" si="5"/>
        <v>124.23698379484173</v>
      </c>
      <c r="R10" s="129">
        <f t="shared" si="6"/>
        <v>140.79919122858618</v>
      </c>
      <c r="S10" s="61">
        <f t="shared" si="7"/>
        <v>157.86774973748336</v>
      </c>
      <c r="T10" s="61">
        <f t="shared" si="1"/>
        <v>241.4281734131078</v>
      </c>
      <c r="U10" s="61">
        <f t="shared" si="17"/>
        <v>129.72414513846829</v>
      </c>
      <c r="V10" s="61"/>
      <c r="Y10" s="159" t="s">
        <v>46</v>
      </c>
      <c r="Z10" s="159" t="s">
        <v>68</v>
      </c>
      <c r="AA10" s="159" t="s">
        <v>163</v>
      </c>
      <c r="AB10" s="159">
        <f t="shared" si="8"/>
        <v>5</v>
      </c>
      <c r="AC10" s="164">
        <f t="shared" si="18"/>
        <v>88.714133575543926</v>
      </c>
      <c r="AD10" s="164">
        <f t="shared" si="9"/>
        <v>214.27639527373745</v>
      </c>
      <c r="AE10" s="159"/>
      <c r="AF10" s="159">
        <f t="shared" si="10"/>
        <v>12</v>
      </c>
      <c r="AG10" s="160">
        <f t="shared" si="11"/>
        <v>43</v>
      </c>
      <c r="AH10" s="161">
        <f t="shared" si="12"/>
        <v>121.7282233565718</v>
      </c>
      <c r="AI10" s="161">
        <f t="shared" si="13"/>
        <v>87.925540548181829</v>
      </c>
      <c r="AJ10" s="161">
        <f t="shared" si="14"/>
        <v>164.17319178557457</v>
      </c>
      <c r="AK10" s="160">
        <f t="shared" si="15"/>
        <v>5</v>
      </c>
    </row>
    <row r="11" spans="1:37" x14ac:dyDescent="0.2">
      <c r="A11" s="62" t="s">
        <v>34</v>
      </c>
      <c r="B11" s="62" t="s">
        <v>59</v>
      </c>
      <c r="C11" s="62" t="s">
        <v>200</v>
      </c>
      <c r="D11" s="62"/>
      <c r="E11" s="62">
        <f t="shared" si="2"/>
        <v>16</v>
      </c>
      <c r="F11" s="128">
        <v>59</v>
      </c>
      <c r="G11" s="129">
        <v>131.17932400494263</v>
      </c>
      <c r="H11" s="129">
        <v>98.867680492773232</v>
      </c>
      <c r="I11" s="129">
        <v>170.41236948577156</v>
      </c>
      <c r="J11" s="129"/>
      <c r="K11" s="129"/>
      <c r="L11" s="129"/>
      <c r="M11" s="60">
        <f t="shared" si="0"/>
        <v>5</v>
      </c>
      <c r="N11" s="61">
        <f t="shared" si="3"/>
        <v>35.630369695278844</v>
      </c>
      <c r="O11" s="61">
        <f t="shared" si="16"/>
        <v>111.63492272418807</v>
      </c>
      <c r="P11" s="129">
        <f t="shared" si="4"/>
        <v>132.33064583324659</v>
      </c>
      <c r="Q11" s="129">
        <f t="shared" si="5"/>
        <v>124.23698379484173</v>
      </c>
      <c r="R11" s="129">
        <f t="shared" si="6"/>
        <v>140.79919122858618</v>
      </c>
      <c r="S11" s="61">
        <f t="shared" si="7"/>
        <v>157.86774973748336</v>
      </c>
      <c r="T11" s="61">
        <f t="shared" si="1"/>
        <v>241.4281734131078</v>
      </c>
      <c r="U11" s="61">
        <f t="shared" si="17"/>
        <v>141.56147325019262</v>
      </c>
      <c r="V11" s="61"/>
      <c r="Y11" s="159" t="s">
        <v>47</v>
      </c>
      <c r="Z11" s="159" t="s">
        <v>69</v>
      </c>
      <c r="AA11" s="159" t="s">
        <v>163</v>
      </c>
      <c r="AB11" s="159">
        <f t="shared" si="8"/>
        <v>3</v>
      </c>
      <c r="AC11" s="164">
        <f t="shared" si="18"/>
        <v>88.714133575543926</v>
      </c>
      <c r="AD11" s="164">
        <f t="shared" si="9"/>
        <v>214.27639527373745</v>
      </c>
      <c r="AE11" s="159"/>
      <c r="AF11" s="159">
        <f t="shared" si="10"/>
        <v>6</v>
      </c>
      <c r="AG11" s="160">
        <f t="shared" si="11"/>
        <v>19</v>
      </c>
      <c r="AH11" s="161">
        <f t="shared" si="12"/>
        <v>111.4209200419515</v>
      </c>
      <c r="AI11" s="161">
        <f t="shared" si="13"/>
        <v>66.362219846853478</v>
      </c>
      <c r="AJ11" s="161">
        <f t="shared" si="14"/>
        <v>174.97905048539388</v>
      </c>
      <c r="AK11" s="160">
        <f t="shared" si="15"/>
        <v>5</v>
      </c>
    </row>
    <row r="12" spans="1:37" x14ac:dyDescent="0.2">
      <c r="A12" s="62" t="s">
        <v>35</v>
      </c>
      <c r="B12" s="62" t="s">
        <v>60</v>
      </c>
      <c r="C12" s="62" t="s">
        <v>163</v>
      </c>
      <c r="D12" s="62"/>
      <c r="E12" s="62">
        <f t="shared" si="2"/>
        <v>3</v>
      </c>
      <c r="F12" s="128">
        <v>36</v>
      </c>
      <c r="G12" s="129">
        <v>88.714133575543926</v>
      </c>
      <c r="H12" s="129">
        <v>61.96897143092378</v>
      </c>
      <c r="I12" s="129">
        <v>123.02236465537766</v>
      </c>
      <c r="J12" s="129"/>
      <c r="K12" s="129"/>
      <c r="L12" s="129"/>
      <c r="M12" s="60">
        <f t="shared" si="0"/>
        <v>2</v>
      </c>
      <c r="N12" s="61">
        <f t="shared" si="3"/>
        <v>35.630369695278844</v>
      </c>
      <c r="O12" s="61">
        <f t="shared" si="16"/>
        <v>111.63492272418807</v>
      </c>
      <c r="P12" s="129">
        <f t="shared" si="4"/>
        <v>132.33064583324659</v>
      </c>
      <c r="Q12" s="129">
        <f t="shared" si="5"/>
        <v>124.23698379484173</v>
      </c>
      <c r="R12" s="129">
        <f t="shared" si="6"/>
        <v>140.79919122858618</v>
      </c>
      <c r="S12" s="61">
        <f t="shared" si="7"/>
        <v>157.86774973748336</v>
      </c>
      <c r="T12" s="61">
        <f t="shared" si="1"/>
        <v>241.4281734131078</v>
      </c>
      <c r="U12" s="61">
        <f t="shared" si="17"/>
        <v>129.72414513846829</v>
      </c>
      <c r="V12" s="61"/>
      <c r="Y12" s="159" t="s">
        <v>50</v>
      </c>
      <c r="Z12" s="159" t="s">
        <v>161</v>
      </c>
      <c r="AA12" s="159" t="s">
        <v>163</v>
      </c>
      <c r="AB12" s="159">
        <f t="shared" si="8"/>
        <v>4</v>
      </c>
      <c r="AC12" s="164">
        <f t="shared" si="18"/>
        <v>88.714133575543926</v>
      </c>
      <c r="AD12" s="164">
        <f t="shared" si="9"/>
        <v>214.27639527373745</v>
      </c>
      <c r="AE12" s="159"/>
      <c r="AF12" s="159">
        <f t="shared" si="10"/>
        <v>11</v>
      </c>
      <c r="AG12" s="160">
        <f t="shared" si="11"/>
        <v>20</v>
      </c>
      <c r="AH12" s="161">
        <f t="shared" si="12"/>
        <v>121.67538563180538</v>
      </c>
      <c r="AI12" s="161">
        <f t="shared" si="13"/>
        <v>73.922931872455777</v>
      </c>
      <c r="AJ12" s="161">
        <f t="shared" si="14"/>
        <v>188.44225438733386</v>
      </c>
      <c r="AK12" s="160">
        <f t="shared" si="15"/>
        <v>5</v>
      </c>
    </row>
    <row r="13" spans="1:37" x14ac:dyDescent="0.2">
      <c r="A13" s="62" t="s">
        <v>36</v>
      </c>
      <c r="B13" s="62" t="s">
        <v>61</v>
      </c>
      <c r="C13" s="62" t="s">
        <v>201</v>
      </c>
      <c r="D13" s="62"/>
      <c r="E13" s="62">
        <f t="shared" si="2"/>
        <v>2</v>
      </c>
      <c r="F13" s="128" t="s">
        <v>79</v>
      </c>
      <c r="G13" s="129">
        <v>50.372578212887738</v>
      </c>
      <c r="H13" s="129">
        <v>21.096769318811134</v>
      </c>
      <c r="I13" s="129">
        <v>88.504659519720335</v>
      </c>
      <c r="J13" s="129"/>
      <c r="K13" s="129"/>
      <c r="L13" s="129"/>
      <c r="M13" s="60">
        <f t="shared" si="0"/>
        <v>2</v>
      </c>
      <c r="N13" s="61">
        <f t="shared" si="3"/>
        <v>35.630369695278844</v>
      </c>
      <c r="O13" s="61">
        <f t="shared" si="16"/>
        <v>111.63492272418807</v>
      </c>
      <c r="P13" s="129">
        <f t="shared" si="4"/>
        <v>132.33064583324659</v>
      </c>
      <c r="Q13" s="129">
        <f t="shared" si="5"/>
        <v>124.23698379484173</v>
      </c>
      <c r="R13" s="129">
        <f t="shared" si="6"/>
        <v>140.79919122858618</v>
      </c>
      <c r="S13" s="61">
        <f t="shared" si="7"/>
        <v>157.86774973748336</v>
      </c>
      <c r="T13" s="61">
        <f t="shared" si="1"/>
        <v>241.4281734131078</v>
      </c>
      <c r="U13" s="61">
        <f t="shared" si="17"/>
        <v>135.51913301613476</v>
      </c>
      <c r="V13" s="61"/>
      <c r="Y13" s="159" t="s">
        <v>53</v>
      </c>
      <c r="Z13" s="159" t="s">
        <v>162</v>
      </c>
      <c r="AA13" s="159" t="s">
        <v>163</v>
      </c>
      <c r="AB13" s="159">
        <f>RANK(AH13,$AH$6:$AH$13,1)</f>
        <v>2</v>
      </c>
      <c r="AC13" s="164">
        <f t="shared" si="18"/>
        <v>88.714133575543926</v>
      </c>
      <c r="AD13" s="164">
        <f t="shared" si="9"/>
        <v>214.27639527373745</v>
      </c>
      <c r="AE13" s="159"/>
      <c r="AF13" s="159">
        <f t="shared" si="10"/>
        <v>4</v>
      </c>
      <c r="AG13" s="160">
        <f t="shared" si="11"/>
        <v>89</v>
      </c>
      <c r="AH13" s="161">
        <f t="shared" si="12"/>
        <v>105.15645524974396</v>
      </c>
      <c r="AI13" s="161">
        <f t="shared" si="13"/>
        <v>84.028047317822043</v>
      </c>
      <c r="AJ13" s="161">
        <f t="shared" si="14"/>
        <v>129.89588583877037</v>
      </c>
      <c r="AK13" s="160">
        <f t="shared" si="15"/>
        <v>5</v>
      </c>
    </row>
    <row r="14" spans="1:37" x14ac:dyDescent="0.2">
      <c r="A14" s="62" t="s">
        <v>37</v>
      </c>
      <c r="B14" s="62" t="s">
        <v>157</v>
      </c>
      <c r="C14" s="62" t="s">
        <v>201</v>
      </c>
      <c r="D14" s="62"/>
      <c r="E14" s="62">
        <f t="shared" si="2"/>
        <v>17</v>
      </c>
      <c r="F14" s="128">
        <v>69</v>
      </c>
      <c r="G14" s="129">
        <v>140.84900620926246</v>
      </c>
      <c r="H14" s="129">
        <v>105.11967580960309</v>
      </c>
      <c r="I14" s="129">
        <v>183.59756940965582</v>
      </c>
      <c r="J14" s="129"/>
      <c r="K14" s="129"/>
      <c r="L14" s="129"/>
      <c r="M14" s="60">
        <f t="shared" si="0"/>
        <v>5</v>
      </c>
      <c r="N14" s="61">
        <f t="shared" si="3"/>
        <v>35.630369695278844</v>
      </c>
      <c r="O14" s="61">
        <f t="shared" si="16"/>
        <v>111.63492272418807</v>
      </c>
      <c r="P14" s="129">
        <f t="shared" si="4"/>
        <v>132.33064583324659</v>
      </c>
      <c r="Q14" s="129">
        <f t="shared" si="5"/>
        <v>124.23698379484173</v>
      </c>
      <c r="R14" s="129">
        <f t="shared" si="6"/>
        <v>140.79919122858618</v>
      </c>
      <c r="S14" s="61">
        <f t="shared" si="7"/>
        <v>157.86774973748336</v>
      </c>
      <c r="T14" s="61">
        <f t="shared" si="1"/>
        <v>241.4281734131078</v>
      </c>
      <c r="U14" s="61">
        <f t="shared" si="17"/>
        <v>135.51913301613476</v>
      </c>
      <c r="V14" s="61"/>
      <c r="Y14" s="162" t="s">
        <v>29</v>
      </c>
      <c r="Z14" s="162" t="s">
        <v>55</v>
      </c>
      <c r="AA14" s="162" t="s">
        <v>201</v>
      </c>
      <c r="AB14" s="162">
        <f>RANK(AH14,$AH$14:$AH$22,1)</f>
        <v>4</v>
      </c>
      <c r="AC14" s="165">
        <f t="shared" ref="AC14:AC22" si="19">MIN($AH$14:$AH$22)</f>
        <v>35.630369695278844</v>
      </c>
      <c r="AD14" s="165">
        <f>MAX($AH$14:$AH$22)</f>
        <v>170.00957036196692</v>
      </c>
      <c r="AE14" s="162"/>
      <c r="AF14" s="162">
        <f t="shared" si="10"/>
        <v>8</v>
      </c>
      <c r="AG14" s="167">
        <f t="shared" si="11"/>
        <v>32</v>
      </c>
      <c r="AH14" s="165">
        <f t="shared" si="12"/>
        <v>114.67414096561271</v>
      </c>
      <c r="AI14" s="165">
        <f t="shared" si="13"/>
        <v>75.315264029594175</v>
      </c>
      <c r="AJ14" s="165">
        <f t="shared" si="14"/>
        <v>165.93953557520598</v>
      </c>
      <c r="AK14" s="167">
        <f t="shared" si="15"/>
        <v>5</v>
      </c>
    </row>
    <row r="15" spans="1:37" x14ac:dyDescent="0.2">
      <c r="A15" s="62" t="s">
        <v>38</v>
      </c>
      <c r="B15" s="62" t="s">
        <v>62</v>
      </c>
      <c r="C15" s="62" t="s">
        <v>201</v>
      </c>
      <c r="D15" s="62"/>
      <c r="E15" s="62">
        <f t="shared" si="2"/>
        <v>20</v>
      </c>
      <c r="F15" s="128">
        <v>32</v>
      </c>
      <c r="G15" s="129">
        <v>157.86774973748336</v>
      </c>
      <c r="H15" s="129">
        <v>107.67148431316996</v>
      </c>
      <c r="I15" s="129">
        <v>223.24896879737918</v>
      </c>
      <c r="J15" s="129"/>
      <c r="K15" s="129"/>
      <c r="L15" s="129"/>
      <c r="M15" s="60">
        <f t="shared" si="0"/>
        <v>5</v>
      </c>
      <c r="N15" s="61">
        <f t="shared" si="3"/>
        <v>35.630369695278844</v>
      </c>
      <c r="O15" s="61">
        <f t="shared" si="16"/>
        <v>111.63492272418807</v>
      </c>
      <c r="P15" s="129">
        <f t="shared" si="4"/>
        <v>132.33064583324659</v>
      </c>
      <c r="Q15" s="129">
        <f t="shared" si="5"/>
        <v>124.23698379484173</v>
      </c>
      <c r="R15" s="129">
        <f t="shared" si="6"/>
        <v>140.79919122858618</v>
      </c>
      <c r="S15" s="61">
        <f t="shared" si="7"/>
        <v>157.86774973748336</v>
      </c>
      <c r="T15" s="61">
        <f t="shared" si="1"/>
        <v>241.4281734131078</v>
      </c>
      <c r="U15" s="61">
        <f t="shared" si="17"/>
        <v>135.51913301613476</v>
      </c>
      <c r="V15" s="61"/>
      <c r="Y15" s="162" t="s">
        <v>32</v>
      </c>
      <c r="Z15" s="162" t="s">
        <v>156</v>
      </c>
      <c r="AA15" s="162" t="s">
        <v>201</v>
      </c>
      <c r="AB15" s="162">
        <f>RANK(AH15,$AH$14:$AH$22,1)</f>
        <v>9</v>
      </c>
      <c r="AC15" s="165">
        <f t="shared" si="19"/>
        <v>35.630369695278844</v>
      </c>
      <c r="AD15" s="165">
        <f t="shared" ref="AD15:AD22" si="20">MAX($AH$14:$AH$22)</f>
        <v>170.00957036196692</v>
      </c>
      <c r="AE15" s="162"/>
      <c r="AF15" s="162">
        <f t="shared" si="10"/>
        <v>24</v>
      </c>
      <c r="AG15" s="167">
        <f t="shared" si="11"/>
        <v>73</v>
      </c>
      <c r="AH15" s="165">
        <f t="shared" si="12"/>
        <v>170.00957036196692</v>
      </c>
      <c r="AI15" s="165">
        <f t="shared" si="13"/>
        <v>128.65470194282435</v>
      </c>
      <c r="AJ15" s="165">
        <f t="shared" si="14"/>
        <v>219.24101071776977</v>
      </c>
      <c r="AK15" s="167">
        <f t="shared" si="15"/>
        <v>5</v>
      </c>
    </row>
    <row r="16" spans="1:37" x14ac:dyDescent="0.2">
      <c r="A16" s="62" t="s">
        <v>39</v>
      </c>
      <c r="B16" s="62" t="s">
        <v>158</v>
      </c>
      <c r="C16" s="62" t="s">
        <v>200</v>
      </c>
      <c r="D16" s="62"/>
      <c r="E16" s="62">
        <f t="shared" si="2"/>
        <v>9</v>
      </c>
      <c r="F16" s="128">
        <v>42</v>
      </c>
      <c r="G16" s="129">
        <v>117.77826863885193</v>
      </c>
      <c r="H16" s="129">
        <v>84.145673115127835</v>
      </c>
      <c r="I16" s="129">
        <v>160.12467510399898</v>
      </c>
      <c r="J16" s="129"/>
      <c r="K16" s="129"/>
      <c r="L16" s="129"/>
      <c r="M16" s="60">
        <f t="shared" si="0"/>
        <v>5</v>
      </c>
      <c r="N16" s="61">
        <f t="shared" si="3"/>
        <v>35.630369695278844</v>
      </c>
      <c r="O16" s="61">
        <f t="shared" si="16"/>
        <v>111.63492272418807</v>
      </c>
      <c r="P16" s="129">
        <f t="shared" si="4"/>
        <v>132.33064583324659</v>
      </c>
      <c r="Q16" s="129">
        <f t="shared" si="5"/>
        <v>124.23698379484173</v>
      </c>
      <c r="R16" s="129">
        <f t="shared" si="6"/>
        <v>140.79919122858618</v>
      </c>
      <c r="S16" s="61">
        <f t="shared" si="7"/>
        <v>157.86774973748336</v>
      </c>
      <c r="T16" s="61">
        <f t="shared" si="1"/>
        <v>241.4281734131078</v>
      </c>
      <c r="U16" s="61">
        <f t="shared" si="17"/>
        <v>141.56147325019262</v>
      </c>
      <c r="V16" s="61"/>
      <c r="Y16" s="162" t="s">
        <v>36</v>
      </c>
      <c r="Z16" s="162" t="s">
        <v>61</v>
      </c>
      <c r="AA16" s="162" t="s">
        <v>201</v>
      </c>
      <c r="AB16" s="162">
        <f>RANK(AH16,$AH$14:$AH$22,1)</f>
        <v>2</v>
      </c>
      <c r="AC16" s="165">
        <f t="shared" si="19"/>
        <v>35.630369695278844</v>
      </c>
      <c r="AD16" s="165">
        <f t="shared" si="20"/>
        <v>170.00957036196692</v>
      </c>
      <c r="AE16" s="162"/>
      <c r="AF16" s="162">
        <f t="shared" si="10"/>
        <v>2</v>
      </c>
      <c r="AG16" s="167" t="str">
        <f t="shared" si="11"/>
        <v>N/A</v>
      </c>
      <c r="AH16" s="165">
        <f t="shared" si="12"/>
        <v>50.372578212887738</v>
      </c>
      <c r="AI16" s="165">
        <f t="shared" si="13"/>
        <v>21.096769318811134</v>
      </c>
      <c r="AJ16" s="165">
        <f t="shared" si="14"/>
        <v>88.504659519720335</v>
      </c>
      <c r="AK16" s="167">
        <f t="shared" si="15"/>
        <v>2</v>
      </c>
    </row>
    <row r="17" spans="1:37" x14ac:dyDescent="0.2">
      <c r="A17" s="62" t="s">
        <v>40</v>
      </c>
      <c r="B17" s="62" t="s">
        <v>63</v>
      </c>
      <c r="C17" s="62" t="s">
        <v>200</v>
      </c>
      <c r="D17" s="62"/>
      <c r="E17" s="62">
        <f t="shared" si="2"/>
        <v>19</v>
      </c>
      <c r="F17" s="128">
        <v>40</v>
      </c>
      <c r="G17" s="129">
        <v>156.31637344642064</v>
      </c>
      <c r="H17" s="129">
        <v>110.84474832872972</v>
      </c>
      <c r="I17" s="129">
        <v>213.89895844515081</v>
      </c>
      <c r="J17" s="129"/>
      <c r="K17" s="129"/>
      <c r="L17" s="129"/>
      <c r="M17" s="60">
        <f t="shared" si="0"/>
        <v>5</v>
      </c>
      <c r="N17" s="61">
        <f t="shared" si="3"/>
        <v>35.630369695278844</v>
      </c>
      <c r="O17" s="61">
        <f t="shared" si="16"/>
        <v>111.63492272418807</v>
      </c>
      <c r="P17" s="129">
        <f t="shared" si="4"/>
        <v>132.33064583324659</v>
      </c>
      <c r="Q17" s="129">
        <f t="shared" si="5"/>
        <v>124.23698379484173</v>
      </c>
      <c r="R17" s="129">
        <f t="shared" si="6"/>
        <v>140.79919122858618</v>
      </c>
      <c r="S17" s="61">
        <f t="shared" si="7"/>
        <v>157.86774973748336</v>
      </c>
      <c r="T17" s="61">
        <f t="shared" si="1"/>
        <v>241.4281734131078</v>
      </c>
      <c r="U17" s="61">
        <f t="shared" si="17"/>
        <v>141.56147325019262</v>
      </c>
      <c r="V17" s="61"/>
      <c r="Y17" s="162" t="s">
        <v>37</v>
      </c>
      <c r="Z17" s="162" t="s">
        <v>157</v>
      </c>
      <c r="AA17" s="162" t="s">
        <v>201</v>
      </c>
      <c r="AB17" s="162">
        <f t="shared" ref="AB17:AB22" si="21">RANK(AH17,$AH$14:$AH$22,1)</f>
        <v>6</v>
      </c>
      <c r="AC17" s="165">
        <f t="shared" si="19"/>
        <v>35.630369695278844</v>
      </c>
      <c r="AD17" s="165">
        <f>MAX($AH$14:$AH$22)</f>
        <v>170.00957036196692</v>
      </c>
      <c r="AE17" s="162"/>
      <c r="AF17" s="162">
        <f t="shared" si="10"/>
        <v>17</v>
      </c>
      <c r="AG17" s="167">
        <f t="shared" si="11"/>
        <v>69</v>
      </c>
      <c r="AH17" s="165">
        <f t="shared" si="12"/>
        <v>140.84900620926246</v>
      </c>
      <c r="AI17" s="165">
        <f t="shared" si="13"/>
        <v>105.11967580960309</v>
      </c>
      <c r="AJ17" s="165">
        <f t="shared" si="14"/>
        <v>183.59756940965582</v>
      </c>
      <c r="AK17" s="167">
        <f t="shared" si="15"/>
        <v>5</v>
      </c>
    </row>
    <row r="18" spans="1:37" x14ac:dyDescent="0.2">
      <c r="A18" s="62" t="s">
        <v>41</v>
      </c>
      <c r="B18" s="62" t="s">
        <v>64</v>
      </c>
      <c r="C18" s="62" t="s">
        <v>163</v>
      </c>
      <c r="D18" s="62"/>
      <c r="E18" s="62">
        <f t="shared" si="2"/>
        <v>25</v>
      </c>
      <c r="F18" s="128">
        <v>79</v>
      </c>
      <c r="G18" s="129">
        <v>214.27639527373745</v>
      </c>
      <c r="H18" s="129">
        <v>169.42855567357046</v>
      </c>
      <c r="I18" s="129">
        <v>267.30420241529407</v>
      </c>
      <c r="J18" s="129"/>
      <c r="K18" s="129"/>
      <c r="L18" s="129"/>
      <c r="M18" s="60">
        <f t="shared" si="0"/>
        <v>1</v>
      </c>
      <c r="N18" s="61">
        <f t="shared" si="3"/>
        <v>35.630369695278844</v>
      </c>
      <c r="O18" s="61">
        <f t="shared" si="16"/>
        <v>111.63492272418807</v>
      </c>
      <c r="P18" s="129">
        <f t="shared" si="4"/>
        <v>132.33064583324659</v>
      </c>
      <c r="Q18" s="129">
        <f t="shared" si="5"/>
        <v>124.23698379484173</v>
      </c>
      <c r="R18" s="129">
        <f t="shared" si="6"/>
        <v>140.79919122858618</v>
      </c>
      <c r="S18" s="61">
        <f t="shared" si="7"/>
        <v>157.86774973748336</v>
      </c>
      <c r="T18" s="61">
        <f t="shared" si="1"/>
        <v>241.4281734131078</v>
      </c>
      <c r="U18" s="61">
        <f t="shared" si="17"/>
        <v>129.72414513846829</v>
      </c>
      <c r="V18" s="61"/>
      <c r="Y18" s="162" t="s">
        <v>38</v>
      </c>
      <c r="Z18" s="162" t="s">
        <v>62</v>
      </c>
      <c r="AA18" s="162" t="s">
        <v>201</v>
      </c>
      <c r="AB18" s="162">
        <f t="shared" si="21"/>
        <v>7</v>
      </c>
      <c r="AC18" s="165">
        <f t="shared" si="19"/>
        <v>35.630369695278844</v>
      </c>
      <c r="AD18" s="165">
        <f t="shared" si="20"/>
        <v>170.00957036196692</v>
      </c>
      <c r="AE18" s="162"/>
      <c r="AF18" s="162">
        <f t="shared" si="10"/>
        <v>20</v>
      </c>
      <c r="AG18" s="167">
        <f t="shared" si="11"/>
        <v>32</v>
      </c>
      <c r="AH18" s="165">
        <f t="shared" si="12"/>
        <v>157.86774973748336</v>
      </c>
      <c r="AI18" s="165">
        <f t="shared" si="13"/>
        <v>107.67148431316996</v>
      </c>
      <c r="AJ18" s="165">
        <f t="shared" si="14"/>
        <v>223.24896879737918</v>
      </c>
      <c r="AK18" s="167">
        <f t="shared" si="15"/>
        <v>5</v>
      </c>
    </row>
    <row r="19" spans="1:37" x14ac:dyDescent="0.2">
      <c r="A19" s="62" t="s">
        <v>42</v>
      </c>
      <c r="B19" s="62" t="s">
        <v>65</v>
      </c>
      <c r="C19" s="62" t="s">
        <v>200</v>
      </c>
      <c r="D19" s="62"/>
      <c r="E19" s="62">
        <f t="shared" si="2"/>
        <v>7</v>
      </c>
      <c r="F19" s="128">
        <v>16</v>
      </c>
      <c r="G19" s="129">
        <v>111.63492272418807</v>
      </c>
      <c r="H19" s="129">
        <v>61.855555991984716</v>
      </c>
      <c r="I19" s="129">
        <v>184.08148734700276</v>
      </c>
      <c r="J19" s="129"/>
      <c r="K19" s="129"/>
      <c r="L19" s="129"/>
      <c r="M19" s="60">
        <f t="shared" si="0"/>
        <v>5</v>
      </c>
      <c r="N19" s="61">
        <f t="shared" si="3"/>
        <v>35.630369695278844</v>
      </c>
      <c r="O19" s="61">
        <f t="shared" si="16"/>
        <v>111.63492272418807</v>
      </c>
      <c r="P19" s="129">
        <f t="shared" si="4"/>
        <v>132.33064583324659</v>
      </c>
      <c r="Q19" s="129">
        <f t="shared" si="5"/>
        <v>124.23698379484173</v>
      </c>
      <c r="R19" s="129">
        <f t="shared" si="6"/>
        <v>140.79919122858618</v>
      </c>
      <c r="S19" s="61">
        <f t="shared" si="7"/>
        <v>157.86774973748336</v>
      </c>
      <c r="T19" s="61">
        <f t="shared" si="1"/>
        <v>241.4281734131078</v>
      </c>
      <c r="U19" s="61">
        <f t="shared" si="17"/>
        <v>141.56147325019262</v>
      </c>
      <c r="V19" s="61"/>
      <c r="Y19" s="162" t="s">
        <v>43</v>
      </c>
      <c r="Z19" s="162" t="s">
        <v>159</v>
      </c>
      <c r="AA19" s="162" t="s">
        <v>201</v>
      </c>
      <c r="AB19" s="162">
        <f t="shared" si="21"/>
        <v>5</v>
      </c>
      <c r="AC19" s="165">
        <f t="shared" si="19"/>
        <v>35.630369695278844</v>
      </c>
      <c r="AD19" s="165">
        <f t="shared" si="20"/>
        <v>170.00957036196692</v>
      </c>
      <c r="AE19" s="162"/>
      <c r="AF19" s="162">
        <f t="shared" si="10"/>
        <v>13</v>
      </c>
      <c r="AG19" s="167">
        <f t="shared" si="11"/>
        <v>41</v>
      </c>
      <c r="AH19" s="165">
        <f t="shared" si="12"/>
        <v>123.85368211943741</v>
      </c>
      <c r="AI19" s="165">
        <f t="shared" si="13"/>
        <v>87.520389283905047</v>
      </c>
      <c r="AJ19" s="165">
        <f t="shared" si="14"/>
        <v>169.72965119995388</v>
      </c>
      <c r="AK19" s="167">
        <f t="shared" si="15"/>
        <v>5</v>
      </c>
    </row>
    <row r="20" spans="1:37" x14ac:dyDescent="0.2">
      <c r="A20" s="62" t="s">
        <v>43</v>
      </c>
      <c r="B20" s="62" t="s">
        <v>159</v>
      </c>
      <c r="C20" s="62" t="s">
        <v>201</v>
      </c>
      <c r="D20" s="62"/>
      <c r="E20" s="62">
        <f t="shared" si="2"/>
        <v>13</v>
      </c>
      <c r="F20" s="128">
        <v>41</v>
      </c>
      <c r="G20" s="129">
        <v>123.85368211943741</v>
      </c>
      <c r="H20" s="129">
        <v>87.520389283905047</v>
      </c>
      <c r="I20" s="129">
        <v>169.72965119995388</v>
      </c>
      <c r="J20" s="129"/>
      <c r="K20" s="129"/>
      <c r="L20" s="129"/>
      <c r="M20" s="60">
        <f t="shared" si="0"/>
        <v>5</v>
      </c>
      <c r="N20" s="61">
        <f t="shared" si="3"/>
        <v>35.630369695278844</v>
      </c>
      <c r="O20" s="61">
        <f t="shared" si="16"/>
        <v>111.63492272418807</v>
      </c>
      <c r="P20" s="129">
        <f t="shared" si="4"/>
        <v>132.33064583324659</v>
      </c>
      <c r="Q20" s="129">
        <f t="shared" si="5"/>
        <v>124.23698379484173</v>
      </c>
      <c r="R20" s="129">
        <f t="shared" si="6"/>
        <v>140.79919122858618</v>
      </c>
      <c r="S20" s="61">
        <f t="shared" si="7"/>
        <v>157.86774973748336</v>
      </c>
      <c r="T20" s="61">
        <f t="shared" si="1"/>
        <v>241.4281734131078</v>
      </c>
      <c r="U20" s="61">
        <f t="shared" si="17"/>
        <v>135.51913301613476</v>
      </c>
      <c r="V20" s="61"/>
      <c r="Y20" s="162" t="s">
        <v>48</v>
      </c>
      <c r="Z20" s="162" t="s">
        <v>160</v>
      </c>
      <c r="AA20" s="162" t="s">
        <v>201</v>
      </c>
      <c r="AB20" s="162">
        <f t="shared" si="21"/>
        <v>3</v>
      </c>
      <c r="AC20" s="165">
        <f t="shared" si="19"/>
        <v>35.630369695278844</v>
      </c>
      <c r="AD20" s="165">
        <f t="shared" si="20"/>
        <v>170.00957036196692</v>
      </c>
      <c r="AE20" s="162"/>
      <c r="AF20" s="162">
        <f t="shared" si="10"/>
        <v>5</v>
      </c>
      <c r="AG20" s="167">
        <f t="shared" si="11"/>
        <v>19</v>
      </c>
      <c r="AH20" s="165">
        <f t="shared" si="12"/>
        <v>107.536519506418</v>
      </c>
      <c r="AI20" s="165">
        <f t="shared" si="13"/>
        <v>64.471553633934889</v>
      </c>
      <c r="AJ20" s="165">
        <f t="shared" si="14"/>
        <v>168.28236229847107</v>
      </c>
      <c r="AK20" s="167">
        <f t="shared" si="15"/>
        <v>5</v>
      </c>
    </row>
    <row r="21" spans="1:37" x14ac:dyDescent="0.2">
      <c r="A21" s="62" t="s">
        <v>44</v>
      </c>
      <c r="B21" s="62" t="s">
        <v>66</v>
      </c>
      <c r="C21" s="62" t="s">
        <v>200</v>
      </c>
      <c r="D21" s="62"/>
      <c r="E21" s="62">
        <f t="shared" si="2"/>
        <v>10</v>
      </c>
      <c r="F21" s="128">
        <v>14</v>
      </c>
      <c r="G21" s="129">
        <v>118.61482928963224</v>
      </c>
      <c r="H21" s="129">
        <v>63.447331993688827</v>
      </c>
      <c r="I21" s="129">
        <v>201.03861908809745</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5</v>
      </c>
      <c r="N21" s="61">
        <f t="shared" si="3"/>
        <v>35.630369695278844</v>
      </c>
      <c r="O21" s="61">
        <f t="shared" si="16"/>
        <v>111.63492272418807</v>
      </c>
      <c r="P21" s="129">
        <f t="shared" si="4"/>
        <v>132.33064583324659</v>
      </c>
      <c r="Q21" s="129">
        <f t="shared" si="5"/>
        <v>124.23698379484173</v>
      </c>
      <c r="R21" s="129">
        <f t="shared" si="6"/>
        <v>140.79919122858618</v>
      </c>
      <c r="S21" s="61">
        <f t="shared" si="7"/>
        <v>157.86774973748336</v>
      </c>
      <c r="T21" s="61">
        <f t="shared" si="1"/>
        <v>241.4281734131078</v>
      </c>
      <c r="U21" s="61">
        <f t="shared" si="17"/>
        <v>141.56147325019262</v>
      </c>
      <c r="V21" s="61"/>
      <c r="Y21" s="162" t="s">
        <v>52</v>
      </c>
      <c r="Z21" s="162" t="s">
        <v>72</v>
      </c>
      <c r="AA21" s="162" t="s">
        <v>201</v>
      </c>
      <c r="AB21" s="162">
        <f t="shared" si="21"/>
        <v>1</v>
      </c>
      <c r="AC21" s="165">
        <f t="shared" si="19"/>
        <v>35.630369695278844</v>
      </c>
      <c r="AD21" s="165">
        <f t="shared" si="20"/>
        <v>170.00957036196692</v>
      </c>
      <c r="AE21" s="162"/>
      <c r="AF21" s="162">
        <f t="shared" si="10"/>
        <v>1</v>
      </c>
      <c r="AG21" s="167" t="str">
        <f t="shared" si="11"/>
        <v>N/A</v>
      </c>
      <c r="AH21" s="165">
        <f t="shared" si="12"/>
        <v>35.630369695278844</v>
      </c>
      <c r="AI21" s="165">
        <f t="shared" si="13"/>
        <v>4.124401562503432</v>
      </c>
      <c r="AJ21" s="165">
        <f t="shared" si="14"/>
        <v>97.627573525307227</v>
      </c>
      <c r="AK21" s="167">
        <f t="shared" si="15"/>
        <v>2</v>
      </c>
    </row>
    <row r="22" spans="1:37" x14ac:dyDescent="0.2">
      <c r="A22" s="62" t="s">
        <v>45</v>
      </c>
      <c r="B22" s="62" t="s">
        <v>67</v>
      </c>
      <c r="C22" s="62" t="s">
        <v>163</v>
      </c>
      <c r="D22" s="62"/>
      <c r="E22" s="62">
        <f t="shared" si="2"/>
        <v>14</v>
      </c>
      <c r="F22" s="128">
        <v>32</v>
      </c>
      <c r="G22" s="129">
        <v>124.5395036622046</v>
      </c>
      <c r="H22" s="129">
        <v>84.97217767368501</v>
      </c>
      <c r="I22" s="129">
        <v>176.07640558512475</v>
      </c>
      <c r="J22" s="129"/>
      <c r="K22" s="129"/>
      <c r="L22" s="129"/>
      <c r="M22" s="60">
        <f t="shared" si="0"/>
        <v>5</v>
      </c>
      <c r="N22" s="61">
        <f t="shared" si="3"/>
        <v>35.630369695278844</v>
      </c>
      <c r="O22" s="61">
        <f t="shared" si="16"/>
        <v>111.63492272418807</v>
      </c>
      <c r="P22" s="129">
        <f t="shared" si="4"/>
        <v>132.33064583324659</v>
      </c>
      <c r="Q22" s="129">
        <f t="shared" si="5"/>
        <v>124.23698379484173</v>
      </c>
      <c r="R22" s="129">
        <f t="shared" si="6"/>
        <v>140.79919122858618</v>
      </c>
      <c r="S22" s="61">
        <f t="shared" si="7"/>
        <v>157.86774973748336</v>
      </c>
      <c r="T22" s="61">
        <f t="shared" si="1"/>
        <v>241.4281734131078</v>
      </c>
      <c r="U22" s="61">
        <f>VLOOKUP(C22,$C$43:$I$46,5,FALSE)</f>
        <v>129.72414513846829</v>
      </c>
      <c r="V22" s="61"/>
      <c r="Y22" s="162" t="s">
        <v>54</v>
      </c>
      <c r="Z22" s="162" t="s">
        <v>73</v>
      </c>
      <c r="AA22" s="162" t="s">
        <v>201</v>
      </c>
      <c r="AB22" s="162">
        <f t="shared" si="21"/>
        <v>8</v>
      </c>
      <c r="AC22" s="165">
        <f t="shared" si="19"/>
        <v>35.630369695278844</v>
      </c>
      <c r="AD22" s="165">
        <f t="shared" si="20"/>
        <v>170.00957036196692</v>
      </c>
      <c r="AE22" s="162"/>
      <c r="AF22" s="162">
        <f t="shared" si="10"/>
        <v>22</v>
      </c>
      <c r="AG22" s="167">
        <f t="shared" si="11"/>
        <v>18</v>
      </c>
      <c r="AH22" s="165">
        <f t="shared" si="12"/>
        <v>165.0571893738213</v>
      </c>
      <c r="AI22" s="165">
        <f t="shared" si="13"/>
        <v>92.068020859377597</v>
      </c>
      <c r="AJ22" s="165">
        <f t="shared" si="14"/>
        <v>269.00005661013057</v>
      </c>
      <c r="AK22" s="167">
        <f t="shared" si="15"/>
        <v>5</v>
      </c>
    </row>
    <row r="23" spans="1:37" x14ac:dyDescent="0.2">
      <c r="A23" s="62" t="s">
        <v>46</v>
      </c>
      <c r="B23" s="62" t="s">
        <v>68</v>
      </c>
      <c r="C23" s="62" t="s">
        <v>163</v>
      </c>
      <c r="D23" s="62"/>
      <c r="E23" s="62">
        <f t="shared" si="2"/>
        <v>12</v>
      </c>
      <c r="F23" s="128">
        <v>43</v>
      </c>
      <c r="G23" s="129">
        <v>121.7282233565718</v>
      </c>
      <c r="H23" s="129">
        <v>87.925540548181829</v>
      </c>
      <c r="I23" s="129">
        <v>164.17319178557457</v>
      </c>
      <c r="J23" s="129"/>
      <c r="K23" s="129"/>
      <c r="L23" s="129"/>
      <c r="M23" s="60">
        <f t="shared" si="0"/>
        <v>5</v>
      </c>
      <c r="N23" s="61">
        <f t="shared" si="3"/>
        <v>35.630369695278844</v>
      </c>
      <c r="O23" s="61">
        <f t="shared" si="16"/>
        <v>111.63492272418807</v>
      </c>
      <c r="P23" s="129">
        <f t="shared" si="4"/>
        <v>132.33064583324659</v>
      </c>
      <c r="Q23" s="129">
        <f t="shared" si="5"/>
        <v>124.23698379484173</v>
      </c>
      <c r="R23" s="129">
        <f t="shared" si="6"/>
        <v>140.79919122858618</v>
      </c>
      <c r="S23" s="61">
        <f t="shared" si="7"/>
        <v>157.86774973748336</v>
      </c>
      <c r="T23" s="61">
        <f t="shared" si="1"/>
        <v>241.4281734131078</v>
      </c>
      <c r="U23" s="61">
        <f t="shared" si="17"/>
        <v>129.72414513846829</v>
      </c>
      <c r="V23" s="61"/>
      <c r="Y23" s="163" t="s">
        <v>30</v>
      </c>
      <c r="Z23" s="163" t="s">
        <v>56</v>
      </c>
      <c r="AA23" s="163" t="s">
        <v>200</v>
      </c>
      <c r="AB23" s="163">
        <f>RANK(AH23,$AH$23:$AH$31,1)</f>
        <v>8</v>
      </c>
      <c r="AC23" s="166">
        <f>MIN($AH$23:$AH$31)</f>
        <v>111.63492272418807</v>
      </c>
      <c r="AD23" s="166">
        <f>MAX($AH$23:$AH$31)</f>
        <v>241.4281734131078</v>
      </c>
      <c r="AE23" s="163"/>
      <c r="AF23" s="163">
        <f t="shared" si="10"/>
        <v>23</v>
      </c>
      <c r="AG23" s="168">
        <f t="shared" si="11"/>
        <v>53</v>
      </c>
      <c r="AH23" s="166">
        <f t="shared" si="12"/>
        <v>165.27958452954528</v>
      </c>
      <c r="AI23" s="166">
        <f t="shared" si="13"/>
        <v>123.26886298480891</v>
      </c>
      <c r="AJ23" s="166">
        <f t="shared" si="14"/>
        <v>216.84243026246077</v>
      </c>
      <c r="AK23" s="168">
        <f t="shared" si="15"/>
        <v>5</v>
      </c>
    </row>
    <row r="24" spans="1:37" x14ac:dyDescent="0.2">
      <c r="A24" s="62" t="s">
        <v>47</v>
      </c>
      <c r="B24" s="62" t="s">
        <v>69</v>
      </c>
      <c r="C24" s="62" t="s">
        <v>163</v>
      </c>
      <c r="D24" s="62"/>
      <c r="E24" s="62">
        <f t="shared" si="2"/>
        <v>6</v>
      </c>
      <c r="F24" s="128">
        <v>19</v>
      </c>
      <c r="G24" s="129">
        <v>111.4209200419515</v>
      </c>
      <c r="H24" s="129">
        <v>66.362219846853478</v>
      </c>
      <c r="I24" s="129">
        <v>174.97905048539388</v>
      </c>
      <c r="J24" s="129"/>
      <c r="K24" s="129"/>
      <c r="L24" s="129"/>
      <c r="M24" s="60">
        <f t="shared" si="0"/>
        <v>5</v>
      </c>
      <c r="N24" s="61">
        <f t="shared" si="3"/>
        <v>35.630369695278844</v>
      </c>
      <c r="O24" s="61">
        <f t="shared" si="16"/>
        <v>111.63492272418807</v>
      </c>
      <c r="P24" s="129">
        <f t="shared" si="4"/>
        <v>132.33064583324659</v>
      </c>
      <c r="Q24" s="129">
        <f t="shared" si="5"/>
        <v>124.23698379484173</v>
      </c>
      <c r="R24" s="129">
        <f t="shared" si="6"/>
        <v>140.79919122858618</v>
      </c>
      <c r="S24" s="61">
        <f t="shared" si="7"/>
        <v>157.86774973748336</v>
      </c>
      <c r="T24" s="61">
        <f t="shared" si="1"/>
        <v>241.4281734131078</v>
      </c>
      <c r="U24" s="61">
        <f t="shared" si="17"/>
        <v>129.72414513846829</v>
      </c>
      <c r="V24" s="61"/>
      <c r="Y24" s="163" t="s">
        <v>31</v>
      </c>
      <c r="Z24" s="163" t="s">
        <v>57</v>
      </c>
      <c r="AA24" s="163" t="s">
        <v>200</v>
      </c>
      <c r="AB24" s="163">
        <f t="shared" ref="AB24:AB31" si="22">RANK(AH24,$AH$23:$AH$31,1)</f>
        <v>6</v>
      </c>
      <c r="AC24" s="166">
        <f t="shared" ref="AC24:AC31" si="23">MIN($AH$23:$AH$31)</f>
        <v>111.63492272418807</v>
      </c>
      <c r="AD24" s="166">
        <f t="shared" ref="AD24:AD31" si="24">MAX($AH$23:$AH$31)</f>
        <v>241.4281734131078</v>
      </c>
      <c r="AE24" s="163"/>
      <c r="AF24" s="163">
        <f t="shared" si="10"/>
        <v>18</v>
      </c>
      <c r="AG24" s="168">
        <f t="shared" si="11"/>
        <v>56</v>
      </c>
      <c r="AH24" s="166">
        <f t="shared" si="12"/>
        <v>147.6966751606023</v>
      </c>
      <c r="AI24" s="166">
        <f t="shared" si="13"/>
        <v>111.41045599525046</v>
      </c>
      <c r="AJ24" s="166">
        <f t="shared" si="14"/>
        <v>191.98425995623185</v>
      </c>
      <c r="AK24" s="168">
        <f t="shared" si="15"/>
        <v>5</v>
      </c>
    </row>
    <row r="25" spans="1:37" x14ac:dyDescent="0.2">
      <c r="A25" s="62" t="s">
        <v>48</v>
      </c>
      <c r="B25" s="62" t="s">
        <v>160</v>
      </c>
      <c r="C25" s="62" t="s">
        <v>201</v>
      </c>
      <c r="D25" s="62"/>
      <c r="E25" s="62">
        <f t="shared" si="2"/>
        <v>5</v>
      </c>
      <c r="F25" s="128">
        <v>19</v>
      </c>
      <c r="G25" s="129">
        <v>107.536519506418</v>
      </c>
      <c r="H25" s="129">
        <v>64.471553633934889</v>
      </c>
      <c r="I25" s="129">
        <v>168.28236229847107</v>
      </c>
      <c r="J25" s="129"/>
      <c r="K25" s="129"/>
      <c r="L25" s="129"/>
      <c r="M25" s="60">
        <f t="shared" si="0"/>
        <v>5</v>
      </c>
      <c r="N25" s="61">
        <f t="shared" si="3"/>
        <v>35.630369695278844</v>
      </c>
      <c r="O25" s="61">
        <f t="shared" si="16"/>
        <v>111.63492272418807</v>
      </c>
      <c r="P25" s="129">
        <f t="shared" si="4"/>
        <v>132.33064583324659</v>
      </c>
      <c r="Q25" s="129">
        <f t="shared" si="5"/>
        <v>124.23698379484173</v>
      </c>
      <c r="R25" s="129">
        <f t="shared" si="6"/>
        <v>140.79919122858618</v>
      </c>
      <c r="S25" s="61">
        <f t="shared" si="7"/>
        <v>157.86774973748336</v>
      </c>
      <c r="T25" s="61">
        <f t="shared" si="1"/>
        <v>241.4281734131078</v>
      </c>
      <c r="U25" s="61">
        <f t="shared" si="17"/>
        <v>135.51913301613476</v>
      </c>
      <c r="V25" s="61"/>
      <c r="Y25" s="163" t="s">
        <v>34</v>
      </c>
      <c r="Z25" s="163" t="s">
        <v>59</v>
      </c>
      <c r="AA25" s="163" t="s">
        <v>200</v>
      </c>
      <c r="AB25" s="163">
        <f t="shared" si="22"/>
        <v>5</v>
      </c>
      <c r="AC25" s="166">
        <f t="shared" si="23"/>
        <v>111.63492272418807</v>
      </c>
      <c r="AD25" s="166">
        <f t="shared" si="24"/>
        <v>241.4281734131078</v>
      </c>
      <c r="AE25" s="163"/>
      <c r="AF25" s="163">
        <f t="shared" si="10"/>
        <v>16</v>
      </c>
      <c r="AG25" s="168">
        <f t="shared" si="11"/>
        <v>59</v>
      </c>
      <c r="AH25" s="166">
        <f t="shared" si="12"/>
        <v>131.17932400494263</v>
      </c>
      <c r="AI25" s="166">
        <f t="shared" si="13"/>
        <v>98.867680492773232</v>
      </c>
      <c r="AJ25" s="166">
        <f t="shared" si="14"/>
        <v>170.41236948577156</v>
      </c>
      <c r="AK25" s="168">
        <f t="shared" si="15"/>
        <v>5</v>
      </c>
    </row>
    <row r="26" spans="1:37" x14ac:dyDescent="0.2">
      <c r="A26" s="62" t="s">
        <v>49</v>
      </c>
      <c r="B26" s="62" t="s">
        <v>70</v>
      </c>
      <c r="C26" s="62" t="s">
        <v>200</v>
      </c>
      <c r="D26" s="62"/>
      <c r="E26" s="62">
        <f t="shared" si="2"/>
        <v>15</v>
      </c>
      <c r="F26" s="128">
        <v>31</v>
      </c>
      <c r="G26" s="129">
        <v>130.82353452873829</v>
      </c>
      <c r="H26" s="129">
        <v>86.669922554208384</v>
      </c>
      <c r="I26" s="129">
        <v>188.58038899200866</v>
      </c>
      <c r="J26" s="129"/>
      <c r="K26" s="129"/>
      <c r="L26" s="129"/>
      <c r="M26" s="60">
        <f t="shared" si="0"/>
        <v>5</v>
      </c>
      <c r="N26" s="61">
        <f t="shared" si="3"/>
        <v>35.630369695278844</v>
      </c>
      <c r="O26" s="61">
        <f t="shared" si="16"/>
        <v>111.63492272418807</v>
      </c>
      <c r="P26" s="129">
        <f t="shared" si="4"/>
        <v>132.33064583324659</v>
      </c>
      <c r="Q26" s="129">
        <f t="shared" si="5"/>
        <v>124.23698379484173</v>
      </c>
      <c r="R26" s="129">
        <f t="shared" si="6"/>
        <v>140.79919122858618</v>
      </c>
      <c r="S26" s="61">
        <f t="shared" si="7"/>
        <v>157.86774973748336</v>
      </c>
      <c r="T26" s="61">
        <f t="shared" si="1"/>
        <v>241.4281734131078</v>
      </c>
      <c r="U26" s="61">
        <f t="shared" si="17"/>
        <v>141.56147325019262</v>
      </c>
      <c r="V26" s="61"/>
      <c r="Y26" s="163" t="s">
        <v>39</v>
      </c>
      <c r="Z26" s="163" t="s">
        <v>158</v>
      </c>
      <c r="AA26" s="163" t="s">
        <v>200</v>
      </c>
      <c r="AB26" s="163">
        <f t="shared" si="22"/>
        <v>2</v>
      </c>
      <c r="AC26" s="166">
        <f t="shared" si="23"/>
        <v>111.63492272418807</v>
      </c>
      <c r="AD26" s="166">
        <f t="shared" si="24"/>
        <v>241.4281734131078</v>
      </c>
      <c r="AE26" s="163"/>
      <c r="AF26" s="163">
        <f t="shared" si="10"/>
        <v>9</v>
      </c>
      <c r="AG26" s="168">
        <f t="shared" si="11"/>
        <v>42</v>
      </c>
      <c r="AH26" s="166">
        <f t="shared" si="12"/>
        <v>117.77826863885193</v>
      </c>
      <c r="AI26" s="166">
        <f t="shared" si="13"/>
        <v>84.145673115127835</v>
      </c>
      <c r="AJ26" s="166">
        <f t="shared" si="14"/>
        <v>160.12467510399898</v>
      </c>
      <c r="AK26" s="168">
        <f t="shared" si="15"/>
        <v>5</v>
      </c>
    </row>
    <row r="27" spans="1:37" x14ac:dyDescent="0.2">
      <c r="A27" s="62" t="s">
        <v>50</v>
      </c>
      <c r="B27" s="62" t="s">
        <v>161</v>
      </c>
      <c r="C27" s="62" t="s">
        <v>163</v>
      </c>
      <c r="D27" s="62"/>
      <c r="E27" s="62">
        <f t="shared" si="2"/>
        <v>11</v>
      </c>
      <c r="F27" s="128">
        <v>20</v>
      </c>
      <c r="G27" s="129">
        <v>121.67538563180538</v>
      </c>
      <c r="H27" s="129">
        <v>73.922931872455777</v>
      </c>
      <c r="I27" s="129">
        <v>188.44225438733386</v>
      </c>
      <c r="J27" s="129"/>
      <c r="K27" s="129"/>
      <c r="L27" s="129"/>
      <c r="M27" s="60">
        <f t="shared" si="0"/>
        <v>5</v>
      </c>
      <c r="N27" s="61">
        <f t="shared" si="3"/>
        <v>35.630369695278844</v>
      </c>
      <c r="O27" s="61">
        <f t="shared" si="16"/>
        <v>111.63492272418807</v>
      </c>
      <c r="P27" s="129">
        <f t="shared" si="4"/>
        <v>132.33064583324659</v>
      </c>
      <c r="Q27" s="129">
        <f t="shared" si="5"/>
        <v>124.23698379484173</v>
      </c>
      <c r="R27" s="129">
        <f t="shared" si="6"/>
        <v>140.79919122858618</v>
      </c>
      <c r="S27" s="61">
        <f t="shared" si="7"/>
        <v>157.86774973748336</v>
      </c>
      <c r="T27" s="61">
        <f t="shared" si="1"/>
        <v>241.4281734131078</v>
      </c>
      <c r="U27" s="61">
        <f t="shared" si="17"/>
        <v>129.72414513846829</v>
      </c>
      <c r="V27" s="61"/>
      <c r="Y27" s="163" t="s">
        <v>40</v>
      </c>
      <c r="Z27" s="163" t="s">
        <v>63</v>
      </c>
      <c r="AA27" s="163" t="s">
        <v>200</v>
      </c>
      <c r="AB27" s="163">
        <f t="shared" si="22"/>
        <v>7</v>
      </c>
      <c r="AC27" s="166">
        <f t="shared" si="23"/>
        <v>111.63492272418807</v>
      </c>
      <c r="AD27" s="166">
        <f t="shared" si="24"/>
        <v>241.4281734131078</v>
      </c>
      <c r="AE27" s="163"/>
      <c r="AF27" s="163">
        <f t="shared" si="10"/>
        <v>19</v>
      </c>
      <c r="AG27" s="168">
        <f t="shared" si="11"/>
        <v>40</v>
      </c>
      <c r="AH27" s="166">
        <f t="shared" si="12"/>
        <v>156.31637344642064</v>
      </c>
      <c r="AI27" s="166">
        <f t="shared" si="13"/>
        <v>110.84474832872972</v>
      </c>
      <c r="AJ27" s="166">
        <f t="shared" si="14"/>
        <v>213.89895844515081</v>
      </c>
      <c r="AK27" s="168">
        <f t="shared" si="15"/>
        <v>5</v>
      </c>
    </row>
    <row r="28" spans="1:37" x14ac:dyDescent="0.2">
      <c r="A28" s="62" t="s">
        <v>51</v>
      </c>
      <c r="B28" s="62" t="s">
        <v>71</v>
      </c>
      <c r="C28" s="62" t="s">
        <v>200</v>
      </c>
      <c r="D28" s="62"/>
      <c r="E28" s="62">
        <f t="shared" si="2"/>
        <v>26</v>
      </c>
      <c r="F28" s="128">
        <v>34</v>
      </c>
      <c r="G28" s="129">
        <v>241.4281734131078</v>
      </c>
      <c r="H28" s="129">
        <v>164.01038624055852</v>
      </c>
      <c r="I28" s="129">
        <v>341.46525794787601</v>
      </c>
      <c r="J28" s="129"/>
      <c r="K28" s="129"/>
      <c r="L28" s="129"/>
      <c r="M28" s="60">
        <f t="shared" si="0"/>
        <v>1</v>
      </c>
      <c r="N28" s="61">
        <f t="shared" si="3"/>
        <v>35.630369695278844</v>
      </c>
      <c r="O28" s="61">
        <f t="shared" si="16"/>
        <v>111.63492272418807</v>
      </c>
      <c r="P28" s="129">
        <f t="shared" si="4"/>
        <v>132.33064583324659</v>
      </c>
      <c r="Q28" s="129">
        <f t="shared" si="5"/>
        <v>124.23698379484173</v>
      </c>
      <c r="R28" s="129">
        <f t="shared" si="6"/>
        <v>140.79919122858618</v>
      </c>
      <c r="S28" s="61">
        <f t="shared" si="7"/>
        <v>157.86774973748336</v>
      </c>
      <c r="T28" s="61">
        <f t="shared" si="1"/>
        <v>241.4281734131078</v>
      </c>
      <c r="U28" s="61">
        <f t="shared" si="17"/>
        <v>141.56147325019262</v>
      </c>
      <c r="V28" s="61"/>
      <c r="Y28" s="163" t="s">
        <v>42</v>
      </c>
      <c r="Z28" s="163" t="s">
        <v>65</v>
      </c>
      <c r="AA28" s="163" t="s">
        <v>200</v>
      </c>
      <c r="AB28" s="163">
        <f t="shared" si="22"/>
        <v>1</v>
      </c>
      <c r="AC28" s="166">
        <f t="shared" si="23"/>
        <v>111.63492272418807</v>
      </c>
      <c r="AD28" s="166">
        <f t="shared" si="24"/>
        <v>241.4281734131078</v>
      </c>
      <c r="AE28" s="163"/>
      <c r="AF28" s="163">
        <f t="shared" si="10"/>
        <v>7</v>
      </c>
      <c r="AG28" s="168">
        <f t="shared" si="11"/>
        <v>16</v>
      </c>
      <c r="AH28" s="166">
        <f t="shared" si="12"/>
        <v>111.63492272418807</v>
      </c>
      <c r="AI28" s="166">
        <f t="shared" si="13"/>
        <v>61.855555991984716</v>
      </c>
      <c r="AJ28" s="166">
        <f t="shared" si="14"/>
        <v>184.08148734700276</v>
      </c>
      <c r="AK28" s="168">
        <f t="shared" si="15"/>
        <v>5</v>
      </c>
    </row>
    <row r="29" spans="1:37" x14ac:dyDescent="0.2">
      <c r="A29" s="62" t="s">
        <v>52</v>
      </c>
      <c r="B29" s="62" t="s">
        <v>72</v>
      </c>
      <c r="C29" s="62" t="s">
        <v>201</v>
      </c>
      <c r="D29" s="62"/>
      <c r="E29" s="62">
        <f t="shared" si="2"/>
        <v>1</v>
      </c>
      <c r="F29" s="128" t="s">
        <v>79</v>
      </c>
      <c r="G29" s="129">
        <v>35.630369695278844</v>
      </c>
      <c r="H29" s="129">
        <v>4.124401562503432</v>
      </c>
      <c r="I29" s="129">
        <v>97.627573525307227</v>
      </c>
      <c r="J29" s="129"/>
      <c r="K29" s="129"/>
      <c r="L29" s="129"/>
      <c r="M29" s="60">
        <f t="shared" si="0"/>
        <v>2</v>
      </c>
      <c r="N29" s="61">
        <f t="shared" si="3"/>
        <v>35.630369695278844</v>
      </c>
      <c r="O29" s="61">
        <f t="shared" si="16"/>
        <v>111.63492272418807</v>
      </c>
      <c r="P29" s="129">
        <f t="shared" si="4"/>
        <v>132.33064583324659</v>
      </c>
      <c r="Q29" s="129">
        <f t="shared" si="5"/>
        <v>124.23698379484173</v>
      </c>
      <c r="R29" s="129">
        <f t="shared" si="6"/>
        <v>140.79919122858618</v>
      </c>
      <c r="S29" s="61">
        <f t="shared" si="7"/>
        <v>157.86774973748336</v>
      </c>
      <c r="T29" s="61">
        <f t="shared" si="1"/>
        <v>241.4281734131078</v>
      </c>
      <c r="U29" s="61">
        <f t="shared" si="17"/>
        <v>135.51913301613476</v>
      </c>
      <c r="V29" s="61"/>
      <c r="Y29" s="163" t="s">
        <v>44</v>
      </c>
      <c r="Z29" s="163" t="s">
        <v>66</v>
      </c>
      <c r="AA29" s="163" t="s">
        <v>200</v>
      </c>
      <c r="AB29" s="163">
        <f t="shared" si="22"/>
        <v>3</v>
      </c>
      <c r="AC29" s="166">
        <f t="shared" si="23"/>
        <v>111.63492272418807</v>
      </c>
      <c r="AD29" s="166">
        <f t="shared" si="24"/>
        <v>241.4281734131078</v>
      </c>
      <c r="AE29" s="163"/>
      <c r="AF29" s="163">
        <f t="shared" si="10"/>
        <v>10</v>
      </c>
      <c r="AG29" s="168">
        <f t="shared" si="11"/>
        <v>14</v>
      </c>
      <c r="AH29" s="166">
        <f t="shared" si="12"/>
        <v>118.61482928963224</v>
      </c>
      <c r="AI29" s="166">
        <f t="shared" si="13"/>
        <v>63.447331993688827</v>
      </c>
      <c r="AJ29" s="166">
        <f t="shared" si="14"/>
        <v>201.03861908809745</v>
      </c>
      <c r="AK29" s="168">
        <f t="shared" si="15"/>
        <v>5</v>
      </c>
    </row>
    <row r="30" spans="1:37" x14ac:dyDescent="0.2">
      <c r="A30" s="62" t="s">
        <v>53</v>
      </c>
      <c r="B30" s="62" t="s">
        <v>162</v>
      </c>
      <c r="C30" s="62" t="s">
        <v>163</v>
      </c>
      <c r="D30" s="62"/>
      <c r="E30" s="62">
        <f t="shared" si="2"/>
        <v>4</v>
      </c>
      <c r="F30" s="128">
        <v>89</v>
      </c>
      <c r="G30" s="129">
        <v>105.15645524974396</v>
      </c>
      <c r="H30" s="129">
        <v>84.028047317822043</v>
      </c>
      <c r="I30" s="129">
        <v>129.89588583877037</v>
      </c>
      <c r="J30" s="129"/>
      <c r="K30" s="129"/>
      <c r="L30" s="129"/>
      <c r="M30" s="60">
        <f t="shared" si="0"/>
        <v>5</v>
      </c>
      <c r="N30" s="61">
        <f t="shared" si="3"/>
        <v>35.630369695278844</v>
      </c>
      <c r="O30" s="61">
        <f t="shared" si="16"/>
        <v>111.63492272418807</v>
      </c>
      <c r="P30" s="129">
        <f>$G$32</f>
        <v>132.33064583324659</v>
      </c>
      <c r="Q30" s="129">
        <f t="shared" si="5"/>
        <v>124.23698379484173</v>
      </c>
      <c r="R30" s="129">
        <f t="shared" si="6"/>
        <v>140.79919122858618</v>
      </c>
      <c r="S30" s="61">
        <f t="shared" si="7"/>
        <v>157.86774973748336</v>
      </c>
      <c r="T30" s="61">
        <f t="shared" si="1"/>
        <v>241.4281734131078</v>
      </c>
      <c r="U30" s="61">
        <f t="shared" si="17"/>
        <v>129.72414513846829</v>
      </c>
      <c r="V30" s="61"/>
      <c r="Y30" s="163" t="s">
        <v>49</v>
      </c>
      <c r="Z30" s="163" t="s">
        <v>70</v>
      </c>
      <c r="AA30" s="163" t="s">
        <v>200</v>
      </c>
      <c r="AB30" s="163">
        <f t="shared" si="22"/>
        <v>4</v>
      </c>
      <c r="AC30" s="166">
        <f t="shared" si="23"/>
        <v>111.63492272418807</v>
      </c>
      <c r="AD30" s="166">
        <f t="shared" si="24"/>
        <v>241.4281734131078</v>
      </c>
      <c r="AE30" s="163"/>
      <c r="AF30" s="163">
        <f t="shared" si="10"/>
        <v>15</v>
      </c>
      <c r="AG30" s="168">
        <f t="shared" si="11"/>
        <v>31</v>
      </c>
      <c r="AH30" s="166">
        <f t="shared" si="12"/>
        <v>130.82353452873829</v>
      </c>
      <c r="AI30" s="166">
        <f t="shared" si="13"/>
        <v>86.669922554208384</v>
      </c>
      <c r="AJ30" s="166">
        <f t="shared" si="14"/>
        <v>188.58038899200866</v>
      </c>
      <c r="AK30" s="168">
        <f t="shared" si="15"/>
        <v>5</v>
      </c>
    </row>
    <row r="31" spans="1:37" x14ac:dyDescent="0.2">
      <c r="A31" s="62" t="s">
        <v>54</v>
      </c>
      <c r="B31" s="62" t="s">
        <v>73</v>
      </c>
      <c r="C31" s="62" t="s">
        <v>201</v>
      </c>
      <c r="D31" s="62"/>
      <c r="E31" s="62">
        <f t="shared" si="2"/>
        <v>22</v>
      </c>
      <c r="F31" s="128">
        <v>18</v>
      </c>
      <c r="G31" s="129">
        <v>165.0571893738213</v>
      </c>
      <c r="H31" s="129">
        <v>92.068020859377597</v>
      </c>
      <c r="I31" s="129">
        <v>269.00005661013057</v>
      </c>
      <c r="J31" s="129"/>
      <c r="K31" s="129"/>
      <c r="L31" s="129"/>
      <c r="M31" s="60">
        <f t="shared" si="0"/>
        <v>5</v>
      </c>
      <c r="N31" s="61">
        <f t="shared" si="3"/>
        <v>35.630369695278844</v>
      </c>
      <c r="O31" s="61">
        <f t="shared" si="16"/>
        <v>111.63492272418807</v>
      </c>
      <c r="P31" s="129">
        <f t="shared" si="4"/>
        <v>132.33064583324659</v>
      </c>
      <c r="Q31" s="129">
        <f t="shared" si="5"/>
        <v>124.23698379484173</v>
      </c>
      <c r="R31" s="129">
        <f t="shared" si="6"/>
        <v>140.79919122858618</v>
      </c>
      <c r="S31" s="61">
        <f t="shared" si="7"/>
        <v>157.86774973748336</v>
      </c>
      <c r="T31" s="61">
        <f t="shared" si="1"/>
        <v>241.4281734131078</v>
      </c>
      <c r="U31" s="61">
        <f t="shared" si="17"/>
        <v>135.51913301613476</v>
      </c>
      <c r="V31" s="61"/>
      <c r="Y31" s="163" t="s">
        <v>51</v>
      </c>
      <c r="Z31" s="163" t="s">
        <v>71</v>
      </c>
      <c r="AA31" s="163" t="s">
        <v>200</v>
      </c>
      <c r="AB31" s="163">
        <f t="shared" si="22"/>
        <v>9</v>
      </c>
      <c r="AC31" s="166">
        <f t="shared" si="23"/>
        <v>111.63492272418807</v>
      </c>
      <c r="AD31" s="166">
        <f t="shared" si="24"/>
        <v>241.4281734131078</v>
      </c>
      <c r="AE31" s="163"/>
      <c r="AF31" s="163">
        <f t="shared" si="10"/>
        <v>26</v>
      </c>
      <c r="AG31" s="168">
        <f t="shared" si="11"/>
        <v>34</v>
      </c>
      <c r="AH31" s="166">
        <f t="shared" si="12"/>
        <v>241.4281734131078</v>
      </c>
      <c r="AI31" s="166">
        <f t="shared" si="13"/>
        <v>164.01038624055852</v>
      </c>
      <c r="AJ31" s="166">
        <f t="shared" si="14"/>
        <v>341.46525794787601</v>
      </c>
      <c r="AK31" s="168">
        <f t="shared" si="15"/>
        <v>1</v>
      </c>
    </row>
    <row r="32" spans="1:37" x14ac:dyDescent="0.2">
      <c r="A32" s="62"/>
      <c r="B32" s="62" t="s">
        <v>171</v>
      </c>
      <c r="C32" s="62"/>
      <c r="D32" s="62"/>
      <c r="E32" s="62"/>
      <c r="F32" s="128">
        <v>1069</v>
      </c>
      <c r="G32" s="129">
        <v>132.33064583324659</v>
      </c>
      <c r="H32" s="129">
        <v>124.23698379484173</v>
      </c>
      <c r="I32" s="129">
        <v>140.79919122858618</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388</v>
      </c>
      <c r="G44" s="129">
        <v>129.72414513846829</v>
      </c>
      <c r="H44" s="129">
        <v>117.01107701280569</v>
      </c>
      <c r="I44" s="129">
        <v>143.43107418557855</v>
      </c>
      <c r="J44" s="129">
        <f>VLOOKUP($C44,$AA$6:$AD$13,3,FALSE)</f>
        <v>88.714133575543926</v>
      </c>
      <c r="K44" s="129">
        <f>VLOOKUP($C44,$AA$6:$AD$13,4,FALSE)</f>
        <v>214.27639527373745</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5</v>
      </c>
      <c r="N44" s="61">
        <f>MIN($G$6:$G$31)</f>
        <v>35.630369695278844</v>
      </c>
      <c r="O44" s="61">
        <f>VLOOKUP(7,$E$5:$G$39,3,FALSE)</f>
        <v>111.63492272418807</v>
      </c>
      <c r="P44" s="129">
        <f>$G$32</f>
        <v>132.33064583324659</v>
      </c>
      <c r="Q44" s="129">
        <f>$H$32</f>
        <v>124.23698379484173</v>
      </c>
      <c r="R44" s="129">
        <f>$I$32</f>
        <v>140.79919122858618</v>
      </c>
      <c r="S44" s="61">
        <f>VLOOKUP(20,$E$5:$G$39,3,FALSE)</f>
        <v>157.86774973748336</v>
      </c>
      <c r="T44" s="61">
        <f>MAX($G$6:$G$31)</f>
        <v>241.4281734131078</v>
      </c>
    </row>
    <row r="45" spans="1:22" x14ac:dyDescent="0.2">
      <c r="C45" s="62" t="s">
        <v>201</v>
      </c>
      <c r="D45" s="62"/>
      <c r="E45" s="62"/>
      <c r="F45" s="128">
        <v>336</v>
      </c>
      <c r="G45" s="129">
        <v>135.51913301613476</v>
      </c>
      <c r="H45" s="129">
        <v>119.62993848550336</v>
      </c>
      <c r="I45" s="129">
        <v>152.74734636952411</v>
      </c>
      <c r="J45" s="129">
        <f>VLOOKUP($C45,$AA$14:$AD$22,3,FALSE)</f>
        <v>35.630369695278844</v>
      </c>
      <c r="K45" s="129">
        <f>VLOOKUP($C45,$AA$14:$AD$22,4,FALSE)</f>
        <v>170.00957036196692</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5</v>
      </c>
      <c r="N45" s="61">
        <f>MIN($G$6:$G$31)</f>
        <v>35.630369695278844</v>
      </c>
      <c r="O45" s="61">
        <f>VLOOKUP(7,$E$5:$G$39,3,FALSE)</f>
        <v>111.63492272418807</v>
      </c>
      <c r="P45" s="129">
        <f>$G$32</f>
        <v>132.33064583324659</v>
      </c>
      <c r="Q45" s="129">
        <f t="shared" ref="Q45:Q46" si="25">$H$32</f>
        <v>124.23698379484173</v>
      </c>
      <c r="R45" s="129">
        <f t="shared" ref="R45:R46" si="26">$I$32</f>
        <v>140.79919122858618</v>
      </c>
      <c r="S45" s="61">
        <f>VLOOKUP(20,$E$5:$G$39,3,FALSE)</f>
        <v>157.86774973748336</v>
      </c>
      <c r="T45" s="61">
        <f t="shared" ref="T45:T46" si="27">MAX($G$6:$G$31)</f>
        <v>241.4281734131078</v>
      </c>
    </row>
    <row r="46" spans="1:22" x14ac:dyDescent="0.2">
      <c r="C46" s="62" t="s">
        <v>200</v>
      </c>
      <c r="D46" s="62"/>
      <c r="E46" s="62"/>
      <c r="F46" s="128">
        <v>345</v>
      </c>
      <c r="G46" s="129">
        <v>141.56147325019262</v>
      </c>
      <c r="H46" s="129">
        <v>126.7625338292915</v>
      </c>
      <c r="I46" s="129">
        <v>157.59044794340758</v>
      </c>
      <c r="J46" s="129">
        <f>VLOOKUP($C46,$AA$23:$AD$31,3,FALSE)</f>
        <v>111.63492272418807</v>
      </c>
      <c r="K46" s="129">
        <f>VLOOKUP($C46,$AA$23:$AD$31,4,FALSE)</f>
        <v>241.4281734131078</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5</v>
      </c>
      <c r="N46" s="61">
        <f>MIN($G$6:$G$31)</f>
        <v>35.630369695278844</v>
      </c>
      <c r="O46" s="61">
        <f>VLOOKUP(7,$E$5:$G$39,3,FALSE)</f>
        <v>111.63492272418807</v>
      </c>
      <c r="P46" s="129">
        <f t="shared" ref="P46" si="28">$G$32</f>
        <v>132.33064583324659</v>
      </c>
      <c r="Q46" s="129">
        <f t="shared" si="25"/>
        <v>124.23698379484173</v>
      </c>
      <c r="R46" s="129">
        <f t="shared" si="26"/>
        <v>140.79919122858618</v>
      </c>
      <c r="S46" s="61">
        <f>VLOOKUP(20,$E$5:$G$39,3,FALSE)</f>
        <v>157.86774973748336</v>
      </c>
      <c r="T46" s="61">
        <f t="shared" si="27"/>
        <v>241.4281734131078</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K2:N2" xr:uid="{00000000-0002-0000-1500-000000000000}">
      <formula1>"High = Worst,Low = Worst"</formula1>
    </dataValidation>
    <dataValidation type="list" allowBlank="1" showInputMessage="1" showErrorMessage="1" sqref="C2:D2" xr:uid="{00000000-0002-0000-1500-000001000000}">
      <formula1>"Better / Worse,Higher / Lower,Significance not measured"</formula1>
    </dataValidation>
  </dataValidations>
  <pageMargins left="0.75" right="0.75" top="1" bottom="1"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theme="6" tint="0.39997558519241921"/>
  </sheetPr>
  <dimension ref="A1:AK55"/>
  <sheetViews>
    <sheetView topLeftCell="A16" workbookViewId="0">
      <selection activeCell="A46" sqref="A46:XFD46"/>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8" width="7.33203125" style="21" customWidth="1"/>
    <col min="9" max="9" width="6.886718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5.554687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11</v>
      </c>
      <c r="F6" s="128">
        <v>183</v>
      </c>
      <c r="G6" s="129">
        <v>1.9108280254777099</v>
      </c>
      <c r="H6" s="129">
        <v>1.6552952718513501</v>
      </c>
      <c r="I6" s="129">
        <v>2.2049236912773602</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5</v>
      </c>
      <c r="N6" s="61">
        <f>MIN($G$6:$G$32)</f>
        <v>0.118880363125473</v>
      </c>
      <c r="O6" s="61">
        <f>VLOOKUP(7,$E$5:$G$39,3,FALSE)</f>
        <v>1.5224035522749599</v>
      </c>
      <c r="P6" s="129">
        <f>$G$32</f>
        <v>2.04505751615299</v>
      </c>
      <c r="Q6" s="129">
        <f>$H$32</f>
        <v>1.9938958541423899</v>
      </c>
      <c r="R6" s="129">
        <f>$I$32</f>
        <v>2.0975038471662302</v>
      </c>
      <c r="S6" s="61">
        <f>VLOOKUP(20,$E$5:$G$39,3,FALSE)</f>
        <v>2.734375</v>
      </c>
      <c r="T6" s="61">
        <f t="shared" ref="T6:T31" si="1">MAX($G$6:$G$31)</f>
        <v>3.22632682690756</v>
      </c>
      <c r="U6" s="61">
        <f>VLOOKUP(C6,$C$43:$I$46,5,FALSE)</f>
        <v>1.255047790592952</v>
      </c>
      <c r="V6" s="61"/>
      <c r="Y6" s="159" t="s">
        <v>33</v>
      </c>
      <c r="Z6" s="159" t="s">
        <v>58</v>
      </c>
      <c r="AA6" s="159" t="s">
        <v>163</v>
      </c>
      <c r="AB6" s="159">
        <f>RANK(AH6,$AH$6:$AH$13,1)</f>
        <v>7</v>
      </c>
      <c r="AC6" s="164">
        <f>MIN($AH$6:$AH$13)</f>
        <v>1.74323588160523</v>
      </c>
      <c r="AD6" s="164">
        <f>MAX($AH$6:$AH$13)</f>
        <v>2.7418759231905501</v>
      </c>
      <c r="AE6" s="159"/>
      <c r="AF6" s="159">
        <f>VLOOKUP($Y6,$A$6:$I$31,5,FALSE)</f>
        <v>20</v>
      </c>
      <c r="AG6" s="160">
        <f>VLOOKUP($Y6,$A$6:$I$31,6,FALSE)</f>
        <v>350</v>
      </c>
      <c r="AH6" s="161">
        <f>VLOOKUP($Y6,$A$6:$I$31,7,FALSE)</f>
        <v>2.734375</v>
      </c>
      <c r="AI6" s="161">
        <f>VLOOKUP($Y6,$A$6:$I$31,8,FALSE)</f>
        <v>2.4657207644793</v>
      </c>
      <c r="AJ6" s="161">
        <f>VLOOKUP($Y6,$A$6:$I$31,9,FALSE)</f>
        <v>3.03139087255843</v>
      </c>
      <c r="AK6" s="160">
        <f>VLOOKUP($Y6,$A$6:$M$31,13,FALSE)</f>
        <v>1</v>
      </c>
    </row>
    <row r="7" spans="1:37" x14ac:dyDescent="0.2">
      <c r="A7" s="62" t="s">
        <v>30</v>
      </c>
      <c r="B7" s="62" t="s">
        <v>56</v>
      </c>
      <c r="C7" s="62" t="s">
        <v>200</v>
      </c>
      <c r="D7" s="62"/>
      <c r="E7" s="62">
        <f t="shared" ref="E7:E31" si="2">RANK(G7,$G$6:$G$31,1)</f>
        <v>23</v>
      </c>
      <c r="F7" s="128">
        <v>334</v>
      </c>
      <c r="G7" s="129">
        <v>2.97020898176967</v>
      </c>
      <c r="H7" s="129">
        <v>2.6721401507573499</v>
      </c>
      <c r="I7" s="129">
        <v>3.3003989883188298</v>
      </c>
      <c r="J7" s="129"/>
      <c r="K7" s="129"/>
      <c r="L7" s="129"/>
      <c r="M7" s="60">
        <f t="shared" si="0"/>
        <v>1</v>
      </c>
      <c r="N7" s="61">
        <f t="shared" ref="N7:N31" si="3">MIN($G$6:$G$32)</f>
        <v>0.118880363125473</v>
      </c>
      <c r="O7" s="61">
        <f>VLOOKUP(7,$E$5:$G$39,3,FALSE)</f>
        <v>1.5224035522749599</v>
      </c>
      <c r="P7" s="129">
        <f t="shared" ref="P7:P31" si="4">$G$32</f>
        <v>2.04505751615299</v>
      </c>
      <c r="Q7" s="129">
        <f t="shared" ref="Q7:Q31" si="5">$H$32</f>
        <v>1.9938958541423899</v>
      </c>
      <c r="R7" s="129">
        <f t="shared" ref="R7:R31" si="6">$I$32</f>
        <v>2.0975038471662302</v>
      </c>
      <c r="S7" s="61">
        <f t="shared" ref="S7:S31" si="7">VLOOKUP(20,$E$5:$G$39,3,FALSE)</f>
        <v>2.734375</v>
      </c>
      <c r="T7" s="61">
        <f t="shared" si="1"/>
        <v>3.22632682690756</v>
      </c>
      <c r="U7" s="61">
        <f>VLOOKUP(C7,$C$43:$I$46,5,FALSE)</f>
        <v>2.4423636975413925</v>
      </c>
      <c r="V7" s="61"/>
      <c r="Y7" s="159" t="s">
        <v>35</v>
      </c>
      <c r="Z7" s="159" t="s">
        <v>60</v>
      </c>
      <c r="AA7" s="159" t="s">
        <v>163</v>
      </c>
      <c r="AB7" s="159">
        <f t="shared" ref="AB7:AB12" si="8">RANK(AH7,$AH$6:$AH$13,1)</f>
        <v>6</v>
      </c>
      <c r="AC7" s="164">
        <f>MIN($AH$6:$AH$13)</f>
        <v>1.74323588160523</v>
      </c>
      <c r="AD7" s="164">
        <f t="shared" ref="AD7:AD13" si="9">MAX($AH$6:$AH$13)</f>
        <v>2.7418759231905501</v>
      </c>
      <c r="AE7" s="159"/>
      <c r="AF7" s="159">
        <f t="shared" ref="AF7:AF31" si="10">VLOOKUP($Y7,$A$6:$I$31,5,FALSE)</f>
        <v>19</v>
      </c>
      <c r="AG7" s="160">
        <f t="shared" ref="AG7:AG31" si="11">VLOOKUP($Y7,$A$6:$I$31,6,FALSE)</f>
        <v>387</v>
      </c>
      <c r="AH7" s="161">
        <f t="shared" ref="AH7:AH31" si="12">VLOOKUP($Y7,$A$6:$I$31,7,FALSE)</f>
        <v>2.70402459474567</v>
      </c>
      <c r="AI7" s="161">
        <f t="shared" ref="AI7:AI31" si="13">VLOOKUP($Y7,$A$6:$I$31,8,FALSE)</f>
        <v>2.4507123696498501</v>
      </c>
      <c r="AJ7" s="161">
        <f t="shared" ref="AJ7:AJ31" si="14">VLOOKUP($Y7,$A$6:$I$31,9,FALSE)</f>
        <v>2.9827192666122802</v>
      </c>
      <c r="AK7" s="160">
        <f t="shared" ref="AK7:AK31" si="15">VLOOKUP($Y7,$A$6:$M$31,13,FALSE)</f>
        <v>1</v>
      </c>
    </row>
    <row r="8" spans="1:37" x14ac:dyDescent="0.2">
      <c r="A8" s="62" t="s">
        <v>31</v>
      </c>
      <c r="B8" s="62" t="s">
        <v>57</v>
      </c>
      <c r="C8" s="62" t="s">
        <v>200</v>
      </c>
      <c r="D8" s="62"/>
      <c r="E8" s="62">
        <f t="shared" si="2"/>
        <v>26</v>
      </c>
      <c r="F8" s="128">
        <v>400</v>
      </c>
      <c r="G8" s="129">
        <v>3.22632682690756</v>
      </c>
      <c r="H8" s="129">
        <v>2.9294938045280001</v>
      </c>
      <c r="I8" s="129">
        <v>3.55213605253625</v>
      </c>
      <c r="J8" s="129"/>
      <c r="K8" s="129"/>
      <c r="L8" s="129"/>
      <c r="M8" s="60">
        <f t="shared" si="0"/>
        <v>1</v>
      </c>
      <c r="N8" s="61">
        <f t="shared" si="3"/>
        <v>0.118880363125473</v>
      </c>
      <c r="O8" s="61">
        <f t="shared" ref="O8:O31" si="16">VLOOKUP(7,$E$5:$G$39,3,FALSE)</f>
        <v>1.5224035522749599</v>
      </c>
      <c r="P8" s="129">
        <f t="shared" si="4"/>
        <v>2.04505751615299</v>
      </c>
      <c r="Q8" s="129">
        <f t="shared" si="5"/>
        <v>1.9938958541423899</v>
      </c>
      <c r="R8" s="129">
        <f t="shared" si="6"/>
        <v>2.0975038471662302</v>
      </c>
      <c r="S8" s="61">
        <f t="shared" si="7"/>
        <v>2.734375</v>
      </c>
      <c r="T8" s="61">
        <f t="shared" si="1"/>
        <v>3.22632682690756</v>
      </c>
      <c r="U8" s="61">
        <f t="shared" ref="U8:U31" si="17">VLOOKUP(C8,$C$43:$I$46,5,FALSE)</f>
        <v>2.4423636975413925</v>
      </c>
      <c r="V8" s="61"/>
      <c r="Y8" s="159" t="s">
        <v>41</v>
      </c>
      <c r="Z8" s="159" t="s">
        <v>64</v>
      </c>
      <c r="AA8" s="159" t="s">
        <v>163</v>
      </c>
      <c r="AB8" s="159">
        <f t="shared" si="8"/>
        <v>8</v>
      </c>
      <c r="AC8" s="164">
        <f t="shared" ref="AC8:AC13" si="18">MIN($AH$6:$AH$13)</f>
        <v>1.74323588160523</v>
      </c>
      <c r="AD8" s="164">
        <f>MAX($AH$6:$AH$13)</f>
        <v>2.7418759231905501</v>
      </c>
      <c r="AE8" s="159"/>
      <c r="AF8" s="159">
        <f t="shared" si="10"/>
        <v>21</v>
      </c>
      <c r="AG8" s="160">
        <f t="shared" si="11"/>
        <v>297</v>
      </c>
      <c r="AH8" s="161">
        <f t="shared" si="12"/>
        <v>2.7418759231905501</v>
      </c>
      <c r="AI8" s="161">
        <f t="shared" si="13"/>
        <v>2.4507028783132099</v>
      </c>
      <c r="AJ8" s="161">
        <f t="shared" si="14"/>
        <v>3.06655631279496</v>
      </c>
      <c r="AK8" s="160">
        <f t="shared" si="15"/>
        <v>1</v>
      </c>
    </row>
    <row r="9" spans="1:37" x14ac:dyDescent="0.2">
      <c r="A9" s="62" t="s">
        <v>32</v>
      </c>
      <c r="B9" s="62" t="s">
        <v>156</v>
      </c>
      <c r="C9" s="62" t="s">
        <v>201</v>
      </c>
      <c r="D9" s="62"/>
      <c r="E9" s="62">
        <f t="shared" si="2"/>
        <v>7</v>
      </c>
      <c r="F9" s="128">
        <v>264</v>
      </c>
      <c r="G9" s="129">
        <v>1.5224035522749599</v>
      </c>
      <c r="H9" s="129">
        <v>1.35060391613867</v>
      </c>
      <c r="I9" s="129">
        <v>1.7156763959839101</v>
      </c>
      <c r="J9" s="129"/>
      <c r="K9" s="129"/>
      <c r="L9" s="129"/>
      <c r="M9" s="60">
        <f t="shared" si="0"/>
        <v>2</v>
      </c>
      <c r="N9" s="61">
        <f t="shared" si="3"/>
        <v>0.118880363125473</v>
      </c>
      <c r="O9" s="61">
        <f t="shared" si="16"/>
        <v>1.5224035522749599</v>
      </c>
      <c r="P9" s="129">
        <f t="shared" si="4"/>
        <v>2.04505751615299</v>
      </c>
      <c r="Q9" s="129">
        <f t="shared" si="5"/>
        <v>1.9938958541423899</v>
      </c>
      <c r="R9" s="129">
        <f t="shared" si="6"/>
        <v>2.0975038471662302</v>
      </c>
      <c r="S9" s="61">
        <f t="shared" si="7"/>
        <v>2.734375</v>
      </c>
      <c r="T9" s="61">
        <f t="shared" si="1"/>
        <v>3.22632682690756</v>
      </c>
      <c r="U9" s="61">
        <f t="shared" si="17"/>
        <v>1.255047790592952</v>
      </c>
      <c r="V9" s="61"/>
      <c r="X9" s="63"/>
      <c r="Y9" s="159" t="s">
        <v>45</v>
      </c>
      <c r="Z9" s="159" t="s">
        <v>67</v>
      </c>
      <c r="AA9" s="159" t="s">
        <v>163</v>
      </c>
      <c r="AB9" s="159">
        <f t="shared" si="8"/>
        <v>2</v>
      </c>
      <c r="AC9" s="164">
        <f t="shared" si="18"/>
        <v>1.74323588160523</v>
      </c>
      <c r="AD9" s="164">
        <f t="shared" si="9"/>
        <v>2.7418759231905501</v>
      </c>
      <c r="AE9" s="159"/>
      <c r="AF9" s="159">
        <f t="shared" si="10"/>
        <v>15</v>
      </c>
      <c r="AG9" s="160">
        <f t="shared" si="11"/>
        <v>200</v>
      </c>
      <c r="AH9" s="161">
        <f t="shared" si="12"/>
        <v>2.2912131973880201</v>
      </c>
      <c r="AI9" s="161">
        <f t="shared" si="13"/>
        <v>1.99768645743361</v>
      </c>
      <c r="AJ9" s="161">
        <f t="shared" si="14"/>
        <v>2.62671283717158</v>
      </c>
      <c r="AK9" s="160">
        <f t="shared" si="15"/>
        <v>5</v>
      </c>
    </row>
    <row r="10" spans="1:37" x14ac:dyDescent="0.2">
      <c r="A10" s="62" t="s">
        <v>33</v>
      </c>
      <c r="B10" s="62" t="s">
        <v>58</v>
      </c>
      <c r="C10" s="62" t="s">
        <v>163</v>
      </c>
      <c r="D10" s="62"/>
      <c r="E10" s="62">
        <f t="shared" si="2"/>
        <v>20</v>
      </c>
      <c r="F10" s="128">
        <v>350</v>
      </c>
      <c r="G10" s="129">
        <v>2.734375</v>
      </c>
      <c r="H10" s="129">
        <v>2.4657207644793</v>
      </c>
      <c r="I10" s="129">
        <v>3.03139087255843</v>
      </c>
      <c r="J10" s="129"/>
      <c r="K10" s="129"/>
      <c r="L10" s="129"/>
      <c r="M10" s="60">
        <f t="shared" si="0"/>
        <v>1</v>
      </c>
      <c r="N10" s="61">
        <f t="shared" si="3"/>
        <v>0.118880363125473</v>
      </c>
      <c r="O10" s="61">
        <f t="shared" si="16"/>
        <v>1.5224035522749599</v>
      </c>
      <c r="P10" s="129">
        <f t="shared" si="4"/>
        <v>2.04505751615299</v>
      </c>
      <c r="Q10" s="129">
        <f t="shared" si="5"/>
        <v>1.9938958541423899</v>
      </c>
      <c r="R10" s="129">
        <f t="shared" si="6"/>
        <v>2.0975038471662302</v>
      </c>
      <c r="S10" s="61">
        <f t="shared" si="7"/>
        <v>2.734375</v>
      </c>
      <c r="T10" s="61">
        <f t="shared" si="1"/>
        <v>3.22632682690756</v>
      </c>
      <c r="U10" s="61">
        <f t="shared" si="17"/>
        <v>2.5313594756469655</v>
      </c>
      <c r="V10" s="61"/>
      <c r="Y10" s="159" t="s">
        <v>46</v>
      </c>
      <c r="Z10" s="159" t="s">
        <v>68</v>
      </c>
      <c r="AA10" s="159" t="s">
        <v>163</v>
      </c>
      <c r="AB10" s="159">
        <f t="shared" si="8"/>
        <v>3</v>
      </c>
      <c r="AC10" s="164">
        <f t="shared" si="18"/>
        <v>1.74323588160523</v>
      </c>
      <c r="AD10" s="164">
        <f t="shared" si="9"/>
        <v>2.7418759231905501</v>
      </c>
      <c r="AE10" s="159"/>
      <c r="AF10" s="159">
        <f t="shared" si="10"/>
        <v>16</v>
      </c>
      <c r="AG10" s="160">
        <f t="shared" si="11"/>
        <v>258</v>
      </c>
      <c r="AH10" s="161">
        <f t="shared" si="12"/>
        <v>2.3611238217260002</v>
      </c>
      <c r="AI10" s="161">
        <f t="shared" si="13"/>
        <v>2.0927362943540802</v>
      </c>
      <c r="AJ10" s="161">
        <f t="shared" si="14"/>
        <v>2.66299509905302</v>
      </c>
      <c r="AK10" s="160">
        <f t="shared" si="15"/>
        <v>5</v>
      </c>
    </row>
    <row r="11" spans="1:37" x14ac:dyDescent="0.2">
      <c r="A11" s="62" t="s">
        <v>34</v>
      </c>
      <c r="B11" s="62" t="s">
        <v>59</v>
      </c>
      <c r="C11" s="62" t="s">
        <v>200</v>
      </c>
      <c r="D11" s="62"/>
      <c r="E11" s="62">
        <f t="shared" si="2"/>
        <v>24</v>
      </c>
      <c r="F11" s="128">
        <v>471</v>
      </c>
      <c r="G11" s="129">
        <v>3.0526929807505399</v>
      </c>
      <c r="H11" s="129">
        <v>2.7927119354239398</v>
      </c>
      <c r="I11" s="129">
        <v>3.3360457618832799</v>
      </c>
      <c r="J11" s="129"/>
      <c r="K11" s="129"/>
      <c r="L11" s="129"/>
      <c r="M11" s="60">
        <f t="shared" si="0"/>
        <v>1</v>
      </c>
      <c r="N11" s="61">
        <f t="shared" si="3"/>
        <v>0.118880363125473</v>
      </c>
      <c r="O11" s="61">
        <f t="shared" si="16"/>
        <v>1.5224035522749599</v>
      </c>
      <c r="P11" s="129">
        <f t="shared" si="4"/>
        <v>2.04505751615299</v>
      </c>
      <c r="Q11" s="129">
        <f t="shared" si="5"/>
        <v>1.9938958541423899</v>
      </c>
      <c r="R11" s="129">
        <f t="shared" si="6"/>
        <v>2.0975038471662302</v>
      </c>
      <c r="S11" s="61">
        <f t="shared" si="7"/>
        <v>2.734375</v>
      </c>
      <c r="T11" s="61">
        <f t="shared" si="1"/>
        <v>3.22632682690756</v>
      </c>
      <c r="U11" s="61">
        <f t="shared" si="17"/>
        <v>2.4423636975413925</v>
      </c>
      <c r="V11" s="61"/>
      <c r="Y11" s="159" t="s">
        <v>47</v>
      </c>
      <c r="Z11" s="159" t="s">
        <v>69</v>
      </c>
      <c r="AA11" s="159" t="s">
        <v>163</v>
      </c>
      <c r="AB11" s="159">
        <f t="shared" si="8"/>
        <v>1</v>
      </c>
      <c r="AC11" s="164">
        <f t="shared" si="18"/>
        <v>1.74323588160523</v>
      </c>
      <c r="AD11" s="164">
        <f t="shared" si="9"/>
        <v>2.7418759231905501</v>
      </c>
      <c r="AE11" s="159"/>
      <c r="AF11" s="159">
        <f t="shared" si="10"/>
        <v>9</v>
      </c>
      <c r="AG11" s="160">
        <f t="shared" si="11"/>
        <v>96</v>
      </c>
      <c r="AH11" s="161">
        <f t="shared" si="12"/>
        <v>1.74323588160523</v>
      </c>
      <c r="AI11" s="161">
        <f t="shared" si="13"/>
        <v>1.42970078113361</v>
      </c>
      <c r="AJ11" s="161">
        <f t="shared" si="14"/>
        <v>2.1240479573141098</v>
      </c>
      <c r="AK11" s="160">
        <f t="shared" si="15"/>
        <v>5</v>
      </c>
    </row>
    <row r="12" spans="1:37" x14ac:dyDescent="0.2">
      <c r="A12" s="62" t="s">
        <v>35</v>
      </c>
      <c r="B12" s="62" t="s">
        <v>60</v>
      </c>
      <c r="C12" s="62" t="s">
        <v>163</v>
      </c>
      <c r="D12" s="62"/>
      <c r="E12" s="62">
        <f t="shared" si="2"/>
        <v>19</v>
      </c>
      <c r="F12" s="128">
        <v>387</v>
      </c>
      <c r="G12" s="129">
        <v>2.70402459474567</v>
      </c>
      <c r="H12" s="129">
        <v>2.4507123696498501</v>
      </c>
      <c r="I12" s="129">
        <v>2.9827192666122802</v>
      </c>
      <c r="J12" s="129"/>
      <c r="K12" s="129"/>
      <c r="L12" s="129"/>
      <c r="M12" s="60">
        <f t="shared" si="0"/>
        <v>1</v>
      </c>
      <c r="N12" s="61">
        <f t="shared" si="3"/>
        <v>0.118880363125473</v>
      </c>
      <c r="O12" s="61">
        <f t="shared" si="16"/>
        <v>1.5224035522749599</v>
      </c>
      <c r="P12" s="129">
        <f t="shared" si="4"/>
        <v>2.04505751615299</v>
      </c>
      <c r="Q12" s="129">
        <f t="shared" si="5"/>
        <v>1.9938958541423899</v>
      </c>
      <c r="R12" s="129">
        <f t="shared" si="6"/>
        <v>2.0975038471662302</v>
      </c>
      <c r="S12" s="61">
        <f t="shared" si="7"/>
        <v>2.734375</v>
      </c>
      <c r="T12" s="61">
        <f t="shared" si="1"/>
        <v>3.22632682690756</v>
      </c>
      <c r="U12" s="61">
        <f t="shared" si="17"/>
        <v>2.5313594756469655</v>
      </c>
      <c r="V12" s="61"/>
      <c r="Y12" s="159" t="s">
        <v>50</v>
      </c>
      <c r="Z12" s="159" t="s">
        <v>161</v>
      </c>
      <c r="AA12" s="159" t="s">
        <v>163</v>
      </c>
      <c r="AB12" s="159">
        <f t="shared" si="8"/>
        <v>4</v>
      </c>
      <c r="AC12" s="164">
        <f t="shared" si="18"/>
        <v>1.74323588160523</v>
      </c>
      <c r="AD12" s="164">
        <f t="shared" si="9"/>
        <v>2.7418759231905501</v>
      </c>
      <c r="AE12" s="159"/>
      <c r="AF12" s="159">
        <f t="shared" si="10"/>
        <v>17</v>
      </c>
      <c r="AG12" s="160">
        <f t="shared" si="11"/>
        <v>143</v>
      </c>
      <c r="AH12" s="161">
        <f t="shared" si="12"/>
        <v>2.5381611643592499</v>
      </c>
      <c r="AI12" s="161">
        <f t="shared" si="13"/>
        <v>2.1586761934823899</v>
      </c>
      <c r="AJ12" s="161">
        <f t="shared" si="14"/>
        <v>2.9823243283968099</v>
      </c>
      <c r="AK12" s="160">
        <f t="shared" si="15"/>
        <v>1</v>
      </c>
    </row>
    <row r="13" spans="1:37" x14ac:dyDescent="0.2">
      <c r="A13" s="62" t="s">
        <v>36</v>
      </c>
      <c r="B13" s="62" t="s">
        <v>61</v>
      </c>
      <c r="C13" s="62" t="s">
        <v>201</v>
      </c>
      <c r="D13" s="62"/>
      <c r="E13" s="62">
        <f t="shared" si="2"/>
        <v>1</v>
      </c>
      <c r="F13" s="128">
        <v>22</v>
      </c>
      <c r="G13" s="129">
        <v>0.118880363125473</v>
      </c>
      <c r="H13" s="129">
        <v>7.8523229664811803E-2</v>
      </c>
      <c r="I13" s="129">
        <v>0.17994175463626</v>
      </c>
      <c r="J13" s="129"/>
      <c r="K13" s="129"/>
      <c r="L13" s="129"/>
      <c r="M13" s="60">
        <f t="shared" si="0"/>
        <v>2</v>
      </c>
      <c r="N13" s="61">
        <f t="shared" si="3"/>
        <v>0.118880363125473</v>
      </c>
      <c r="O13" s="61">
        <f t="shared" si="16"/>
        <v>1.5224035522749599</v>
      </c>
      <c r="P13" s="129">
        <f t="shared" si="4"/>
        <v>2.04505751615299</v>
      </c>
      <c r="Q13" s="129">
        <f t="shared" si="5"/>
        <v>1.9938958541423899</v>
      </c>
      <c r="R13" s="129">
        <f t="shared" si="6"/>
        <v>2.0975038471662302</v>
      </c>
      <c r="S13" s="61">
        <f t="shared" si="7"/>
        <v>2.734375</v>
      </c>
      <c r="T13" s="61">
        <f t="shared" si="1"/>
        <v>3.22632682690756</v>
      </c>
      <c r="U13" s="61">
        <f t="shared" si="17"/>
        <v>1.255047790592952</v>
      </c>
      <c r="V13" s="61"/>
      <c r="Y13" s="159" t="s">
        <v>53</v>
      </c>
      <c r="Z13" s="159" t="s">
        <v>162</v>
      </c>
      <c r="AA13" s="159" t="s">
        <v>163</v>
      </c>
      <c r="AB13" s="159">
        <f>RANK(AH13,$AH$6:$AH$13,1)</f>
        <v>5</v>
      </c>
      <c r="AC13" s="164">
        <f t="shared" si="18"/>
        <v>1.74323588160523</v>
      </c>
      <c r="AD13" s="164">
        <f t="shared" si="9"/>
        <v>2.7418759231905501</v>
      </c>
      <c r="AE13" s="159"/>
      <c r="AF13" s="159">
        <f t="shared" si="10"/>
        <v>18</v>
      </c>
      <c r="AG13" s="160">
        <f t="shared" si="11"/>
        <v>733</v>
      </c>
      <c r="AH13" s="161">
        <f t="shared" si="12"/>
        <v>2.56311630183929</v>
      </c>
      <c r="AI13" s="161">
        <f t="shared" si="13"/>
        <v>2.38623088376607</v>
      </c>
      <c r="AJ13" s="161">
        <f t="shared" si="14"/>
        <v>2.7527440348135199</v>
      </c>
      <c r="AK13" s="160">
        <f t="shared" si="15"/>
        <v>1</v>
      </c>
    </row>
    <row r="14" spans="1:37" x14ac:dyDescent="0.2">
      <c r="A14" s="62" t="s">
        <v>37</v>
      </c>
      <c r="B14" s="62" t="s">
        <v>157</v>
      </c>
      <c r="C14" s="62" t="s">
        <v>201</v>
      </c>
      <c r="D14" s="62"/>
      <c r="E14" s="62">
        <f t="shared" si="2"/>
        <v>4</v>
      </c>
      <c r="F14" s="128">
        <v>240</v>
      </c>
      <c r="G14" s="129">
        <v>0.99800399201596801</v>
      </c>
      <c r="H14" s="129">
        <v>0.879965881815019</v>
      </c>
      <c r="I14" s="129">
        <v>1.13169488706657</v>
      </c>
      <c r="J14" s="129"/>
      <c r="K14" s="129"/>
      <c r="L14" s="129"/>
      <c r="M14" s="60">
        <f t="shared" si="0"/>
        <v>2</v>
      </c>
      <c r="N14" s="61">
        <f t="shared" si="3"/>
        <v>0.118880363125473</v>
      </c>
      <c r="O14" s="61">
        <f t="shared" si="16"/>
        <v>1.5224035522749599</v>
      </c>
      <c r="P14" s="129">
        <f t="shared" si="4"/>
        <v>2.04505751615299</v>
      </c>
      <c r="Q14" s="129">
        <f t="shared" si="5"/>
        <v>1.9938958541423899</v>
      </c>
      <c r="R14" s="129">
        <f t="shared" si="6"/>
        <v>2.0975038471662302</v>
      </c>
      <c r="S14" s="61">
        <f t="shared" si="7"/>
        <v>2.734375</v>
      </c>
      <c r="T14" s="61">
        <f t="shared" si="1"/>
        <v>3.22632682690756</v>
      </c>
      <c r="U14" s="61">
        <f t="shared" si="17"/>
        <v>1.255047790592952</v>
      </c>
      <c r="V14" s="61"/>
      <c r="Y14" s="162" t="s">
        <v>29</v>
      </c>
      <c r="Z14" s="162" t="s">
        <v>55</v>
      </c>
      <c r="AA14" s="162" t="s">
        <v>201</v>
      </c>
      <c r="AB14" s="162">
        <f>RANK(AH14,$AH$14:$AH$22,1)</f>
        <v>7</v>
      </c>
      <c r="AC14" s="165">
        <f t="shared" ref="AC14:AC22" si="19">MIN($AH$14:$AH$22)</f>
        <v>0.118880363125473</v>
      </c>
      <c r="AD14" s="165">
        <f>MAX($AH$14:$AH$22)</f>
        <v>3.06593868122637</v>
      </c>
      <c r="AE14" s="162"/>
      <c r="AF14" s="162">
        <f t="shared" si="10"/>
        <v>11</v>
      </c>
      <c r="AG14" s="167">
        <f t="shared" si="11"/>
        <v>183</v>
      </c>
      <c r="AH14" s="165">
        <f t="shared" si="12"/>
        <v>1.9108280254777099</v>
      </c>
      <c r="AI14" s="165">
        <f t="shared" si="13"/>
        <v>1.6552952718513501</v>
      </c>
      <c r="AJ14" s="165">
        <f t="shared" si="14"/>
        <v>2.2049236912773602</v>
      </c>
      <c r="AK14" s="167">
        <f t="shared" si="15"/>
        <v>5</v>
      </c>
    </row>
    <row r="15" spans="1:37" x14ac:dyDescent="0.2">
      <c r="A15" s="62" t="s">
        <v>38</v>
      </c>
      <c r="B15" s="62" t="s">
        <v>62</v>
      </c>
      <c r="C15" s="62" t="s">
        <v>201</v>
      </c>
      <c r="D15" s="62"/>
      <c r="E15" s="62">
        <f t="shared" si="2"/>
        <v>25</v>
      </c>
      <c r="F15" s="128">
        <v>219</v>
      </c>
      <c r="G15" s="129">
        <v>3.06593868122637</v>
      </c>
      <c r="H15" s="129">
        <v>2.6906919256767998</v>
      </c>
      <c r="I15" s="129">
        <v>3.4916399669017002</v>
      </c>
      <c r="J15" s="129"/>
      <c r="K15" s="129"/>
      <c r="L15" s="129"/>
      <c r="M15" s="60">
        <f t="shared" si="0"/>
        <v>1</v>
      </c>
      <c r="N15" s="61">
        <f t="shared" si="3"/>
        <v>0.118880363125473</v>
      </c>
      <c r="O15" s="61">
        <f t="shared" si="16"/>
        <v>1.5224035522749599</v>
      </c>
      <c r="P15" s="129">
        <f t="shared" si="4"/>
        <v>2.04505751615299</v>
      </c>
      <c r="Q15" s="129">
        <f t="shared" si="5"/>
        <v>1.9938958541423899</v>
      </c>
      <c r="R15" s="129">
        <f t="shared" si="6"/>
        <v>2.0975038471662302</v>
      </c>
      <c r="S15" s="61">
        <f t="shared" si="7"/>
        <v>2.734375</v>
      </c>
      <c r="T15" s="61">
        <f t="shared" si="1"/>
        <v>3.22632682690756</v>
      </c>
      <c r="U15" s="61">
        <f t="shared" si="17"/>
        <v>1.255047790592952</v>
      </c>
      <c r="V15" s="61"/>
      <c r="Y15" s="162" t="s">
        <v>32</v>
      </c>
      <c r="Z15" s="162" t="s">
        <v>156</v>
      </c>
      <c r="AA15" s="162" t="s">
        <v>201</v>
      </c>
      <c r="AB15" s="162">
        <f>RANK(AH15,$AH$14:$AH$22,1)</f>
        <v>5</v>
      </c>
      <c r="AC15" s="165">
        <f t="shared" si="19"/>
        <v>0.118880363125473</v>
      </c>
      <c r="AD15" s="165">
        <f t="shared" ref="AD15:AD22" si="20">MAX($AH$14:$AH$22)</f>
        <v>3.06593868122637</v>
      </c>
      <c r="AE15" s="162"/>
      <c r="AF15" s="162">
        <f t="shared" si="10"/>
        <v>7</v>
      </c>
      <c r="AG15" s="167">
        <f t="shared" si="11"/>
        <v>264</v>
      </c>
      <c r="AH15" s="165">
        <f t="shared" si="12"/>
        <v>1.5224035522749599</v>
      </c>
      <c r="AI15" s="165">
        <f t="shared" si="13"/>
        <v>1.35060391613867</v>
      </c>
      <c r="AJ15" s="165">
        <f t="shared" si="14"/>
        <v>1.7156763959839101</v>
      </c>
      <c r="AK15" s="167">
        <f t="shared" si="15"/>
        <v>2</v>
      </c>
    </row>
    <row r="16" spans="1:37" x14ac:dyDescent="0.2">
      <c r="A16" s="62" t="s">
        <v>39</v>
      </c>
      <c r="B16" s="62" t="s">
        <v>158</v>
      </c>
      <c r="C16" s="62" t="s">
        <v>200</v>
      </c>
      <c r="D16" s="62"/>
      <c r="E16" s="62">
        <f t="shared" si="2"/>
        <v>14</v>
      </c>
      <c r="F16" s="128">
        <v>341</v>
      </c>
      <c r="G16" s="129">
        <v>2.2686448007451299</v>
      </c>
      <c r="H16" s="129">
        <v>2.04251608954393</v>
      </c>
      <c r="I16" s="129">
        <v>2.51916459527847</v>
      </c>
      <c r="J16" s="129"/>
      <c r="K16" s="129"/>
      <c r="L16" s="129"/>
      <c r="M16" s="60">
        <f t="shared" si="0"/>
        <v>5</v>
      </c>
      <c r="N16" s="61">
        <f t="shared" si="3"/>
        <v>0.118880363125473</v>
      </c>
      <c r="O16" s="61">
        <f t="shared" si="16"/>
        <v>1.5224035522749599</v>
      </c>
      <c r="P16" s="129">
        <f t="shared" si="4"/>
        <v>2.04505751615299</v>
      </c>
      <c r="Q16" s="129">
        <f t="shared" si="5"/>
        <v>1.9938958541423899</v>
      </c>
      <c r="R16" s="129">
        <f t="shared" si="6"/>
        <v>2.0975038471662302</v>
      </c>
      <c r="S16" s="61">
        <f t="shared" si="7"/>
        <v>2.734375</v>
      </c>
      <c r="T16" s="61">
        <f t="shared" si="1"/>
        <v>3.22632682690756</v>
      </c>
      <c r="U16" s="61">
        <f t="shared" si="17"/>
        <v>2.4423636975413925</v>
      </c>
      <c r="V16" s="61"/>
      <c r="Y16" s="162" t="s">
        <v>36</v>
      </c>
      <c r="Z16" s="162" t="s">
        <v>61</v>
      </c>
      <c r="AA16" s="162" t="s">
        <v>201</v>
      </c>
      <c r="AB16" s="162">
        <f>RANK(AH16,$AH$14:$AH$22,1)</f>
        <v>1</v>
      </c>
      <c r="AC16" s="165">
        <f t="shared" si="19"/>
        <v>0.118880363125473</v>
      </c>
      <c r="AD16" s="165">
        <f t="shared" si="20"/>
        <v>3.06593868122637</v>
      </c>
      <c r="AE16" s="162"/>
      <c r="AF16" s="162">
        <f t="shared" si="10"/>
        <v>1</v>
      </c>
      <c r="AG16" s="167">
        <f t="shared" si="11"/>
        <v>22</v>
      </c>
      <c r="AH16" s="165">
        <f t="shared" si="12"/>
        <v>0.118880363125473</v>
      </c>
      <c r="AI16" s="165">
        <f t="shared" si="13"/>
        <v>7.8523229664811803E-2</v>
      </c>
      <c r="AJ16" s="165">
        <f t="shared" si="14"/>
        <v>0.17994175463626</v>
      </c>
      <c r="AK16" s="167">
        <f t="shared" si="15"/>
        <v>2</v>
      </c>
    </row>
    <row r="17" spans="1:37" x14ac:dyDescent="0.2">
      <c r="A17" s="62" t="s">
        <v>40</v>
      </c>
      <c r="B17" s="62" t="s">
        <v>63</v>
      </c>
      <c r="C17" s="62" t="s">
        <v>200</v>
      </c>
      <c r="D17" s="62"/>
      <c r="E17" s="62">
        <f t="shared" si="2"/>
        <v>10</v>
      </c>
      <c r="F17" s="128">
        <v>149</v>
      </c>
      <c r="G17" s="129">
        <v>1.82218417512535</v>
      </c>
      <c r="H17" s="129">
        <v>1.5540896382115801</v>
      </c>
      <c r="I17" s="129">
        <v>2.1355242033480102</v>
      </c>
      <c r="J17" s="129"/>
      <c r="K17" s="129"/>
      <c r="L17" s="129"/>
      <c r="M17" s="60">
        <f t="shared" si="0"/>
        <v>5</v>
      </c>
      <c r="N17" s="61">
        <f t="shared" si="3"/>
        <v>0.118880363125473</v>
      </c>
      <c r="O17" s="61">
        <f t="shared" si="16"/>
        <v>1.5224035522749599</v>
      </c>
      <c r="P17" s="129">
        <f t="shared" si="4"/>
        <v>2.04505751615299</v>
      </c>
      <c r="Q17" s="129">
        <f t="shared" si="5"/>
        <v>1.9938958541423899</v>
      </c>
      <c r="R17" s="129">
        <f t="shared" si="6"/>
        <v>2.0975038471662302</v>
      </c>
      <c r="S17" s="61">
        <f t="shared" si="7"/>
        <v>2.734375</v>
      </c>
      <c r="T17" s="61">
        <f t="shared" si="1"/>
        <v>3.22632682690756</v>
      </c>
      <c r="U17" s="61">
        <f t="shared" si="17"/>
        <v>2.4423636975413925</v>
      </c>
      <c r="V17" s="61"/>
      <c r="Y17" s="162" t="s">
        <v>37</v>
      </c>
      <c r="Z17" s="162" t="s">
        <v>157</v>
      </c>
      <c r="AA17" s="162" t="s">
        <v>201</v>
      </c>
      <c r="AB17" s="162">
        <f t="shared" ref="AB17:AB22" si="21">RANK(AH17,$AH$14:$AH$22,1)</f>
        <v>4</v>
      </c>
      <c r="AC17" s="165">
        <f t="shared" si="19"/>
        <v>0.118880363125473</v>
      </c>
      <c r="AD17" s="165">
        <f>MAX($AH$14:$AH$22)</f>
        <v>3.06593868122637</v>
      </c>
      <c r="AE17" s="162"/>
      <c r="AF17" s="162">
        <f t="shared" si="10"/>
        <v>4</v>
      </c>
      <c r="AG17" s="167">
        <f t="shared" si="11"/>
        <v>240</v>
      </c>
      <c r="AH17" s="165">
        <f t="shared" si="12"/>
        <v>0.99800399201596801</v>
      </c>
      <c r="AI17" s="165">
        <f t="shared" si="13"/>
        <v>0.879965881815019</v>
      </c>
      <c r="AJ17" s="165">
        <f t="shared" si="14"/>
        <v>1.13169488706657</v>
      </c>
      <c r="AK17" s="167">
        <f t="shared" si="15"/>
        <v>2</v>
      </c>
    </row>
    <row r="18" spans="1:37" x14ac:dyDescent="0.2">
      <c r="A18" s="62" t="s">
        <v>41</v>
      </c>
      <c r="B18" s="62" t="s">
        <v>64</v>
      </c>
      <c r="C18" s="62" t="s">
        <v>163</v>
      </c>
      <c r="D18" s="62"/>
      <c r="E18" s="62">
        <f t="shared" si="2"/>
        <v>21</v>
      </c>
      <c r="F18" s="128">
        <v>297</v>
      </c>
      <c r="G18" s="129">
        <v>2.7418759231905501</v>
      </c>
      <c r="H18" s="129">
        <v>2.4507028783132099</v>
      </c>
      <c r="I18" s="129">
        <v>3.06655631279496</v>
      </c>
      <c r="J18" s="129"/>
      <c r="K18" s="129"/>
      <c r="L18" s="129"/>
      <c r="M18" s="60">
        <f t="shared" si="0"/>
        <v>1</v>
      </c>
      <c r="N18" s="61">
        <f t="shared" si="3"/>
        <v>0.118880363125473</v>
      </c>
      <c r="O18" s="61">
        <f t="shared" si="16"/>
        <v>1.5224035522749599</v>
      </c>
      <c r="P18" s="129">
        <f t="shared" si="4"/>
        <v>2.04505751615299</v>
      </c>
      <c r="Q18" s="129">
        <f t="shared" si="5"/>
        <v>1.9938958541423899</v>
      </c>
      <c r="R18" s="129">
        <f t="shared" si="6"/>
        <v>2.0975038471662302</v>
      </c>
      <c r="S18" s="61">
        <f t="shared" si="7"/>
        <v>2.734375</v>
      </c>
      <c r="T18" s="61">
        <f t="shared" si="1"/>
        <v>3.22632682690756</v>
      </c>
      <c r="U18" s="61">
        <f t="shared" si="17"/>
        <v>2.5313594756469655</v>
      </c>
      <c r="V18" s="61"/>
      <c r="Y18" s="162" t="s">
        <v>38</v>
      </c>
      <c r="Z18" s="162" t="s">
        <v>62</v>
      </c>
      <c r="AA18" s="162" t="s">
        <v>201</v>
      </c>
      <c r="AB18" s="162">
        <f t="shared" si="21"/>
        <v>9</v>
      </c>
      <c r="AC18" s="165">
        <f t="shared" si="19"/>
        <v>0.118880363125473</v>
      </c>
      <c r="AD18" s="165">
        <f t="shared" si="20"/>
        <v>3.06593868122637</v>
      </c>
      <c r="AE18" s="162"/>
      <c r="AF18" s="162">
        <f t="shared" si="10"/>
        <v>25</v>
      </c>
      <c r="AG18" s="167">
        <f t="shared" si="11"/>
        <v>219</v>
      </c>
      <c r="AH18" s="165">
        <f t="shared" si="12"/>
        <v>3.06593868122637</v>
      </c>
      <c r="AI18" s="165">
        <f t="shared" si="13"/>
        <v>2.6906919256767998</v>
      </c>
      <c r="AJ18" s="165">
        <f t="shared" si="14"/>
        <v>3.4916399669017002</v>
      </c>
      <c r="AK18" s="167">
        <f t="shared" si="15"/>
        <v>1</v>
      </c>
    </row>
    <row r="19" spans="1:37" x14ac:dyDescent="0.2">
      <c r="A19" s="62" t="s">
        <v>42</v>
      </c>
      <c r="B19" s="62" t="s">
        <v>65</v>
      </c>
      <c r="C19" s="62" t="s">
        <v>200</v>
      </c>
      <c r="D19" s="62"/>
      <c r="E19" s="62">
        <f t="shared" si="2"/>
        <v>12</v>
      </c>
      <c r="F19" s="128">
        <v>104</v>
      </c>
      <c r="G19" s="129">
        <v>2.0308533489552798</v>
      </c>
      <c r="H19" s="129">
        <v>1.67895775853332</v>
      </c>
      <c r="I19" s="129">
        <v>2.4546619938607801</v>
      </c>
      <c r="J19" s="129"/>
      <c r="K19" s="129"/>
      <c r="L19" s="129"/>
      <c r="M19" s="60">
        <f t="shared" si="0"/>
        <v>5</v>
      </c>
      <c r="N19" s="61">
        <f t="shared" si="3"/>
        <v>0.118880363125473</v>
      </c>
      <c r="O19" s="61">
        <f t="shared" si="16"/>
        <v>1.5224035522749599</v>
      </c>
      <c r="P19" s="129">
        <f t="shared" si="4"/>
        <v>2.04505751615299</v>
      </c>
      <c r="Q19" s="129">
        <f t="shared" si="5"/>
        <v>1.9938958541423899</v>
      </c>
      <c r="R19" s="129">
        <f t="shared" si="6"/>
        <v>2.0975038471662302</v>
      </c>
      <c r="S19" s="61">
        <f t="shared" si="7"/>
        <v>2.734375</v>
      </c>
      <c r="T19" s="61">
        <f t="shared" si="1"/>
        <v>3.22632682690756</v>
      </c>
      <c r="U19" s="61">
        <f t="shared" si="17"/>
        <v>2.4423636975413925</v>
      </c>
      <c r="V19" s="61"/>
      <c r="Y19" s="162" t="s">
        <v>43</v>
      </c>
      <c r="Z19" s="162" t="s">
        <v>159</v>
      </c>
      <c r="AA19" s="162" t="s">
        <v>201</v>
      </c>
      <c r="AB19" s="162">
        <f t="shared" si="21"/>
        <v>8</v>
      </c>
      <c r="AC19" s="165">
        <f t="shared" si="19"/>
        <v>0.118880363125473</v>
      </c>
      <c r="AD19" s="165">
        <f t="shared" si="20"/>
        <v>3.06593868122637</v>
      </c>
      <c r="AE19" s="162"/>
      <c r="AF19" s="162">
        <f t="shared" si="10"/>
        <v>13</v>
      </c>
      <c r="AG19" s="167">
        <f t="shared" si="11"/>
        <v>199</v>
      </c>
      <c r="AH19" s="165">
        <f t="shared" si="12"/>
        <v>2.0483787956767898</v>
      </c>
      <c r="AI19" s="165">
        <f t="shared" si="13"/>
        <v>1.7850826052625299</v>
      </c>
      <c r="AJ19" s="165">
        <f t="shared" si="14"/>
        <v>2.3495815985247299</v>
      </c>
      <c r="AK19" s="167">
        <f t="shared" si="15"/>
        <v>5</v>
      </c>
    </row>
    <row r="20" spans="1:37" x14ac:dyDescent="0.2">
      <c r="A20" s="62" t="s">
        <v>43</v>
      </c>
      <c r="B20" s="62" t="s">
        <v>159</v>
      </c>
      <c r="C20" s="62" t="s">
        <v>201</v>
      </c>
      <c r="D20" s="62"/>
      <c r="E20" s="62">
        <f t="shared" si="2"/>
        <v>13</v>
      </c>
      <c r="F20" s="128">
        <v>199</v>
      </c>
      <c r="G20" s="129">
        <v>2.0483787956767898</v>
      </c>
      <c r="H20" s="129">
        <v>1.7850826052625299</v>
      </c>
      <c r="I20" s="129">
        <v>2.3495815985247299</v>
      </c>
      <c r="J20" s="129"/>
      <c r="K20" s="129"/>
      <c r="L20" s="129"/>
      <c r="M20" s="60">
        <f t="shared" si="0"/>
        <v>5</v>
      </c>
      <c r="N20" s="61">
        <f t="shared" si="3"/>
        <v>0.118880363125473</v>
      </c>
      <c r="O20" s="61">
        <f t="shared" si="16"/>
        <v>1.5224035522749599</v>
      </c>
      <c r="P20" s="129">
        <f t="shared" si="4"/>
        <v>2.04505751615299</v>
      </c>
      <c r="Q20" s="129">
        <f t="shared" si="5"/>
        <v>1.9938958541423899</v>
      </c>
      <c r="R20" s="129">
        <f t="shared" si="6"/>
        <v>2.0975038471662302</v>
      </c>
      <c r="S20" s="61">
        <f t="shared" si="7"/>
        <v>2.734375</v>
      </c>
      <c r="T20" s="61">
        <f t="shared" si="1"/>
        <v>3.22632682690756</v>
      </c>
      <c r="U20" s="61">
        <f t="shared" si="17"/>
        <v>1.255047790592952</v>
      </c>
      <c r="V20" s="61"/>
      <c r="Y20" s="162" t="s">
        <v>48</v>
      </c>
      <c r="Z20" s="162" t="s">
        <v>160</v>
      </c>
      <c r="AA20" s="162" t="s">
        <v>201</v>
      </c>
      <c r="AB20" s="162">
        <f t="shared" si="21"/>
        <v>6</v>
      </c>
      <c r="AC20" s="165">
        <f t="shared" si="19"/>
        <v>0.118880363125473</v>
      </c>
      <c r="AD20" s="165">
        <f t="shared" si="20"/>
        <v>3.06593868122637</v>
      </c>
      <c r="AE20" s="162"/>
      <c r="AF20" s="162">
        <f t="shared" si="10"/>
        <v>8</v>
      </c>
      <c r="AG20" s="167">
        <f t="shared" si="11"/>
        <v>96</v>
      </c>
      <c r="AH20" s="165">
        <f t="shared" si="12"/>
        <v>1.5627543545498901</v>
      </c>
      <c r="AI20" s="165">
        <f t="shared" si="13"/>
        <v>1.28148997442787</v>
      </c>
      <c r="AJ20" s="165">
        <f t="shared" si="14"/>
        <v>1.9045602943595701</v>
      </c>
      <c r="AK20" s="167">
        <f t="shared" si="15"/>
        <v>2</v>
      </c>
    </row>
    <row r="21" spans="1:37" x14ac:dyDescent="0.2">
      <c r="A21" s="62" t="s">
        <v>44</v>
      </c>
      <c r="B21" s="62" t="s">
        <v>66</v>
      </c>
      <c r="C21" s="62" t="s">
        <v>200</v>
      </c>
      <c r="D21" s="62"/>
      <c r="E21" s="62">
        <f t="shared" si="2"/>
        <v>6</v>
      </c>
      <c r="F21" s="128">
        <v>58</v>
      </c>
      <c r="G21" s="129">
        <v>1.34352559647904</v>
      </c>
      <c r="H21" s="129">
        <v>1.04078802411946</v>
      </c>
      <c r="I21" s="129">
        <v>1.7327795775347501</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2</v>
      </c>
      <c r="N21" s="61">
        <f t="shared" si="3"/>
        <v>0.118880363125473</v>
      </c>
      <c r="O21" s="61">
        <f t="shared" si="16"/>
        <v>1.5224035522749599</v>
      </c>
      <c r="P21" s="129">
        <f t="shared" si="4"/>
        <v>2.04505751615299</v>
      </c>
      <c r="Q21" s="129">
        <f t="shared" si="5"/>
        <v>1.9938958541423899</v>
      </c>
      <c r="R21" s="129">
        <f t="shared" si="6"/>
        <v>2.0975038471662302</v>
      </c>
      <c r="S21" s="61">
        <f t="shared" si="7"/>
        <v>2.734375</v>
      </c>
      <c r="T21" s="61">
        <f t="shared" si="1"/>
        <v>3.22632682690756</v>
      </c>
      <c r="U21" s="61">
        <f t="shared" si="17"/>
        <v>2.4423636975413925</v>
      </c>
      <c r="V21" s="61"/>
      <c r="Y21" s="162" t="s">
        <v>52</v>
      </c>
      <c r="Z21" s="162" t="s">
        <v>72</v>
      </c>
      <c r="AA21" s="162" t="s">
        <v>201</v>
      </c>
      <c r="AB21" s="162">
        <f t="shared" si="21"/>
        <v>3</v>
      </c>
      <c r="AC21" s="165">
        <f t="shared" si="19"/>
        <v>0.118880363125473</v>
      </c>
      <c r="AD21" s="165">
        <f t="shared" si="20"/>
        <v>3.06593868122637</v>
      </c>
      <c r="AE21" s="162"/>
      <c r="AF21" s="162">
        <f t="shared" si="10"/>
        <v>3</v>
      </c>
      <c r="AG21" s="167">
        <f t="shared" si="11"/>
        <v>37</v>
      </c>
      <c r="AH21" s="165">
        <f t="shared" si="12"/>
        <v>0.84823475469967902</v>
      </c>
      <c r="AI21" s="165">
        <f t="shared" si="13"/>
        <v>0.61603303792832398</v>
      </c>
      <c r="AJ21" s="165">
        <f t="shared" si="14"/>
        <v>1.16693273292953</v>
      </c>
      <c r="AK21" s="167">
        <f t="shared" si="15"/>
        <v>2</v>
      </c>
    </row>
    <row r="22" spans="1:37" x14ac:dyDescent="0.2">
      <c r="A22" s="62" t="s">
        <v>45</v>
      </c>
      <c r="B22" s="62" t="s">
        <v>67</v>
      </c>
      <c r="C22" s="62" t="s">
        <v>163</v>
      </c>
      <c r="D22" s="62"/>
      <c r="E22" s="62">
        <f t="shared" si="2"/>
        <v>15</v>
      </c>
      <c r="F22" s="128">
        <v>200</v>
      </c>
      <c r="G22" s="129">
        <v>2.2912131973880201</v>
      </c>
      <c r="H22" s="129">
        <v>1.99768645743361</v>
      </c>
      <c r="I22" s="129">
        <v>2.62671283717158</v>
      </c>
      <c r="J22" s="129"/>
      <c r="K22" s="129"/>
      <c r="L22" s="129"/>
      <c r="M22" s="60">
        <f t="shared" si="0"/>
        <v>5</v>
      </c>
      <c r="N22" s="61">
        <f t="shared" si="3"/>
        <v>0.118880363125473</v>
      </c>
      <c r="O22" s="61">
        <f t="shared" si="16"/>
        <v>1.5224035522749599</v>
      </c>
      <c r="P22" s="129">
        <f t="shared" si="4"/>
        <v>2.04505751615299</v>
      </c>
      <c r="Q22" s="129">
        <f t="shared" si="5"/>
        <v>1.9938958541423899</v>
      </c>
      <c r="R22" s="129">
        <f t="shared" si="6"/>
        <v>2.0975038471662302</v>
      </c>
      <c r="S22" s="61">
        <f t="shared" si="7"/>
        <v>2.734375</v>
      </c>
      <c r="T22" s="61">
        <f t="shared" si="1"/>
        <v>3.22632682690756</v>
      </c>
      <c r="U22" s="61">
        <f>VLOOKUP(C22,$C$43:$I$46,5,FALSE)</f>
        <v>2.5313594756469655</v>
      </c>
      <c r="V22" s="61"/>
      <c r="Y22" s="162" t="s">
        <v>54</v>
      </c>
      <c r="Z22" s="162" t="s">
        <v>73</v>
      </c>
      <c r="AA22" s="162" t="s">
        <v>201</v>
      </c>
      <c r="AB22" s="162">
        <f t="shared" si="21"/>
        <v>2</v>
      </c>
      <c r="AC22" s="165">
        <f t="shared" si="19"/>
        <v>0.118880363125473</v>
      </c>
      <c r="AD22" s="165">
        <f t="shared" si="20"/>
        <v>3.06593868122637</v>
      </c>
      <c r="AE22" s="162"/>
      <c r="AF22" s="162">
        <f t="shared" si="10"/>
        <v>2</v>
      </c>
      <c r="AG22" s="167">
        <f t="shared" si="11"/>
        <v>16</v>
      </c>
      <c r="AH22" s="165">
        <f t="shared" si="12"/>
        <v>0.26931493014643998</v>
      </c>
      <c r="AI22" s="165">
        <f t="shared" si="13"/>
        <v>0.16584592225321501</v>
      </c>
      <c r="AJ22" s="165">
        <f t="shared" si="14"/>
        <v>0.43705424033251999</v>
      </c>
      <c r="AK22" s="167">
        <f t="shared" si="15"/>
        <v>2</v>
      </c>
    </row>
    <row r="23" spans="1:37" x14ac:dyDescent="0.2">
      <c r="A23" s="62" t="s">
        <v>46</v>
      </c>
      <c r="B23" s="62" t="s">
        <v>68</v>
      </c>
      <c r="C23" s="62" t="s">
        <v>163</v>
      </c>
      <c r="D23" s="62"/>
      <c r="E23" s="62">
        <f t="shared" si="2"/>
        <v>16</v>
      </c>
      <c r="F23" s="128">
        <v>258</v>
      </c>
      <c r="G23" s="129">
        <v>2.3611238217260002</v>
      </c>
      <c r="H23" s="129">
        <v>2.0927362943540802</v>
      </c>
      <c r="I23" s="129">
        <v>2.66299509905302</v>
      </c>
      <c r="J23" s="129"/>
      <c r="K23" s="129"/>
      <c r="L23" s="129"/>
      <c r="M23" s="60">
        <f t="shared" si="0"/>
        <v>5</v>
      </c>
      <c r="N23" s="61">
        <f t="shared" si="3"/>
        <v>0.118880363125473</v>
      </c>
      <c r="O23" s="61">
        <f t="shared" si="16"/>
        <v>1.5224035522749599</v>
      </c>
      <c r="P23" s="129">
        <f t="shared" si="4"/>
        <v>2.04505751615299</v>
      </c>
      <c r="Q23" s="129">
        <f t="shared" si="5"/>
        <v>1.9938958541423899</v>
      </c>
      <c r="R23" s="129">
        <f t="shared" si="6"/>
        <v>2.0975038471662302</v>
      </c>
      <c r="S23" s="61">
        <f t="shared" si="7"/>
        <v>2.734375</v>
      </c>
      <c r="T23" s="61">
        <f t="shared" si="1"/>
        <v>3.22632682690756</v>
      </c>
      <c r="U23" s="61">
        <f t="shared" si="17"/>
        <v>2.5313594756469655</v>
      </c>
      <c r="V23" s="61"/>
      <c r="Y23" s="163" t="s">
        <v>30</v>
      </c>
      <c r="Z23" s="163" t="s">
        <v>56</v>
      </c>
      <c r="AA23" s="163" t="s">
        <v>200</v>
      </c>
      <c r="AB23" s="163">
        <f>RANK(AH23,$AH$23:$AH$31,1)</f>
        <v>7</v>
      </c>
      <c r="AC23" s="166">
        <f>MIN($AH$23:$AH$31)</f>
        <v>1.0516993246983299</v>
      </c>
      <c r="AD23" s="166">
        <f>MAX($AH$23:$AH$31)</f>
        <v>3.22632682690756</v>
      </c>
      <c r="AE23" s="163"/>
      <c r="AF23" s="163">
        <f t="shared" si="10"/>
        <v>23</v>
      </c>
      <c r="AG23" s="168">
        <f t="shared" si="11"/>
        <v>334</v>
      </c>
      <c r="AH23" s="166">
        <f t="shared" si="12"/>
        <v>2.97020898176967</v>
      </c>
      <c r="AI23" s="166">
        <f t="shared" si="13"/>
        <v>2.6721401507573499</v>
      </c>
      <c r="AJ23" s="166">
        <f t="shared" si="14"/>
        <v>3.3003989883188298</v>
      </c>
      <c r="AK23" s="168">
        <f t="shared" si="15"/>
        <v>1</v>
      </c>
    </row>
    <row r="24" spans="1:37" x14ac:dyDescent="0.2">
      <c r="A24" s="62" t="s">
        <v>47</v>
      </c>
      <c r="B24" s="62" t="s">
        <v>69</v>
      </c>
      <c r="C24" s="62" t="s">
        <v>163</v>
      </c>
      <c r="D24" s="62"/>
      <c r="E24" s="62">
        <f t="shared" si="2"/>
        <v>9</v>
      </c>
      <c r="F24" s="128">
        <v>96</v>
      </c>
      <c r="G24" s="129">
        <v>1.74323588160523</v>
      </c>
      <c r="H24" s="129">
        <v>1.42970078113361</v>
      </c>
      <c r="I24" s="129">
        <v>2.1240479573141098</v>
      </c>
      <c r="J24" s="129"/>
      <c r="K24" s="129"/>
      <c r="L24" s="129"/>
      <c r="M24" s="60">
        <f t="shared" si="0"/>
        <v>5</v>
      </c>
      <c r="N24" s="61">
        <f t="shared" si="3"/>
        <v>0.118880363125473</v>
      </c>
      <c r="O24" s="61">
        <f t="shared" si="16"/>
        <v>1.5224035522749599</v>
      </c>
      <c r="P24" s="129">
        <f t="shared" si="4"/>
        <v>2.04505751615299</v>
      </c>
      <c r="Q24" s="129">
        <f t="shared" si="5"/>
        <v>1.9938958541423899</v>
      </c>
      <c r="R24" s="129">
        <f t="shared" si="6"/>
        <v>2.0975038471662302</v>
      </c>
      <c r="S24" s="61">
        <f t="shared" si="7"/>
        <v>2.734375</v>
      </c>
      <c r="T24" s="61">
        <f t="shared" si="1"/>
        <v>3.22632682690756</v>
      </c>
      <c r="U24" s="61">
        <f t="shared" si="17"/>
        <v>2.5313594756469655</v>
      </c>
      <c r="V24" s="61"/>
      <c r="Y24" s="163" t="s">
        <v>31</v>
      </c>
      <c r="Z24" s="163" t="s">
        <v>57</v>
      </c>
      <c r="AA24" s="163" t="s">
        <v>200</v>
      </c>
      <c r="AB24" s="163">
        <f t="shared" ref="AB24:AB31" si="22">RANK(AH24,$AH$23:$AH$31,1)</f>
        <v>9</v>
      </c>
      <c r="AC24" s="166">
        <f t="shared" ref="AC24:AC31" si="23">MIN($AH$23:$AH$31)</f>
        <v>1.0516993246983299</v>
      </c>
      <c r="AD24" s="166">
        <f t="shared" ref="AD24:AD31" si="24">MAX($AH$23:$AH$31)</f>
        <v>3.22632682690756</v>
      </c>
      <c r="AE24" s="163"/>
      <c r="AF24" s="163">
        <f t="shared" si="10"/>
        <v>26</v>
      </c>
      <c r="AG24" s="168">
        <f t="shared" si="11"/>
        <v>400</v>
      </c>
      <c r="AH24" s="166">
        <f t="shared" si="12"/>
        <v>3.22632682690756</v>
      </c>
      <c r="AI24" s="166">
        <f t="shared" si="13"/>
        <v>2.9294938045280001</v>
      </c>
      <c r="AJ24" s="166">
        <f t="shared" si="14"/>
        <v>3.55213605253625</v>
      </c>
      <c r="AK24" s="168">
        <f t="shared" si="15"/>
        <v>1</v>
      </c>
    </row>
    <row r="25" spans="1:37" x14ac:dyDescent="0.2">
      <c r="A25" s="62" t="s">
        <v>48</v>
      </c>
      <c r="B25" s="62" t="s">
        <v>160</v>
      </c>
      <c r="C25" s="62" t="s">
        <v>201</v>
      </c>
      <c r="D25" s="62"/>
      <c r="E25" s="62">
        <f t="shared" si="2"/>
        <v>8</v>
      </c>
      <c r="F25" s="128">
        <v>96</v>
      </c>
      <c r="G25" s="129">
        <v>1.5627543545498901</v>
      </c>
      <c r="H25" s="129">
        <v>1.28148997442787</v>
      </c>
      <c r="I25" s="129">
        <v>1.9045602943595701</v>
      </c>
      <c r="J25" s="129"/>
      <c r="K25" s="129"/>
      <c r="L25" s="129"/>
      <c r="M25" s="60">
        <f t="shared" si="0"/>
        <v>2</v>
      </c>
      <c r="N25" s="61">
        <f t="shared" si="3"/>
        <v>0.118880363125473</v>
      </c>
      <c r="O25" s="61">
        <f t="shared" si="16"/>
        <v>1.5224035522749599</v>
      </c>
      <c r="P25" s="129">
        <f t="shared" si="4"/>
        <v>2.04505751615299</v>
      </c>
      <c r="Q25" s="129">
        <f t="shared" si="5"/>
        <v>1.9938958541423899</v>
      </c>
      <c r="R25" s="129">
        <f t="shared" si="6"/>
        <v>2.0975038471662302</v>
      </c>
      <c r="S25" s="61">
        <f t="shared" si="7"/>
        <v>2.734375</v>
      </c>
      <c r="T25" s="61">
        <f t="shared" si="1"/>
        <v>3.22632682690756</v>
      </c>
      <c r="U25" s="61">
        <f t="shared" si="17"/>
        <v>1.255047790592952</v>
      </c>
      <c r="V25" s="61"/>
      <c r="Y25" s="163" t="s">
        <v>34</v>
      </c>
      <c r="Z25" s="163" t="s">
        <v>59</v>
      </c>
      <c r="AA25" s="163" t="s">
        <v>200</v>
      </c>
      <c r="AB25" s="163">
        <f t="shared" si="22"/>
        <v>8</v>
      </c>
      <c r="AC25" s="166">
        <f t="shared" si="23"/>
        <v>1.0516993246983299</v>
      </c>
      <c r="AD25" s="166">
        <f t="shared" si="24"/>
        <v>3.22632682690756</v>
      </c>
      <c r="AE25" s="163"/>
      <c r="AF25" s="163">
        <f t="shared" si="10"/>
        <v>24</v>
      </c>
      <c r="AG25" s="168">
        <f t="shared" si="11"/>
        <v>471</v>
      </c>
      <c r="AH25" s="166">
        <f t="shared" si="12"/>
        <v>3.0526929807505399</v>
      </c>
      <c r="AI25" s="166">
        <f t="shared" si="13"/>
        <v>2.7927119354239398</v>
      </c>
      <c r="AJ25" s="166">
        <f t="shared" si="14"/>
        <v>3.3360457618832799</v>
      </c>
      <c r="AK25" s="168">
        <f t="shared" si="15"/>
        <v>1</v>
      </c>
    </row>
    <row r="26" spans="1:37" x14ac:dyDescent="0.2">
      <c r="A26" s="62" t="s">
        <v>49</v>
      </c>
      <c r="B26" s="62" t="s">
        <v>70</v>
      </c>
      <c r="C26" s="62" t="s">
        <v>200</v>
      </c>
      <c r="D26" s="62"/>
      <c r="E26" s="62">
        <f t="shared" si="2"/>
        <v>5</v>
      </c>
      <c r="F26" s="128">
        <v>95</v>
      </c>
      <c r="G26" s="129">
        <v>1.0516993246983299</v>
      </c>
      <c r="H26" s="129">
        <v>0.86115553014990998</v>
      </c>
      <c r="I26" s="129">
        <v>1.28385785427202</v>
      </c>
      <c r="J26" s="129"/>
      <c r="K26" s="129"/>
      <c r="L26" s="129"/>
      <c r="M26" s="60">
        <f t="shared" si="0"/>
        <v>2</v>
      </c>
      <c r="N26" s="61">
        <f t="shared" si="3"/>
        <v>0.118880363125473</v>
      </c>
      <c r="O26" s="61">
        <f t="shared" si="16"/>
        <v>1.5224035522749599</v>
      </c>
      <c r="P26" s="129">
        <f t="shared" si="4"/>
        <v>2.04505751615299</v>
      </c>
      <c r="Q26" s="129">
        <f t="shared" si="5"/>
        <v>1.9938958541423899</v>
      </c>
      <c r="R26" s="129">
        <f t="shared" si="6"/>
        <v>2.0975038471662302</v>
      </c>
      <c r="S26" s="61">
        <f t="shared" si="7"/>
        <v>2.734375</v>
      </c>
      <c r="T26" s="61">
        <f t="shared" si="1"/>
        <v>3.22632682690756</v>
      </c>
      <c r="U26" s="61">
        <f t="shared" si="17"/>
        <v>2.4423636975413925</v>
      </c>
      <c r="V26" s="61"/>
      <c r="Y26" s="163" t="s">
        <v>39</v>
      </c>
      <c r="Z26" s="163" t="s">
        <v>158</v>
      </c>
      <c r="AA26" s="163" t="s">
        <v>200</v>
      </c>
      <c r="AB26" s="163">
        <f t="shared" si="22"/>
        <v>5</v>
      </c>
      <c r="AC26" s="166">
        <f t="shared" si="23"/>
        <v>1.0516993246983299</v>
      </c>
      <c r="AD26" s="166">
        <f t="shared" si="24"/>
        <v>3.22632682690756</v>
      </c>
      <c r="AE26" s="163"/>
      <c r="AF26" s="163">
        <f t="shared" si="10"/>
        <v>14</v>
      </c>
      <c r="AG26" s="168">
        <f t="shared" si="11"/>
        <v>341</v>
      </c>
      <c r="AH26" s="166">
        <f t="shared" si="12"/>
        <v>2.2686448007451299</v>
      </c>
      <c r="AI26" s="166">
        <f t="shared" si="13"/>
        <v>2.04251608954393</v>
      </c>
      <c r="AJ26" s="166">
        <f t="shared" si="14"/>
        <v>2.51916459527847</v>
      </c>
      <c r="AK26" s="168">
        <f t="shared" si="15"/>
        <v>5</v>
      </c>
    </row>
    <row r="27" spans="1:37" x14ac:dyDescent="0.2">
      <c r="A27" s="62" t="s">
        <v>50</v>
      </c>
      <c r="B27" s="62" t="s">
        <v>161</v>
      </c>
      <c r="C27" s="62" t="s">
        <v>163</v>
      </c>
      <c r="D27" s="62"/>
      <c r="E27" s="62">
        <f t="shared" si="2"/>
        <v>17</v>
      </c>
      <c r="F27" s="128">
        <v>143</v>
      </c>
      <c r="G27" s="129">
        <v>2.5381611643592499</v>
      </c>
      <c r="H27" s="129">
        <v>2.1586761934823899</v>
      </c>
      <c r="I27" s="129">
        <v>2.9823243283968099</v>
      </c>
      <c r="J27" s="129"/>
      <c r="K27" s="129"/>
      <c r="L27" s="129"/>
      <c r="M27" s="60">
        <f t="shared" si="0"/>
        <v>1</v>
      </c>
      <c r="N27" s="61">
        <f t="shared" si="3"/>
        <v>0.118880363125473</v>
      </c>
      <c r="O27" s="61">
        <f t="shared" si="16"/>
        <v>1.5224035522749599</v>
      </c>
      <c r="P27" s="129">
        <f t="shared" si="4"/>
        <v>2.04505751615299</v>
      </c>
      <c r="Q27" s="129">
        <f t="shared" si="5"/>
        <v>1.9938958541423899</v>
      </c>
      <c r="R27" s="129">
        <f t="shared" si="6"/>
        <v>2.0975038471662302</v>
      </c>
      <c r="S27" s="61">
        <f t="shared" si="7"/>
        <v>2.734375</v>
      </c>
      <c r="T27" s="61">
        <f t="shared" si="1"/>
        <v>3.22632682690756</v>
      </c>
      <c r="U27" s="61">
        <f t="shared" si="17"/>
        <v>2.5313594756469655</v>
      </c>
      <c r="V27" s="61"/>
      <c r="Y27" s="163" t="s">
        <v>40</v>
      </c>
      <c r="Z27" s="163" t="s">
        <v>63</v>
      </c>
      <c r="AA27" s="163" t="s">
        <v>200</v>
      </c>
      <c r="AB27" s="163">
        <f t="shared" si="22"/>
        <v>3</v>
      </c>
      <c r="AC27" s="166">
        <f t="shared" si="23"/>
        <v>1.0516993246983299</v>
      </c>
      <c r="AD27" s="166">
        <f t="shared" si="24"/>
        <v>3.22632682690756</v>
      </c>
      <c r="AE27" s="163"/>
      <c r="AF27" s="163">
        <f t="shared" si="10"/>
        <v>10</v>
      </c>
      <c r="AG27" s="168">
        <f t="shared" si="11"/>
        <v>149</v>
      </c>
      <c r="AH27" s="166">
        <f t="shared" si="12"/>
        <v>1.82218417512535</v>
      </c>
      <c r="AI27" s="166">
        <f t="shared" si="13"/>
        <v>1.5540896382115801</v>
      </c>
      <c r="AJ27" s="166">
        <f t="shared" si="14"/>
        <v>2.1355242033480102</v>
      </c>
      <c r="AK27" s="168">
        <f t="shared" si="15"/>
        <v>5</v>
      </c>
    </row>
    <row r="28" spans="1:37" x14ac:dyDescent="0.2">
      <c r="A28" s="62" t="s">
        <v>51</v>
      </c>
      <c r="B28" s="62" t="s">
        <v>71</v>
      </c>
      <c r="C28" s="62" t="s">
        <v>200</v>
      </c>
      <c r="D28" s="62"/>
      <c r="E28" s="62">
        <f t="shared" si="2"/>
        <v>22</v>
      </c>
      <c r="F28" s="128">
        <v>153</v>
      </c>
      <c r="G28" s="129">
        <v>2.8145695364238401</v>
      </c>
      <c r="H28" s="129">
        <v>2.4071265199124001</v>
      </c>
      <c r="I28" s="129">
        <v>3.2886545274982102</v>
      </c>
      <c r="J28" s="129"/>
      <c r="K28" s="129"/>
      <c r="L28" s="129"/>
      <c r="M28" s="60">
        <f t="shared" si="0"/>
        <v>1</v>
      </c>
      <c r="N28" s="61">
        <f t="shared" si="3"/>
        <v>0.118880363125473</v>
      </c>
      <c r="O28" s="61">
        <f t="shared" si="16"/>
        <v>1.5224035522749599</v>
      </c>
      <c r="P28" s="129">
        <f t="shared" si="4"/>
        <v>2.04505751615299</v>
      </c>
      <c r="Q28" s="129">
        <f t="shared" si="5"/>
        <v>1.9938958541423899</v>
      </c>
      <c r="R28" s="129">
        <f t="shared" si="6"/>
        <v>2.0975038471662302</v>
      </c>
      <c r="S28" s="61">
        <f t="shared" si="7"/>
        <v>2.734375</v>
      </c>
      <c r="T28" s="61">
        <f t="shared" si="1"/>
        <v>3.22632682690756</v>
      </c>
      <c r="U28" s="61">
        <f t="shared" si="17"/>
        <v>2.4423636975413925</v>
      </c>
      <c r="V28" s="61"/>
      <c r="Y28" s="163" t="s">
        <v>42</v>
      </c>
      <c r="Z28" s="163" t="s">
        <v>65</v>
      </c>
      <c r="AA28" s="163" t="s">
        <v>200</v>
      </c>
      <c r="AB28" s="163">
        <f t="shared" si="22"/>
        <v>4</v>
      </c>
      <c r="AC28" s="166">
        <f t="shared" si="23"/>
        <v>1.0516993246983299</v>
      </c>
      <c r="AD28" s="166">
        <f t="shared" si="24"/>
        <v>3.22632682690756</v>
      </c>
      <c r="AE28" s="163"/>
      <c r="AF28" s="163">
        <f t="shared" si="10"/>
        <v>12</v>
      </c>
      <c r="AG28" s="168">
        <f t="shared" si="11"/>
        <v>104</v>
      </c>
      <c r="AH28" s="166">
        <f t="shared" si="12"/>
        <v>2.0308533489552798</v>
      </c>
      <c r="AI28" s="166">
        <f t="shared" si="13"/>
        <v>1.67895775853332</v>
      </c>
      <c r="AJ28" s="166">
        <f t="shared" si="14"/>
        <v>2.4546619938607801</v>
      </c>
      <c r="AK28" s="168">
        <f t="shared" si="15"/>
        <v>5</v>
      </c>
    </row>
    <row r="29" spans="1:37" x14ac:dyDescent="0.2">
      <c r="A29" s="62" t="s">
        <v>52</v>
      </c>
      <c r="B29" s="62" t="s">
        <v>72</v>
      </c>
      <c r="C29" s="62" t="s">
        <v>201</v>
      </c>
      <c r="D29" s="62"/>
      <c r="E29" s="62">
        <f t="shared" si="2"/>
        <v>3</v>
      </c>
      <c r="F29" s="128">
        <v>37</v>
      </c>
      <c r="G29" s="129">
        <v>0.84823475469967902</v>
      </c>
      <c r="H29" s="129">
        <v>0.61603303792832398</v>
      </c>
      <c r="I29" s="129">
        <v>1.16693273292953</v>
      </c>
      <c r="J29" s="129"/>
      <c r="K29" s="129"/>
      <c r="L29" s="129"/>
      <c r="M29" s="60">
        <f t="shared" si="0"/>
        <v>2</v>
      </c>
      <c r="N29" s="61">
        <f t="shared" si="3"/>
        <v>0.118880363125473</v>
      </c>
      <c r="O29" s="61">
        <f t="shared" si="16"/>
        <v>1.5224035522749599</v>
      </c>
      <c r="P29" s="129">
        <f t="shared" si="4"/>
        <v>2.04505751615299</v>
      </c>
      <c r="Q29" s="129">
        <f t="shared" si="5"/>
        <v>1.9938958541423899</v>
      </c>
      <c r="R29" s="129">
        <f t="shared" si="6"/>
        <v>2.0975038471662302</v>
      </c>
      <c r="S29" s="61">
        <f t="shared" si="7"/>
        <v>2.734375</v>
      </c>
      <c r="T29" s="61">
        <f t="shared" si="1"/>
        <v>3.22632682690756</v>
      </c>
      <c r="U29" s="61">
        <f t="shared" si="17"/>
        <v>1.255047790592952</v>
      </c>
      <c r="V29" s="61"/>
      <c r="Y29" s="163" t="s">
        <v>44</v>
      </c>
      <c r="Z29" s="163" t="s">
        <v>66</v>
      </c>
      <c r="AA29" s="163" t="s">
        <v>200</v>
      </c>
      <c r="AB29" s="163">
        <f t="shared" si="22"/>
        <v>2</v>
      </c>
      <c r="AC29" s="166">
        <f t="shared" si="23"/>
        <v>1.0516993246983299</v>
      </c>
      <c r="AD29" s="166">
        <f t="shared" si="24"/>
        <v>3.22632682690756</v>
      </c>
      <c r="AE29" s="163"/>
      <c r="AF29" s="163">
        <f t="shared" si="10"/>
        <v>6</v>
      </c>
      <c r="AG29" s="168">
        <f t="shared" si="11"/>
        <v>58</v>
      </c>
      <c r="AH29" s="166">
        <f t="shared" si="12"/>
        <v>1.34352559647904</v>
      </c>
      <c r="AI29" s="166">
        <f t="shared" si="13"/>
        <v>1.04078802411946</v>
      </c>
      <c r="AJ29" s="166">
        <f t="shared" si="14"/>
        <v>1.7327795775347501</v>
      </c>
      <c r="AK29" s="168">
        <f t="shared" si="15"/>
        <v>2</v>
      </c>
    </row>
    <row r="30" spans="1:37" x14ac:dyDescent="0.2">
      <c r="A30" s="62" t="s">
        <v>53</v>
      </c>
      <c r="B30" s="62" t="s">
        <v>162</v>
      </c>
      <c r="C30" s="62" t="s">
        <v>163</v>
      </c>
      <c r="D30" s="62"/>
      <c r="E30" s="62">
        <f t="shared" si="2"/>
        <v>18</v>
      </c>
      <c r="F30" s="128">
        <v>733</v>
      </c>
      <c r="G30" s="129">
        <v>2.56311630183929</v>
      </c>
      <c r="H30" s="129">
        <v>2.38623088376607</v>
      </c>
      <c r="I30" s="129">
        <v>2.7527440348135199</v>
      </c>
      <c r="J30" s="129"/>
      <c r="K30" s="129"/>
      <c r="L30" s="129"/>
      <c r="M30" s="60">
        <f t="shared" si="0"/>
        <v>1</v>
      </c>
      <c r="N30" s="61">
        <f t="shared" si="3"/>
        <v>0.118880363125473</v>
      </c>
      <c r="O30" s="61">
        <f t="shared" si="16"/>
        <v>1.5224035522749599</v>
      </c>
      <c r="P30" s="129">
        <f>$G$32</f>
        <v>2.04505751615299</v>
      </c>
      <c r="Q30" s="129">
        <f t="shared" si="5"/>
        <v>1.9938958541423899</v>
      </c>
      <c r="R30" s="129">
        <f t="shared" si="6"/>
        <v>2.0975038471662302</v>
      </c>
      <c r="S30" s="61">
        <f t="shared" si="7"/>
        <v>2.734375</v>
      </c>
      <c r="T30" s="61">
        <f t="shared" si="1"/>
        <v>3.22632682690756</v>
      </c>
      <c r="U30" s="61">
        <f t="shared" si="17"/>
        <v>2.5313594756469655</v>
      </c>
      <c r="V30" s="61"/>
      <c r="Y30" s="163" t="s">
        <v>49</v>
      </c>
      <c r="Z30" s="163" t="s">
        <v>70</v>
      </c>
      <c r="AA30" s="163" t="s">
        <v>200</v>
      </c>
      <c r="AB30" s="163">
        <f t="shared" si="22"/>
        <v>1</v>
      </c>
      <c r="AC30" s="166">
        <f t="shared" si="23"/>
        <v>1.0516993246983299</v>
      </c>
      <c r="AD30" s="166">
        <f t="shared" si="24"/>
        <v>3.22632682690756</v>
      </c>
      <c r="AE30" s="163"/>
      <c r="AF30" s="163">
        <f t="shared" si="10"/>
        <v>5</v>
      </c>
      <c r="AG30" s="168">
        <f t="shared" si="11"/>
        <v>95</v>
      </c>
      <c r="AH30" s="166">
        <f t="shared" si="12"/>
        <v>1.0516993246983299</v>
      </c>
      <c r="AI30" s="166">
        <f t="shared" si="13"/>
        <v>0.86115553014990998</v>
      </c>
      <c r="AJ30" s="166">
        <f t="shared" si="14"/>
        <v>1.28385785427202</v>
      </c>
      <c r="AK30" s="168">
        <f t="shared" si="15"/>
        <v>2</v>
      </c>
    </row>
    <row r="31" spans="1:37" x14ac:dyDescent="0.2">
      <c r="A31" s="62" t="s">
        <v>54</v>
      </c>
      <c r="B31" s="62" t="s">
        <v>73</v>
      </c>
      <c r="C31" s="62" t="s">
        <v>201</v>
      </c>
      <c r="D31" s="62"/>
      <c r="E31" s="62">
        <f t="shared" si="2"/>
        <v>2</v>
      </c>
      <c r="F31" s="128">
        <v>16</v>
      </c>
      <c r="G31" s="129">
        <v>0.26931493014643998</v>
      </c>
      <c r="H31" s="129">
        <v>0.16584592225321501</v>
      </c>
      <c r="I31" s="129">
        <v>0.43705424033251999</v>
      </c>
      <c r="J31" s="129"/>
      <c r="K31" s="129"/>
      <c r="L31" s="129"/>
      <c r="M31" s="60">
        <f t="shared" si="0"/>
        <v>2</v>
      </c>
      <c r="N31" s="61">
        <f t="shared" si="3"/>
        <v>0.118880363125473</v>
      </c>
      <c r="O31" s="61">
        <f t="shared" si="16"/>
        <v>1.5224035522749599</v>
      </c>
      <c r="P31" s="129">
        <f t="shared" si="4"/>
        <v>2.04505751615299</v>
      </c>
      <c r="Q31" s="129">
        <f t="shared" si="5"/>
        <v>1.9938958541423899</v>
      </c>
      <c r="R31" s="129">
        <f t="shared" si="6"/>
        <v>2.0975038471662302</v>
      </c>
      <c r="S31" s="61">
        <f t="shared" si="7"/>
        <v>2.734375</v>
      </c>
      <c r="T31" s="61">
        <f t="shared" si="1"/>
        <v>3.22632682690756</v>
      </c>
      <c r="U31" s="61">
        <f t="shared" si="17"/>
        <v>1.255047790592952</v>
      </c>
      <c r="V31" s="61"/>
      <c r="Y31" s="163" t="s">
        <v>51</v>
      </c>
      <c r="Z31" s="163" t="s">
        <v>71</v>
      </c>
      <c r="AA31" s="163" t="s">
        <v>200</v>
      </c>
      <c r="AB31" s="163">
        <f t="shared" si="22"/>
        <v>6</v>
      </c>
      <c r="AC31" s="166">
        <f t="shared" si="23"/>
        <v>1.0516993246983299</v>
      </c>
      <c r="AD31" s="166">
        <f t="shared" si="24"/>
        <v>3.22632682690756</v>
      </c>
      <c r="AE31" s="163"/>
      <c r="AF31" s="163">
        <f t="shared" si="10"/>
        <v>22</v>
      </c>
      <c r="AG31" s="168">
        <f t="shared" si="11"/>
        <v>153</v>
      </c>
      <c r="AH31" s="166">
        <f t="shared" si="12"/>
        <v>2.8145695364238401</v>
      </c>
      <c r="AI31" s="166">
        <f t="shared" si="13"/>
        <v>2.4071265199124001</v>
      </c>
      <c r="AJ31" s="166">
        <f t="shared" si="14"/>
        <v>3.2886545274982102</v>
      </c>
      <c r="AK31" s="168">
        <f t="shared" si="15"/>
        <v>1</v>
      </c>
    </row>
    <row r="32" spans="1:37" x14ac:dyDescent="0.2">
      <c r="A32" s="62"/>
      <c r="B32" s="62" t="s">
        <v>171</v>
      </c>
      <c r="C32" s="62"/>
      <c r="D32" s="62"/>
      <c r="E32" s="62"/>
      <c r="F32" s="128">
        <v>5865</v>
      </c>
      <c r="G32" s="129">
        <v>2.04505751615299</v>
      </c>
      <c r="H32" s="129">
        <v>1.9938958541423899</v>
      </c>
      <c r="I32" s="129">
        <v>2.0975038471662302</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2464</v>
      </c>
      <c r="G44" s="254">
        <v>2.5313594756469655</v>
      </c>
      <c r="H44" s="129">
        <v>2.4345403433253954</v>
      </c>
      <c r="I44" s="129">
        <v>2.6319251357073177</v>
      </c>
      <c r="J44" s="129">
        <f>VLOOKUP($C44,$AA$6:$AD$13,3,FALSE)</f>
        <v>1.74323588160523</v>
      </c>
      <c r="K44" s="129">
        <f>VLOOKUP($C44,$AA$6:$AD$13,4,FALSE)</f>
        <v>2.7418759231905501</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1</v>
      </c>
      <c r="N44" s="61">
        <f>MIN($G$6:$G$31)</f>
        <v>0.118880363125473</v>
      </c>
      <c r="O44" s="61">
        <f>VLOOKUP(7,$E$5:$G$39,3,FALSE)</f>
        <v>1.5224035522749599</v>
      </c>
      <c r="P44" s="129">
        <f>$G$32</f>
        <v>2.04505751615299</v>
      </c>
      <c r="Q44" s="129">
        <f>$H$32</f>
        <v>1.9938958541423899</v>
      </c>
      <c r="R44" s="129">
        <f>$I$32</f>
        <v>2.0975038471662302</v>
      </c>
      <c r="S44" s="61">
        <f>VLOOKUP(20,$E$5:$G$39,3,FALSE)</f>
        <v>2.734375</v>
      </c>
      <c r="T44" s="61">
        <f>MAX($G$6:$G$31)</f>
        <v>3.22632682690756</v>
      </c>
    </row>
    <row r="45" spans="1:22" x14ac:dyDescent="0.2">
      <c r="C45" s="62" t="s">
        <v>201</v>
      </c>
      <c r="D45" s="62"/>
      <c r="E45" s="62"/>
      <c r="F45" s="128">
        <v>1296</v>
      </c>
      <c r="G45" s="254">
        <v>1.255047790592952</v>
      </c>
      <c r="H45" s="129">
        <v>1.1889391366348097</v>
      </c>
      <c r="I45" s="129">
        <v>1.3247830051001319</v>
      </c>
      <c r="J45" s="129">
        <f>VLOOKUP($C45,$AA$14:$AD$22,3,FALSE)</f>
        <v>0.118880363125473</v>
      </c>
      <c r="K45" s="129">
        <f>VLOOKUP($C45,$AA$14:$AD$22,4,FALSE)</f>
        <v>3.06593868122637</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2</v>
      </c>
      <c r="N45" s="61">
        <f>MIN($G$6:$G$31)</f>
        <v>0.118880363125473</v>
      </c>
      <c r="O45" s="61">
        <f>VLOOKUP(7,$E$5:$G$39,3,FALSE)</f>
        <v>1.5224035522749599</v>
      </c>
      <c r="P45" s="129">
        <f>$G$32</f>
        <v>2.04505751615299</v>
      </c>
      <c r="Q45" s="129">
        <f t="shared" ref="Q45:Q46" si="25">$H$32</f>
        <v>1.9938958541423899</v>
      </c>
      <c r="R45" s="129">
        <f t="shared" ref="R45:R46" si="26">$I$32</f>
        <v>2.0975038471662302</v>
      </c>
      <c r="S45" s="61">
        <f>VLOOKUP(20,$E$5:$G$39,3,FALSE)</f>
        <v>2.734375</v>
      </c>
      <c r="T45" s="61">
        <f t="shared" ref="T45:T46" si="27">MAX($G$6:$G$31)</f>
        <v>3.22632682690756</v>
      </c>
    </row>
    <row r="46" spans="1:22" x14ac:dyDescent="0.2">
      <c r="C46" s="62" t="s">
        <v>200</v>
      </c>
      <c r="D46" s="62"/>
      <c r="E46" s="62"/>
      <c r="F46" s="128">
        <v>2105</v>
      </c>
      <c r="G46" s="254">
        <v>2.4423636975413925</v>
      </c>
      <c r="H46" s="129">
        <v>2.3414102417431986</v>
      </c>
      <c r="I46" s="129">
        <v>2.5475563671208494</v>
      </c>
      <c r="J46" s="129">
        <f>VLOOKUP($C46,$AA$23:$AD$31,3,FALSE)</f>
        <v>1.0516993246983299</v>
      </c>
      <c r="K46" s="129">
        <f>VLOOKUP($C46,$AA$23:$AD$31,4,FALSE)</f>
        <v>3.22632682690756</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1</v>
      </c>
      <c r="N46" s="61">
        <f>MIN($G$6:$G$31)</f>
        <v>0.118880363125473</v>
      </c>
      <c r="O46" s="61">
        <f>VLOOKUP(7,$E$5:$G$39,3,FALSE)</f>
        <v>1.5224035522749599</v>
      </c>
      <c r="P46" s="129">
        <f t="shared" ref="P46" si="28">$G$32</f>
        <v>2.04505751615299</v>
      </c>
      <c r="Q46" s="129">
        <f t="shared" si="25"/>
        <v>1.9938958541423899</v>
      </c>
      <c r="R46" s="129">
        <f t="shared" si="26"/>
        <v>2.0975038471662302</v>
      </c>
      <c r="S46" s="61">
        <f>VLOOKUP(20,$E$5:$G$39,3,FALSE)</f>
        <v>2.734375</v>
      </c>
      <c r="T46" s="61">
        <f t="shared" si="27"/>
        <v>3.22632682690756</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C2:D2" xr:uid="{00000000-0002-0000-1600-000000000000}">
      <formula1>"Better / Worse,Higher / Lower,Significance not measured"</formula1>
    </dataValidation>
    <dataValidation type="list" allowBlank="1" showInputMessage="1" showErrorMessage="1" sqref="K2:N2" xr:uid="{00000000-0002-0000-1600-000001000000}">
      <formula1>"High = Worst,Low = Worst"</formula1>
    </dataValidation>
  </dataValidations>
  <pageMargins left="0.75" right="0.75" top="1" bottom="1" header="0.5" footer="0.5"/>
  <pageSetup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tabColor theme="6" tint="0.39997558519241921"/>
  </sheetPr>
  <dimension ref="A1:AK55"/>
  <sheetViews>
    <sheetView workbookViewId="0">
      <selection activeCell="X38" sqref="X38"/>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7.5546875" style="21" customWidth="1"/>
    <col min="8" max="8" width="7.33203125" style="21" customWidth="1"/>
    <col min="9" max="9" width="6.88671875" style="21" customWidth="1"/>
    <col min="10" max="10" width="9.109375" style="21" customWidth="1"/>
    <col min="11" max="11" width="7.109375" style="21" customWidth="1"/>
    <col min="12"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6.664062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18</v>
      </c>
      <c r="F6" s="239">
        <v>59</v>
      </c>
      <c r="G6" s="129">
        <v>648.10657095262422</v>
      </c>
      <c r="H6" s="129">
        <v>490.81639470832255</v>
      </c>
      <c r="I6" s="129">
        <v>839.08950984139187</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5</v>
      </c>
      <c r="N6" s="61">
        <f>MIN($G$6:$G$32)</f>
        <v>96.15384615384616</v>
      </c>
      <c r="O6" s="61">
        <f>VLOOKUP(7,$E$5:$G$39,3,FALSE)</f>
        <v>403.75755942964616</v>
      </c>
      <c r="P6" s="129">
        <f>$G$32</f>
        <v>577.58610687892588</v>
      </c>
      <c r="Q6" s="129">
        <f>$H$32</f>
        <v>552.24192274806603</v>
      </c>
      <c r="R6" s="129">
        <f>$I$32</f>
        <v>603.78708791163285</v>
      </c>
      <c r="S6" s="61">
        <f>VLOOKUP(20,$E$5:$G$39,3,FALSE)</f>
        <v>648.66912596249256</v>
      </c>
      <c r="T6" s="61">
        <f t="shared" ref="T6:T31" si="1">MAX($G$6:$G$31)</f>
        <v>1138.9916017903447</v>
      </c>
      <c r="U6" s="61">
        <f>VLOOKUP(C6,$C$43:$I$46,5,FALSE)</f>
        <v>560.99960599187409</v>
      </c>
      <c r="V6" s="61"/>
      <c r="Y6" s="159" t="s">
        <v>33</v>
      </c>
      <c r="Z6" s="159" t="s">
        <v>58</v>
      </c>
      <c r="AA6" s="159" t="s">
        <v>163</v>
      </c>
      <c r="AB6" s="159">
        <f>RANK(AH6,$AH$6:$AH$13,1)</f>
        <v>1</v>
      </c>
      <c r="AC6" s="164">
        <f>MIN($AH$6:$AH$13)</f>
        <v>403.75755942964616</v>
      </c>
      <c r="AD6" s="164">
        <f>MAX($AH$6:$AH$13)</f>
        <v>648.66912596249256</v>
      </c>
      <c r="AE6" s="159"/>
      <c r="AF6" s="159">
        <f>VLOOKUP($Y6,$A$6:$I$31,5,FALSE)</f>
        <v>7</v>
      </c>
      <c r="AG6" s="160">
        <f>VLOOKUP($Y6,$A$6:$I$31,6,FALSE)</f>
        <v>65</v>
      </c>
      <c r="AH6" s="161">
        <f>VLOOKUP($Y6,$A$6:$I$31,7,FALSE)</f>
        <v>403.75755942964616</v>
      </c>
      <c r="AI6" s="161">
        <f>VLOOKUP($Y6,$A$6:$I$31,8,FALSE)</f>
        <v>310.79651569522542</v>
      </c>
      <c r="AJ6" s="161">
        <f>VLOOKUP($Y6,$A$6:$I$31,9,FALSE)</f>
        <v>515.59253560984496</v>
      </c>
      <c r="AK6" s="160">
        <f>VLOOKUP($Y6,$A$6:$M$31,13,FALSE)</f>
        <v>2</v>
      </c>
    </row>
    <row r="7" spans="1:37" x14ac:dyDescent="0.2">
      <c r="A7" s="62" t="s">
        <v>30</v>
      </c>
      <c r="B7" s="62" t="s">
        <v>56</v>
      </c>
      <c r="C7" s="62" t="s">
        <v>200</v>
      </c>
      <c r="D7" s="62"/>
      <c r="E7" s="62">
        <f t="shared" ref="E7:E31" si="2">RANK(G7,$G$6:$G$31,1)</f>
        <v>25</v>
      </c>
      <c r="F7" s="239">
        <v>183</v>
      </c>
      <c r="G7" s="129">
        <v>1059.5125512358213</v>
      </c>
      <c r="H7" s="129">
        <v>909.31369704718486</v>
      </c>
      <c r="I7" s="129">
        <v>1227.1407425678815</v>
      </c>
      <c r="J7" s="129"/>
      <c r="K7" s="129"/>
      <c r="L7" s="129"/>
      <c r="M7" s="60">
        <f t="shared" si="0"/>
        <v>1</v>
      </c>
      <c r="N7" s="61">
        <f t="shared" ref="N7:N31" si="3">MIN($G$6:$G$32)</f>
        <v>96.15384615384616</v>
      </c>
      <c r="O7" s="61">
        <f>VLOOKUP(7,$E$5:$G$39,3,FALSE)</f>
        <v>403.75755942964616</v>
      </c>
      <c r="P7" s="129">
        <f t="shared" ref="P7:P31" si="4">$G$32</f>
        <v>577.58610687892588</v>
      </c>
      <c r="Q7" s="129">
        <f t="shared" ref="Q7:Q31" si="5">$H$32</f>
        <v>552.24192274806603</v>
      </c>
      <c r="R7" s="129">
        <f t="shared" ref="R7:R31" si="6">$I$32</f>
        <v>603.78708791163285</v>
      </c>
      <c r="S7" s="61">
        <f t="shared" ref="S7:S31" si="7">VLOOKUP(20,$E$5:$G$39,3,FALSE)</f>
        <v>648.66912596249256</v>
      </c>
      <c r="T7" s="61">
        <f t="shared" si="1"/>
        <v>1138.9916017903447</v>
      </c>
      <c r="U7" s="61">
        <f>VLOOKUP(C7,$C$43:$I$46,5,FALSE)</f>
        <v>650.31183192481774</v>
      </c>
      <c r="V7" s="61"/>
      <c r="Y7" s="159" t="s">
        <v>35</v>
      </c>
      <c r="Z7" s="159" t="s">
        <v>60</v>
      </c>
      <c r="AA7" s="159" t="s">
        <v>163</v>
      </c>
      <c r="AB7" s="159">
        <f t="shared" ref="AB7:AB12" si="8">RANK(AH7,$AH$6:$AH$13,1)</f>
        <v>4</v>
      </c>
      <c r="AC7" s="164">
        <f>MIN($AH$6:$AH$13)</f>
        <v>403.75755942964616</v>
      </c>
      <c r="AD7" s="164">
        <f t="shared" ref="AD7:AD13" si="9">MAX($AH$6:$AH$13)</f>
        <v>648.66912596249256</v>
      </c>
      <c r="AE7" s="159"/>
      <c r="AF7" s="159">
        <f t="shared" ref="AF7:AF31" si="10">VLOOKUP($Y7,$A$6:$I$31,5,FALSE)</f>
        <v>12</v>
      </c>
      <c r="AG7" s="160">
        <f t="shared" ref="AG7:AG31" si="11">VLOOKUP($Y7,$A$6:$I$31,6,FALSE)</f>
        <v>114</v>
      </c>
      <c r="AH7" s="161">
        <f t="shared" ref="AH7:AH31" si="12">VLOOKUP($Y7,$A$6:$I$31,7,FALSE)</f>
        <v>498.86687809477047</v>
      </c>
      <c r="AI7" s="161">
        <f t="shared" ref="AI7:AI31" si="13">VLOOKUP($Y7,$A$6:$I$31,8,FALSE)</f>
        <v>410.94371888453594</v>
      </c>
      <c r="AJ7" s="161">
        <f t="shared" ref="AJ7:AJ31" si="14">VLOOKUP($Y7,$A$6:$I$31,9,FALSE)</f>
        <v>599.93114455831812</v>
      </c>
      <c r="AK7" s="160">
        <f t="shared" ref="AK7:AK31" si="15">VLOOKUP($Y7,$A$6:$M$31,13,FALSE)</f>
        <v>5</v>
      </c>
    </row>
    <row r="8" spans="1:37" x14ac:dyDescent="0.2">
      <c r="A8" s="62" t="s">
        <v>31</v>
      </c>
      <c r="B8" s="62" t="s">
        <v>57</v>
      </c>
      <c r="C8" s="62" t="s">
        <v>200</v>
      </c>
      <c r="D8" s="62"/>
      <c r="E8" s="62">
        <f t="shared" si="2"/>
        <v>14</v>
      </c>
      <c r="F8" s="239">
        <v>119</v>
      </c>
      <c r="G8" s="129">
        <v>545.02607486960778</v>
      </c>
      <c r="H8" s="129">
        <v>451.15122356005355</v>
      </c>
      <c r="I8" s="129">
        <v>652.61088773589734</v>
      </c>
      <c r="J8" s="129"/>
      <c r="K8" s="129"/>
      <c r="L8" s="129"/>
      <c r="M8" s="60">
        <f t="shared" si="0"/>
        <v>5</v>
      </c>
      <c r="N8" s="61">
        <f t="shared" si="3"/>
        <v>96.15384615384616</v>
      </c>
      <c r="O8" s="61">
        <f t="shared" ref="O8:O31" si="16">VLOOKUP(7,$E$5:$G$39,3,FALSE)</f>
        <v>403.75755942964616</v>
      </c>
      <c r="P8" s="129">
        <f t="shared" si="4"/>
        <v>577.58610687892588</v>
      </c>
      <c r="Q8" s="129">
        <f t="shared" si="5"/>
        <v>552.24192274806603</v>
      </c>
      <c r="R8" s="129">
        <f t="shared" si="6"/>
        <v>603.78708791163285</v>
      </c>
      <c r="S8" s="61">
        <f t="shared" si="7"/>
        <v>648.66912596249256</v>
      </c>
      <c r="T8" s="61">
        <f t="shared" si="1"/>
        <v>1138.9916017903447</v>
      </c>
      <c r="U8" s="61">
        <f t="shared" ref="U8:U31" si="17">VLOOKUP(C8,$C$43:$I$46,5,FALSE)</f>
        <v>650.31183192481774</v>
      </c>
      <c r="V8" s="61"/>
      <c r="Y8" s="159" t="s">
        <v>41</v>
      </c>
      <c r="Z8" s="159" t="s">
        <v>64</v>
      </c>
      <c r="AA8" s="159" t="s">
        <v>163</v>
      </c>
      <c r="AB8" s="159">
        <f t="shared" si="8"/>
        <v>8</v>
      </c>
      <c r="AC8" s="164">
        <f t="shared" ref="AC8:AC13" si="18">MIN($AH$6:$AH$13)</f>
        <v>403.75755942964616</v>
      </c>
      <c r="AD8" s="164">
        <f>MAX($AH$6:$AH$13)</f>
        <v>648.66912596249256</v>
      </c>
      <c r="AE8" s="159"/>
      <c r="AF8" s="159">
        <f t="shared" si="10"/>
        <v>20</v>
      </c>
      <c r="AG8" s="160">
        <f t="shared" si="11"/>
        <v>136</v>
      </c>
      <c r="AH8" s="161">
        <f t="shared" si="12"/>
        <v>648.66912596249256</v>
      </c>
      <c r="AI8" s="161">
        <f t="shared" si="13"/>
        <v>543.87882236055168</v>
      </c>
      <c r="AJ8" s="161">
        <f t="shared" si="14"/>
        <v>767.70461496269456</v>
      </c>
      <c r="AK8" s="160">
        <f t="shared" si="15"/>
        <v>5</v>
      </c>
    </row>
    <row r="9" spans="1:37" x14ac:dyDescent="0.2">
      <c r="A9" s="62" t="s">
        <v>32</v>
      </c>
      <c r="B9" s="62" t="s">
        <v>156</v>
      </c>
      <c r="C9" s="62" t="s">
        <v>201</v>
      </c>
      <c r="D9" s="62"/>
      <c r="E9" s="62">
        <f t="shared" si="2"/>
        <v>23</v>
      </c>
      <c r="F9" s="239">
        <v>125</v>
      </c>
      <c r="G9" s="129">
        <v>915.57337937248406</v>
      </c>
      <c r="H9" s="129">
        <v>758.97646594653577</v>
      </c>
      <c r="I9" s="129">
        <v>1094.4434558285118</v>
      </c>
      <c r="J9" s="129"/>
      <c r="K9" s="129"/>
      <c r="L9" s="129"/>
      <c r="M9" s="60">
        <f t="shared" si="0"/>
        <v>1</v>
      </c>
      <c r="N9" s="61">
        <f t="shared" si="3"/>
        <v>96.15384615384616</v>
      </c>
      <c r="O9" s="61">
        <f t="shared" si="16"/>
        <v>403.75755942964616</v>
      </c>
      <c r="P9" s="129">
        <f t="shared" si="4"/>
        <v>577.58610687892588</v>
      </c>
      <c r="Q9" s="129">
        <f t="shared" si="5"/>
        <v>552.24192274806603</v>
      </c>
      <c r="R9" s="129">
        <f t="shared" si="6"/>
        <v>603.78708791163285</v>
      </c>
      <c r="S9" s="61">
        <f t="shared" si="7"/>
        <v>648.66912596249256</v>
      </c>
      <c r="T9" s="61">
        <f t="shared" si="1"/>
        <v>1138.9916017903447</v>
      </c>
      <c r="U9" s="61">
        <f t="shared" si="17"/>
        <v>560.99960599187409</v>
      </c>
      <c r="V9" s="61"/>
      <c r="X9" s="63"/>
      <c r="Y9" s="159" t="s">
        <v>45</v>
      </c>
      <c r="Z9" s="159" t="s">
        <v>67</v>
      </c>
      <c r="AA9" s="159" t="s">
        <v>163</v>
      </c>
      <c r="AB9" s="159">
        <f t="shared" si="8"/>
        <v>7</v>
      </c>
      <c r="AC9" s="164">
        <f t="shared" si="18"/>
        <v>403.75755942964616</v>
      </c>
      <c r="AD9" s="164">
        <f t="shared" si="9"/>
        <v>648.66912596249256</v>
      </c>
      <c r="AE9" s="159"/>
      <c r="AF9" s="159">
        <f t="shared" si="10"/>
        <v>16</v>
      </c>
      <c r="AG9" s="160">
        <f t="shared" si="11"/>
        <v>86</v>
      </c>
      <c r="AH9" s="161">
        <f t="shared" si="12"/>
        <v>619.95852038125952</v>
      </c>
      <c r="AI9" s="161">
        <f t="shared" si="13"/>
        <v>495.2703229088977</v>
      </c>
      <c r="AJ9" s="161">
        <f t="shared" si="14"/>
        <v>766.35874384238389</v>
      </c>
      <c r="AK9" s="160">
        <f t="shared" si="15"/>
        <v>5</v>
      </c>
    </row>
    <row r="10" spans="1:37" x14ac:dyDescent="0.2">
      <c r="A10" s="62" t="s">
        <v>33</v>
      </c>
      <c r="B10" s="62" t="s">
        <v>58</v>
      </c>
      <c r="C10" s="62" t="s">
        <v>163</v>
      </c>
      <c r="D10" s="62"/>
      <c r="E10" s="62">
        <f t="shared" si="2"/>
        <v>7</v>
      </c>
      <c r="F10" s="239">
        <v>65</v>
      </c>
      <c r="G10" s="129">
        <v>403.75755942964616</v>
      </c>
      <c r="H10" s="129">
        <v>310.79651569522542</v>
      </c>
      <c r="I10" s="129">
        <v>515.59253560984496</v>
      </c>
      <c r="J10" s="129"/>
      <c r="K10" s="129"/>
      <c r="L10" s="129"/>
      <c r="M10" s="60">
        <f t="shared" si="0"/>
        <v>2</v>
      </c>
      <c r="N10" s="61">
        <f t="shared" si="3"/>
        <v>96.15384615384616</v>
      </c>
      <c r="O10" s="61">
        <f t="shared" si="16"/>
        <v>403.75755942964616</v>
      </c>
      <c r="P10" s="129">
        <f t="shared" si="4"/>
        <v>577.58610687892588</v>
      </c>
      <c r="Q10" s="129">
        <f t="shared" si="5"/>
        <v>552.24192274806603</v>
      </c>
      <c r="R10" s="129">
        <f t="shared" si="6"/>
        <v>603.78708791163285</v>
      </c>
      <c r="S10" s="61">
        <f t="shared" si="7"/>
        <v>648.66912596249256</v>
      </c>
      <c r="T10" s="61">
        <f t="shared" si="1"/>
        <v>1138.9916017903447</v>
      </c>
      <c r="U10" s="61">
        <f t="shared" si="17"/>
        <v>531.75897051310631</v>
      </c>
      <c r="V10" s="61"/>
      <c r="Y10" s="159" t="s">
        <v>46</v>
      </c>
      <c r="Z10" s="159" t="s">
        <v>68</v>
      </c>
      <c r="AA10" s="159" t="s">
        <v>163</v>
      </c>
      <c r="AB10" s="159">
        <f t="shared" si="8"/>
        <v>2</v>
      </c>
      <c r="AC10" s="164">
        <f t="shared" si="18"/>
        <v>403.75755942964616</v>
      </c>
      <c r="AD10" s="164">
        <f t="shared" si="9"/>
        <v>648.66912596249256</v>
      </c>
      <c r="AE10" s="159"/>
      <c r="AF10" s="159">
        <f t="shared" si="10"/>
        <v>10</v>
      </c>
      <c r="AG10" s="160">
        <f t="shared" si="11"/>
        <v>98</v>
      </c>
      <c r="AH10" s="161">
        <f t="shared" si="12"/>
        <v>430.33626397000342</v>
      </c>
      <c r="AI10" s="161">
        <f t="shared" si="13"/>
        <v>348.40627933979721</v>
      </c>
      <c r="AJ10" s="161">
        <f t="shared" si="14"/>
        <v>525.55483554025454</v>
      </c>
      <c r="AK10" s="160">
        <f t="shared" si="15"/>
        <v>2</v>
      </c>
    </row>
    <row r="11" spans="1:37" x14ac:dyDescent="0.2">
      <c r="A11" s="62" t="s">
        <v>34</v>
      </c>
      <c r="B11" s="62" t="s">
        <v>59</v>
      </c>
      <c r="C11" s="62" t="s">
        <v>200</v>
      </c>
      <c r="D11" s="62"/>
      <c r="E11" s="62">
        <f t="shared" si="2"/>
        <v>22</v>
      </c>
      <c r="F11" s="239">
        <v>133</v>
      </c>
      <c r="G11" s="129">
        <v>715.66161431833314</v>
      </c>
      <c r="H11" s="129">
        <v>597.58359938705348</v>
      </c>
      <c r="I11" s="129">
        <v>849.98418357038702</v>
      </c>
      <c r="J11" s="129"/>
      <c r="K11" s="129"/>
      <c r="L11" s="129"/>
      <c r="M11" s="60">
        <f t="shared" si="0"/>
        <v>5</v>
      </c>
      <c r="N11" s="61">
        <f t="shared" si="3"/>
        <v>96.15384615384616</v>
      </c>
      <c r="O11" s="61">
        <f t="shared" si="16"/>
        <v>403.75755942964616</v>
      </c>
      <c r="P11" s="129">
        <f t="shared" si="4"/>
        <v>577.58610687892588</v>
      </c>
      <c r="Q11" s="129">
        <f t="shared" si="5"/>
        <v>552.24192274806603</v>
      </c>
      <c r="R11" s="129">
        <f t="shared" si="6"/>
        <v>603.78708791163285</v>
      </c>
      <c r="S11" s="61">
        <f t="shared" si="7"/>
        <v>648.66912596249256</v>
      </c>
      <c r="T11" s="61">
        <f t="shared" si="1"/>
        <v>1138.9916017903447</v>
      </c>
      <c r="U11" s="61">
        <f t="shared" si="17"/>
        <v>650.31183192481774</v>
      </c>
      <c r="V11" s="61"/>
      <c r="Y11" s="159" t="s">
        <v>47</v>
      </c>
      <c r="Z11" s="159" t="s">
        <v>69</v>
      </c>
      <c r="AA11" s="159" t="s">
        <v>163</v>
      </c>
      <c r="AB11" s="159">
        <f t="shared" si="8"/>
        <v>3</v>
      </c>
      <c r="AC11" s="164">
        <f t="shared" si="18"/>
        <v>403.75755942964616</v>
      </c>
      <c r="AD11" s="164">
        <f t="shared" si="9"/>
        <v>648.66912596249256</v>
      </c>
      <c r="AE11" s="159"/>
      <c r="AF11" s="159">
        <f t="shared" si="10"/>
        <v>11</v>
      </c>
      <c r="AG11" s="160">
        <f t="shared" si="11"/>
        <v>35</v>
      </c>
      <c r="AH11" s="161">
        <f t="shared" si="12"/>
        <v>439.88422602602873</v>
      </c>
      <c r="AI11" s="161">
        <f t="shared" si="13"/>
        <v>304.07232319278103</v>
      </c>
      <c r="AJ11" s="161">
        <f t="shared" si="14"/>
        <v>614.72406308182144</v>
      </c>
      <c r="AK11" s="160">
        <f t="shared" si="15"/>
        <v>5</v>
      </c>
    </row>
    <row r="12" spans="1:37" x14ac:dyDescent="0.2">
      <c r="A12" s="62" t="s">
        <v>35</v>
      </c>
      <c r="B12" s="62" t="s">
        <v>60</v>
      </c>
      <c r="C12" s="62" t="s">
        <v>163</v>
      </c>
      <c r="D12" s="62"/>
      <c r="E12" s="62">
        <f t="shared" si="2"/>
        <v>12</v>
      </c>
      <c r="F12" s="239">
        <v>114</v>
      </c>
      <c r="G12" s="129">
        <v>498.86687809477047</v>
      </c>
      <c r="H12" s="129">
        <v>410.94371888453594</v>
      </c>
      <c r="I12" s="129">
        <v>599.93114455831812</v>
      </c>
      <c r="J12" s="129"/>
      <c r="K12" s="129"/>
      <c r="L12" s="129"/>
      <c r="M12" s="60">
        <f t="shared" si="0"/>
        <v>5</v>
      </c>
      <c r="N12" s="61">
        <f t="shared" si="3"/>
        <v>96.15384615384616</v>
      </c>
      <c r="O12" s="61">
        <f t="shared" si="16"/>
        <v>403.75755942964616</v>
      </c>
      <c r="P12" s="129">
        <f t="shared" si="4"/>
        <v>577.58610687892588</v>
      </c>
      <c r="Q12" s="129">
        <f t="shared" si="5"/>
        <v>552.24192274806603</v>
      </c>
      <c r="R12" s="129">
        <f t="shared" si="6"/>
        <v>603.78708791163285</v>
      </c>
      <c r="S12" s="61">
        <f t="shared" si="7"/>
        <v>648.66912596249256</v>
      </c>
      <c r="T12" s="61">
        <f t="shared" si="1"/>
        <v>1138.9916017903447</v>
      </c>
      <c r="U12" s="61">
        <f t="shared" si="17"/>
        <v>531.75897051310631</v>
      </c>
      <c r="V12" s="61"/>
      <c r="Y12" s="159" t="s">
        <v>50</v>
      </c>
      <c r="Z12" s="159" t="s">
        <v>161</v>
      </c>
      <c r="AA12" s="159" t="s">
        <v>163</v>
      </c>
      <c r="AB12" s="159">
        <f t="shared" si="8"/>
        <v>5</v>
      </c>
      <c r="AC12" s="164">
        <f t="shared" si="18"/>
        <v>403.75755942964616</v>
      </c>
      <c r="AD12" s="164">
        <f t="shared" si="9"/>
        <v>648.66912596249256</v>
      </c>
      <c r="AE12" s="159"/>
      <c r="AF12" s="159">
        <f t="shared" si="10"/>
        <v>13</v>
      </c>
      <c r="AG12" s="160">
        <f t="shared" si="11"/>
        <v>42</v>
      </c>
      <c r="AH12" s="161">
        <f t="shared" si="12"/>
        <v>515.85870453338077</v>
      </c>
      <c r="AI12" s="161">
        <f t="shared" si="13"/>
        <v>371.36762805524683</v>
      </c>
      <c r="AJ12" s="161">
        <f t="shared" si="14"/>
        <v>697.7857238386157</v>
      </c>
      <c r="AK12" s="160">
        <f t="shared" si="15"/>
        <v>5</v>
      </c>
    </row>
    <row r="13" spans="1:37" x14ac:dyDescent="0.2">
      <c r="A13" s="62" t="s">
        <v>36</v>
      </c>
      <c r="B13" s="62" t="s">
        <v>61</v>
      </c>
      <c r="C13" s="62" t="s">
        <v>201</v>
      </c>
      <c r="D13" s="62"/>
      <c r="E13" s="62">
        <f t="shared" si="2"/>
        <v>1</v>
      </c>
      <c r="F13" s="239" t="s">
        <v>79</v>
      </c>
      <c r="G13" s="129">
        <v>96.15384615384616</v>
      </c>
      <c r="H13" s="129">
        <v>10.799289007210728</v>
      </c>
      <c r="I13" s="129">
        <v>347.15716350277842</v>
      </c>
      <c r="J13" s="129"/>
      <c r="K13" s="129"/>
      <c r="L13" s="129"/>
      <c r="M13" s="60">
        <f t="shared" si="0"/>
        <v>2</v>
      </c>
      <c r="N13" s="61">
        <f t="shared" si="3"/>
        <v>96.15384615384616</v>
      </c>
      <c r="O13" s="61">
        <f t="shared" si="16"/>
        <v>403.75755942964616</v>
      </c>
      <c r="P13" s="129">
        <f t="shared" si="4"/>
        <v>577.58610687892588</v>
      </c>
      <c r="Q13" s="129">
        <f t="shared" si="5"/>
        <v>552.24192274806603</v>
      </c>
      <c r="R13" s="129">
        <f t="shared" si="6"/>
        <v>603.78708791163285</v>
      </c>
      <c r="S13" s="61">
        <f t="shared" si="7"/>
        <v>648.66912596249256</v>
      </c>
      <c r="T13" s="61">
        <f t="shared" si="1"/>
        <v>1138.9916017903447</v>
      </c>
      <c r="U13" s="61">
        <f t="shared" si="17"/>
        <v>560.99960599187409</v>
      </c>
      <c r="V13" s="61"/>
      <c r="Y13" s="159" t="s">
        <v>53</v>
      </c>
      <c r="Z13" s="159" t="s">
        <v>162</v>
      </c>
      <c r="AA13" s="159" t="s">
        <v>163</v>
      </c>
      <c r="AB13" s="159">
        <f>RANK(AH13,$AH$6:$AH$13,1)</f>
        <v>6</v>
      </c>
      <c r="AC13" s="164">
        <f t="shared" si="18"/>
        <v>403.75755942964616</v>
      </c>
      <c r="AD13" s="164">
        <f t="shared" si="9"/>
        <v>648.66912596249256</v>
      </c>
      <c r="AE13" s="159"/>
      <c r="AF13" s="159">
        <f t="shared" si="10"/>
        <v>15</v>
      </c>
      <c r="AG13" s="160">
        <f t="shared" si="11"/>
        <v>232</v>
      </c>
      <c r="AH13" s="161">
        <f t="shared" si="12"/>
        <v>598.29188511207803</v>
      </c>
      <c r="AI13" s="161">
        <f t="shared" si="13"/>
        <v>523.2522614737735</v>
      </c>
      <c r="AJ13" s="161">
        <f t="shared" si="14"/>
        <v>681.01221894497394</v>
      </c>
      <c r="AK13" s="160">
        <f t="shared" si="15"/>
        <v>5</v>
      </c>
    </row>
    <row r="14" spans="1:37" x14ac:dyDescent="0.2">
      <c r="A14" s="62" t="s">
        <v>37</v>
      </c>
      <c r="B14" s="62" t="s">
        <v>157</v>
      </c>
      <c r="C14" s="62" t="s">
        <v>201</v>
      </c>
      <c r="D14" s="62"/>
      <c r="E14" s="62">
        <f t="shared" si="2"/>
        <v>19</v>
      </c>
      <c r="F14" s="239">
        <v>85</v>
      </c>
      <c r="G14" s="129">
        <v>648.31338571371373</v>
      </c>
      <c r="H14" s="129">
        <v>513.12658887917621</v>
      </c>
      <c r="I14" s="129">
        <v>807.1909328301241</v>
      </c>
      <c r="J14" s="129"/>
      <c r="K14" s="129"/>
      <c r="L14" s="129"/>
      <c r="M14" s="60">
        <f t="shared" si="0"/>
        <v>5</v>
      </c>
      <c r="N14" s="61">
        <f t="shared" si="3"/>
        <v>96.15384615384616</v>
      </c>
      <c r="O14" s="61">
        <f t="shared" si="16"/>
        <v>403.75755942964616</v>
      </c>
      <c r="P14" s="129">
        <f t="shared" si="4"/>
        <v>577.58610687892588</v>
      </c>
      <c r="Q14" s="129">
        <f t="shared" si="5"/>
        <v>552.24192274806603</v>
      </c>
      <c r="R14" s="129">
        <f t="shared" si="6"/>
        <v>603.78708791163285</v>
      </c>
      <c r="S14" s="61">
        <f t="shared" si="7"/>
        <v>648.66912596249256</v>
      </c>
      <c r="T14" s="61">
        <f t="shared" si="1"/>
        <v>1138.9916017903447</v>
      </c>
      <c r="U14" s="61">
        <f t="shared" si="17"/>
        <v>560.99960599187409</v>
      </c>
      <c r="V14" s="61"/>
      <c r="Y14" s="162" t="s">
        <v>29</v>
      </c>
      <c r="Z14" s="162" t="s">
        <v>55</v>
      </c>
      <c r="AA14" s="162" t="s">
        <v>201</v>
      </c>
      <c r="AB14" s="162">
        <f>RANK(AH14,$AH$14:$AH$22,1)</f>
        <v>7</v>
      </c>
      <c r="AC14" s="165">
        <f t="shared" ref="AC14:AC22" si="19">MIN($AH$14:$AH$22)</f>
        <v>96.15384615384616</v>
      </c>
      <c r="AD14" s="165">
        <f>MAX($AH$14:$AH$22)</f>
        <v>915.57337937248406</v>
      </c>
      <c r="AE14" s="162"/>
      <c r="AF14" s="162">
        <f t="shared" si="10"/>
        <v>18</v>
      </c>
      <c r="AG14" s="167">
        <f t="shared" si="11"/>
        <v>59</v>
      </c>
      <c r="AH14" s="165">
        <f t="shared" si="12"/>
        <v>648.10657095262422</v>
      </c>
      <c r="AI14" s="165">
        <f t="shared" si="13"/>
        <v>490.81639470832255</v>
      </c>
      <c r="AJ14" s="165">
        <f t="shared" si="14"/>
        <v>839.08950984139187</v>
      </c>
      <c r="AK14" s="167">
        <f t="shared" si="15"/>
        <v>5</v>
      </c>
    </row>
    <row r="15" spans="1:37" x14ac:dyDescent="0.2">
      <c r="A15" s="62" t="s">
        <v>38</v>
      </c>
      <c r="B15" s="62" t="s">
        <v>62</v>
      </c>
      <c r="C15" s="62" t="s">
        <v>201</v>
      </c>
      <c r="D15" s="62"/>
      <c r="E15" s="62">
        <f t="shared" si="2"/>
        <v>6</v>
      </c>
      <c r="F15" s="239">
        <v>47</v>
      </c>
      <c r="G15" s="129">
        <v>385.16006325889379</v>
      </c>
      <c r="H15" s="129">
        <v>281.78410972215039</v>
      </c>
      <c r="I15" s="129">
        <v>513.67545155228675</v>
      </c>
      <c r="J15" s="129"/>
      <c r="K15" s="129"/>
      <c r="L15" s="129"/>
      <c r="M15" s="60">
        <f t="shared" si="0"/>
        <v>2</v>
      </c>
      <c r="N15" s="61">
        <f t="shared" si="3"/>
        <v>96.15384615384616</v>
      </c>
      <c r="O15" s="61">
        <f t="shared" si="16"/>
        <v>403.75755942964616</v>
      </c>
      <c r="P15" s="129">
        <f t="shared" si="4"/>
        <v>577.58610687892588</v>
      </c>
      <c r="Q15" s="129">
        <f t="shared" si="5"/>
        <v>552.24192274806603</v>
      </c>
      <c r="R15" s="129">
        <f t="shared" si="6"/>
        <v>603.78708791163285</v>
      </c>
      <c r="S15" s="61">
        <f t="shared" si="7"/>
        <v>648.66912596249256</v>
      </c>
      <c r="T15" s="61">
        <f t="shared" si="1"/>
        <v>1138.9916017903447</v>
      </c>
      <c r="U15" s="61">
        <f t="shared" si="17"/>
        <v>560.99960599187409</v>
      </c>
      <c r="V15" s="61"/>
      <c r="Y15" s="162" t="s">
        <v>32</v>
      </c>
      <c r="Z15" s="162" t="s">
        <v>156</v>
      </c>
      <c r="AA15" s="162" t="s">
        <v>201</v>
      </c>
      <c r="AB15" s="162">
        <f>RANK(AH15,$AH$14:$AH$22,1)</f>
        <v>9</v>
      </c>
      <c r="AC15" s="165">
        <f t="shared" si="19"/>
        <v>96.15384615384616</v>
      </c>
      <c r="AD15" s="165">
        <f t="shared" ref="AD15:AD22" si="20">MAX($AH$14:$AH$22)</f>
        <v>915.57337937248406</v>
      </c>
      <c r="AE15" s="162"/>
      <c r="AF15" s="162">
        <f t="shared" si="10"/>
        <v>23</v>
      </c>
      <c r="AG15" s="167">
        <f t="shared" si="11"/>
        <v>125</v>
      </c>
      <c r="AH15" s="165">
        <f t="shared" si="12"/>
        <v>915.57337937248406</v>
      </c>
      <c r="AI15" s="165">
        <f t="shared" si="13"/>
        <v>758.97646594653577</v>
      </c>
      <c r="AJ15" s="165">
        <f t="shared" si="14"/>
        <v>1094.4434558285118</v>
      </c>
      <c r="AK15" s="167">
        <f t="shared" si="15"/>
        <v>1</v>
      </c>
    </row>
    <row r="16" spans="1:37" x14ac:dyDescent="0.2">
      <c r="A16" s="62" t="s">
        <v>39</v>
      </c>
      <c r="B16" s="62" t="s">
        <v>158</v>
      </c>
      <c r="C16" s="62" t="s">
        <v>200</v>
      </c>
      <c r="D16" s="62"/>
      <c r="E16" s="62">
        <f t="shared" si="2"/>
        <v>9</v>
      </c>
      <c r="F16" s="239">
        <v>66</v>
      </c>
      <c r="G16" s="129">
        <v>420.85596288607047</v>
      </c>
      <c r="H16" s="129">
        <v>324.63774963829496</v>
      </c>
      <c r="I16" s="129">
        <v>536.44552380070604</v>
      </c>
      <c r="J16" s="129"/>
      <c r="K16" s="129"/>
      <c r="L16" s="129"/>
      <c r="M16" s="60">
        <f t="shared" si="0"/>
        <v>2</v>
      </c>
      <c r="N16" s="61">
        <f t="shared" si="3"/>
        <v>96.15384615384616</v>
      </c>
      <c r="O16" s="61">
        <f t="shared" si="16"/>
        <v>403.75755942964616</v>
      </c>
      <c r="P16" s="129">
        <f t="shared" si="4"/>
        <v>577.58610687892588</v>
      </c>
      <c r="Q16" s="129">
        <f t="shared" si="5"/>
        <v>552.24192274806603</v>
      </c>
      <c r="R16" s="129">
        <f t="shared" si="6"/>
        <v>603.78708791163285</v>
      </c>
      <c r="S16" s="61">
        <f t="shared" si="7"/>
        <v>648.66912596249256</v>
      </c>
      <c r="T16" s="61">
        <f t="shared" si="1"/>
        <v>1138.9916017903447</v>
      </c>
      <c r="U16" s="61">
        <f t="shared" si="17"/>
        <v>650.31183192481774</v>
      </c>
      <c r="V16" s="61"/>
      <c r="Y16" s="162" t="s">
        <v>36</v>
      </c>
      <c r="Z16" s="162" t="s">
        <v>61</v>
      </c>
      <c r="AA16" s="162" t="s">
        <v>201</v>
      </c>
      <c r="AB16" s="162">
        <f>RANK(AH16,$AH$14:$AH$22,1)</f>
        <v>1</v>
      </c>
      <c r="AC16" s="165">
        <f t="shared" si="19"/>
        <v>96.15384615384616</v>
      </c>
      <c r="AD16" s="165">
        <f t="shared" si="20"/>
        <v>915.57337937248406</v>
      </c>
      <c r="AE16" s="162"/>
      <c r="AF16" s="162">
        <f t="shared" si="10"/>
        <v>1</v>
      </c>
      <c r="AG16" s="167" t="str">
        <f t="shared" si="11"/>
        <v>N/A</v>
      </c>
      <c r="AH16" s="165">
        <f t="shared" si="12"/>
        <v>96.15384615384616</v>
      </c>
      <c r="AI16" s="165">
        <f t="shared" si="13"/>
        <v>10.799289007210728</v>
      </c>
      <c r="AJ16" s="165">
        <f t="shared" si="14"/>
        <v>347.15716350277842</v>
      </c>
      <c r="AK16" s="167">
        <f t="shared" si="15"/>
        <v>2</v>
      </c>
    </row>
    <row r="17" spans="1:37" x14ac:dyDescent="0.2">
      <c r="A17" s="62" t="s">
        <v>40</v>
      </c>
      <c r="B17" s="62" t="s">
        <v>63</v>
      </c>
      <c r="C17" s="62" t="s">
        <v>200</v>
      </c>
      <c r="D17" s="62"/>
      <c r="E17" s="62">
        <f t="shared" si="2"/>
        <v>21</v>
      </c>
      <c r="F17" s="239">
        <v>72</v>
      </c>
      <c r="G17" s="129">
        <v>673.587530876904</v>
      </c>
      <c r="H17" s="129">
        <v>522.67385140477052</v>
      </c>
      <c r="I17" s="129">
        <v>853.46324811209217</v>
      </c>
      <c r="J17" s="129"/>
      <c r="K17" s="129"/>
      <c r="L17" s="129"/>
      <c r="M17" s="60">
        <f t="shared" si="0"/>
        <v>5</v>
      </c>
      <c r="N17" s="61">
        <f t="shared" si="3"/>
        <v>96.15384615384616</v>
      </c>
      <c r="O17" s="61">
        <f t="shared" si="16"/>
        <v>403.75755942964616</v>
      </c>
      <c r="P17" s="129">
        <f t="shared" si="4"/>
        <v>577.58610687892588</v>
      </c>
      <c r="Q17" s="129">
        <f t="shared" si="5"/>
        <v>552.24192274806603</v>
      </c>
      <c r="R17" s="129">
        <f t="shared" si="6"/>
        <v>603.78708791163285</v>
      </c>
      <c r="S17" s="61">
        <f t="shared" si="7"/>
        <v>648.66912596249256</v>
      </c>
      <c r="T17" s="61">
        <f t="shared" si="1"/>
        <v>1138.9916017903447</v>
      </c>
      <c r="U17" s="61">
        <f t="shared" si="17"/>
        <v>650.31183192481774</v>
      </c>
      <c r="V17" s="61"/>
      <c r="Y17" s="162" t="s">
        <v>37</v>
      </c>
      <c r="Z17" s="162" t="s">
        <v>157</v>
      </c>
      <c r="AA17" s="162" t="s">
        <v>201</v>
      </c>
      <c r="AB17" s="162">
        <f t="shared" ref="AB17:AB22" si="21">RANK(AH17,$AH$14:$AH$22,1)</f>
        <v>8</v>
      </c>
      <c r="AC17" s="165">
        <f t="shared" si="19"/>
        <v>96.15384615384616</v>
      </c>
      <c r="AD17" s="165">
        <f>MAX($AH$14:$AH$22)</f>
        <v>915.57337937248406</v>
      </c>
      <c r="AE17" s="162"/>
      <c r="AF17" s="162">
        <f t="shared" si="10"/>
        <v>19</v>
      </c>
      <c r="AG17" s="167">
        <f t="shared" si="11"/>
        <v>85</v>
      </c>
      <c r="AH17" s="165">
        <f t="shared" si="12"/>
        <v>648.31338571371373</v>
      </c>
      <c r="AI17" s="165">
        <f t="shared" si="13"/>
        <v>513.12658887917621</v>
      </c>
      <c r="AJ17" s="165">
        <f t="shared" si="14"/>
        <v>807.1909328301241</v>
      </c>
      <c r="AK17" s="167">
        <f t="shared" si="15"/>
        <v>5</v>
      </c>
    </row>
    <row r="18" spans="1:37" x14ac:dyDescent="0.2">
      <c r="A18" s="62" t="s">
        <v>41</v>
      </c>
      <c r="B18" s="62" t="s">
        <v>64</v>
      </c>
      <c r="C18" s="62" t="s">
        <v>163</v>
      </c>
      <c r="D18" s="62"/>
      <c r="E18" s="62">
        <f t="shared" si="2"/>
        <v>20</v>
      </c>
      <c r="F18" s="239">
        <v>136</v>
      </c>
      <c r="G18" s="129">
        <v>648.66912596249256</v>
      </c>
      <c r="H18" s="129">
        <v>543.87882236055168</v>
      </c>
      <c r="I18" s="129">
        <v>767.70461496269456</v>
      </c>
      <c r="J18" s="129"/>
      <c r="K18" s="129"/>
      <c r="L18" s="129"/>
      <c r="M18" s="60">
        <f t="shared" si="0"/>
        <v>5</v>
      </c>
      <c r="N18" s="61">
        <f t="shared" si="3"/>
        <v>96.15384615384616</v>
      </c>
      <c r="O18" s="61">
        <f t="shared" si="16"/>
        <v>403.75755942964616</v>
      </c>
      <c r="P18" s="129">
        <f t="shared" si="4"/>
        <v>577.58610687892588</v>
      </c>
      <c r="Q18" s="129">
        <f t="shared" si="5"/>
        <v>552.24192274806603</v>
      </c>
      <c r="R18" s="129">
        <f t="shared" si="6"/>
        <v>603.78708791163285</v>
      </c>
      <c r="S18" s="61">
        <f t="shared" si="7"/>
        <v>648.66912596249256</v>
      </c>
      <c r="T18" s="61">
        <f t="shared" si="1"/>
        <v>1138.9916017903447</v>
      </c>
      <c r="U18" s="61">
        <f t="shared" si="17"/>
        <v>531.75897051310631</v>
      </c>
      <c r="V18" s="61"/>
      <c r="Y18" s="162" t="s">
        <v>38</v>
      </c>
      <c r="Z18" s="162" t="s">
        <v>62</v>
      </c>
      <c r="AA18" s="162" t="s">
        <v>201</v>
      </c>
      <c r="AB18" s="162">
        <f t="shared" si="21"/>
        <v>4</v>
      </c>
      <c r="AC18" s="165">
        <f t="shared" si="19"/>
        <v>96.15384615384616</v>
      </c>
      <c r="AD18" s="165">
        <f t="shared" si="20"/>
        <v>915.57337937248406</v>
      </c>
      <c r="AE18" s="162"/>
      <c r="AF18" s="162">
        <f t="shared" si="10"/>
        <v>6</v>
      </c>
      <c r="AG18" s="167">
        <f t="shared" si="11"/>
        <v>47</v>
      </c>
      <c r="AH18" s="165">
        <f t="shared" si="12"/>
        <v>385.16006325889379</v>
      </c>
      <c r="AI18" s="165">
        <f t="shared" si="13"/>
        <v>281.78410972215039</v>
      </c>
      <c r="AJ18" s="165">
        <f t="shared" si="14"/>
        <v>513.67545155228675</v>
      </c>
      <c r="AK18" s="167">
        <f t="shared" si="15"/>
        <v>2</v>
      </c>
    </row>
    <row r="19" spans="1:37" x14ac:dyDescent="0.2">
      <c r="A19" s="62" t="s">
        <v>42</v>
      </c>
      <c r="B19" s="62" t="s">
        <v>65</v>
      </c>
      <c r="C19" s="62" t="s">
        <v>200</v>
      </c>
      <c r="D19" s="62"/>
      <c r="E19" s="62">
        <f t="shared" si="2"/>
        <v>26</v>
      </c>
      <c r="F19" s="239">
        <v>54</v>
      </c>
      <c r="G19" s="129">
        <v>1138.9916017903447</v>
      </c>
      <c r="H19" s="129">
        <v>851.81022133090642</v>
      </c>
      <c r="I19" s="129">
        <v>1490.7935379067669</v>
      </c>
      <c r="J19" s="129"/>
      <c r="K19" s="129"/>
      <c r="L19" s="129"/>
      <c r="M19" s="60">
        <f t="shared" si="0"/>
        <v>1</v>
      </c>
      <c r="N19" s="61">
        <f t="shared" si="3"/>
        <v>96.15384615384616</v>
      </c>
      <c r="O19" s="61">
        <f t="shared" si="16"/>
        <v>403.75755942964616</v>
      </c>
      <c r="P19" s="129">
        <f t="shared" si="4"/>
        <v>577.58610687892588</v>
      </c>
      <c r="Q19" s="129">
        <f t="shared" si="5"/>
        <v>552.24192274806603</v>
      </c>
      <c r="R19" s="129">
        <f t="shared" si="6"/>
        <v>603.78708791163285</v>
      </c>
      <c r="S19" s="61">
        <f t="shared" si="7"/>
        <v>648.66912596249256</v>
      </c>
      <c r="T19" s="61">
        <f t="shared" si="1"/>
        <v>1138.9916017903447</v>
      </c>
      <c r="U19" s="61">
        <f t="shared" si="17"/>
        <v>650.31183192481774</v>
      </c>
      <c r="V19" s="61"/>
      <c r="Y19" s="162" t="s">
        <v>43</v>
      </c>
      <c r="Z19" s="162" t="s">
        <v>159</v>
      </c>
      <c r="AA19" s="162" t="s">
        <v>201</v>
      </c>
      <c r="AB19" s="162">
        <f t="shared" si="21"/>
        <v>6</v>
      </c>
      <c r="AC19" s="165">
        <f t="shared" si="19"/>
        <v>96.15384615384616</v>
      </c>
      <c r="AD19" s="165">
        <f t="shared" si="20"/>
        <v>915.57337937248406</v>
      </c>
      <c r="AE19" s="162"/>
      <c r="AF19" s="162">
        <f t="shared" si="10"/>
        <v>17</v>
      </c>
      <c r="AG19" s="167">
        <f t="shared" si="11"/>
        <v>85</v>
      </c>
      <c r="AH19" s="165">
        <f t="shared" si="12"/>
        <v>643.8354817869631</v>
      </c>
      <c r="AI19" s="165">
        <f t="shared" si="13"/>
        <v>510.06383952138782</v>
      </c>
      <c r="AJ19" s="165">
        <f t="shared" si="14"/>
        <v>801.04987619932263</v>
      </c>
      <c r="AK19" s="167">
        <f t="shared" si="15"/>
        <v>5</v>
      </c>
    </row>
    <row r="20" spans="1:37" x14ac:dyDescent="0.2">
      <c r="A20" s="62" t="s">
        <v>43</v>
      </c>
      <c r="B20" s="62" t="s">
        <v>159</v>
      </c>
      <c r="C20" s="62" t="s">
        <v>201</v>
      </c>
      <c r="D20" s="62"/>
      <c r="E20" s="62">
        <f t="shared" si="2"/>
        <v>17</v>
      </c>
      <c r="F20" s="239">
        <v>85</v>
      </c>
      <c r="G20" s="129">
        <v>643.8354817869631</v>
      </c>
      <c r="H20" s="129">
        <v>510.06383952138782</v>
      </c>
      <c r="I20" s="129">
        <v>801.04987619932263</v>
      </c>
      <c r="J20" s="129"/>
      <c r="K20" s="129"/>
      <c r="L20" s="129"/>
      <c r="M20" s="60">
        <f t="shared" si="0"/>
        <v>5</v>
      </c>
      <c r="N20" s="61">
        <f t="shared" si="3"/>
        <v>96.15384615384616</v>
      </c>
      <c r="O20" s="61">
        <f t="shared" si="16"/>
        <v>403.75755942964616</v>
      </c>
      <c r="P20" s="129">
        <f t="shared" si="4"/>
        <v>577.58610687892588</v>
      </c>
      <c r="Q20" s="129">
        <f t="shared" si="5"/>
        <v>552.24192274806603</v>
      </c>
      <c r="R20" s="129">
        <f t="shared" si="6"/>
        <v>603.78708791163285</v>
      </c>
      <c r="S20" s="61">
        <f t="shared" si="7"/>
        <v>648.66912596249256</v>
      </c>
      <c r="T20" s="61">
        <f t="shared" si="1"/>
        <v>1138.9916017903447</v>
      </c>
      <c r="U20" s="61">
        <f t="shared" si="17"/>
        <v>560.99960599187409</v>
      </c>
      <c r="V20" s="61"/>
      <c r="Y20" s="162" t="s">
        <v>48</v>
      </c>
      <c r="Z20" s="162" t="s">
        <v>160</v>
      </c>
      <c r="AA20" s="162" t="s">
        <v>201</v>
      </c>
      <c r="AB20" s="162">
        <f t="shared" si="21"/>
        <v>3</v>
      </c>
      <c r="AC20" s="165">
        <f t="shared" si="19"/>
        <v>96.15384615384616</v>
      </c>
      <c r="AD20" s="165">
        <f t="shared" si="20"/>
        <v>915.57337937248406</v>
      </c>
      <c r="AE20" s="162"/>
      <c r="AF20" s="162">
        <f t="shared" si="10"/>
        <v>3</v>
      </c>
      <c r="AG20" s="167">
        <f t="shared" si="11"/>
        <v>18</v>
      </c>
      <c r="AH20" s="165">
        <f t="shared" si="12"/>
        <v>183.5695995743346</v>
      </c>
      <c r="AI20" s="165">
        <f t="shared" si="13"/>
        <v>107.59254554491827</v>
      </c>
      <c r="AJ20" s="165">
        <f t="shared" si="14"/>
        <v>291.76747332354364</v>
      </c>
      <c r="AK20" s="167">
        <f t="shared" si="15"/>
        <v>2</v>
      </c>
    </row>
    <row r="21" spans="1:37" x14ac:dyDescent="0.2">
      <c r="A21" s="62" t="s">
        <v>44</v>
      </c>
      <c r="B21" s="62" t="s">
        <v>66</v>
      </c>
      <c r="C21" s="62" t="s">
        <v>200</v>
      </c>
      <c r="D21" s="62"/>
      <c r="E21" s="62">
        <f t="shared" si="2"/>
        <v>5</v>
      </c>
      <c r="F21" s="239">
        <v>20</v>
      </c>
      <c r="G21" s="129">
        <v>313.0313771477139</v>
      </c>
      <c r="H21" s="129">
        <v>188.30538896075262</v>
      </c>
      <c r="I21" s="129">
        <v>487.42165509341959</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2</v>
      </c>
      <c r="N21" s="61">
        <f t="shared" si="3"/>
        <v>96.15384615384616</v>
      </c>
      <c r="O21" s="61">
        <f t="shared" si="16"/>
        <v>403.75755942964616</v>
      </c>
      <c r="P21" s="129">
        <f t="shared" si="4"/>
        <v>577.58610687892588</v>
      </c>
      <c r="Q21" s="129">
        <f t="shared" si="5"/>
        <v>552.24192274806603</v>
      </c>
      <c r="R21" s="129">
        <f t="shared" si="6"/>
        <v>603.78708791163285</v>
      </c>
      <c r="S21" s="61">
        <f t="shared" si="7"/>
        <v>648.66912596249256</v>
      </c>
      <c r="T21" s="61">
        <f t="shared" si="1"/>
        <v>1138.9916017903447</v>
      </c>
      <c r="U21" s="61">
        <f t="shared" si="17"/>
        <v>650.31183192481774</v>
      </c>
      <c r="V21" s="61"/>
      <c r="Y21" s="162" t="s">
        <v>52</v>
      </c>
      <c r="Z21" s="162" t="s">
        <v>72</v>
      </c>
      <c r="AA21" s="162" t="s">
        <v>201</v>
      </c>
      <c r="AB21" s="162">
        <f t="shared" si="21"/>
        <v>5</v>
      </c>
      <c r="AC21" s="165">
        <f t="shared" si="19"/>
        <v>96.15384615384616</v>
      </c>
      <c r="AD21" s="165">
        <f t="shared" si="20"/>
        <v>915.57337937248406</v>
      </c>
      <c r="AE21" s="162"/>
      <c r="AF21" s="162">
        <f t="shared" si="10"/>
        <v>8</v>
      </c>
      <c r="AG21" s="167">
        <f t="shared" si="11"/>
        <v>13</v>
      </c>
      <c r="AH21" s="165">
        <f t="shared" si="12"/>
        <v>414.16797590755704</v>
      </c>
      <c r="AI21" s="165">
        <f t="shared" si="13"/>
        <v>207.77580289578069</v>
      </c>
      <c r="AJ21" s="165">
        <f t="shared" si="14"/>
        <v>727.30382579139643</v>
      </c>
      <c r="AK21" s="167">
        <f t="shared" si="15"/>
        <v>5</v>
      </c>
    </row>
    <row r="22" spans="1:37" x14ac:dyDescent="0.2">
      <c r="A22" s="62" t="s">
        <v>45</v>
      </c>
      <c r="B22" s="62" t="s">
        <v>67</v>
      </c>
      <c r="C22" s="62" t="s">
        <v>163</v>
      </c>
      <c r="D22" s="62"/>
      <c r="E22" s="62">
        <f t="shared" si="2"/>
        <v>16</v>
      </c>
      <c r="F22" s="239">
        <v>86</v>
      </c>
      <c r="G22" s="129">
        <v>619.95852038125952</v>
      </c>
      <c r="H22" s="129">
        <v>495.2703229088977</v>
      </c>
      <c r="I22" s="129">
        <v>766.35874384238389</v>
      </c>
      <c r="J22" s="129"/>
      <c r="K22" s="129"/>
      <c r="L22" s="129"/>
      <c r="M22" s="60">
        <f t="shared" si="0"/>
        <v>5</v>
      </c>
      <c r="N22" s="61">
        <f t="shared" si="3"/>
        <v>96.15384615384616</v>
      </c>
      <c r="O22" s="61">
        <f t="shared" si="16"/>
        <v>403.75755942964616</v>
      </c>
      <c r="P22" s="129">
        <f t="shared" si="4"/>
        <v>577.58610687892588</v>
      </c>
      <c r="Q22" s="129">
        <f t="shared" si="5"/>
        <v>552.24192274806603</v>
      </c>
      <c r="R22" s="129">
        <f t="shared" si="6"/>
        <v>603.78708791163285</v>
      </c>
      <c r="S22" s="61">
        <f t="shared" si="7"/>
        <v>648.66912596249256</v>
      </c>
      <c r="T22" s="61">
        <f t="shared" si="1"/>
        <v>1138.9916017903447</v>
      </c>
      <c r="U22" s="61">
        <f>VLOOKUP(C22,$C$43:$I$46,5,FALSE)</f>
        <v>531.75897051310631</v>
      </c>
      <c r="V22" s="61"/>
      <c r="Y22" s="162" t="s">
        <v>54</v>
      </c>
      <c r="Z22" s="162" t="s">
        <v>73</v>
      </c>
      <c r="AA22" s="162" t="s">
        <v>201</v>
      </c>
      <c r="AB22" s="162">
        <f t="shared" si="21"/>
        <v>2</v>
      </c>
      <c r="AC22" s="165">
        <f t="shared" si="19"/>
        <v>96.15384615384616</v>
      </c>
      <c r="AD22" s="165">
        <f t="shared" si="20"/>
        <v>915.57337937248406</v>
      </c>
      <c r="AE22" s="162"/>
      <c r="AF22" s="162">
        <f t="shared" si="10"/>
        <v>2</v>
      </c>
      <c r="AG22" s="167" t="str">
        <f t="shared" si="11"/>
        <v>N/A</v>
      </c>
      <c r="AH22" s="165">
        <f t="shared" si="12"/>
        <v>97.692633519482257</v>
      </c>
      <c r="AI22" s="165">
        <f t="shared" si="13"/>
        <v>21.228256192414985</v>
      </c>
      <c r="AJ22" s="165">
        <f t="shared" si="14"/>
        <v>260.90050631177718</v>
      </c>
      <c r="AK22" s="167">
        <f t="shared" si="15"/>
        <v>2</v>
      </c>
    </row>
    <row r="23" spans="1:37" x14ac:dyDescent="0.2">
      <c r="A23" s="62" t="s">
        <v>46</v>
      </c>
      <c r="B23" s="62" t="s">
        <v>68</v>
      </c>
      <c r="C23" s="62" t="s">
        <v>163</v>
      </c>
      <c r="D23" s="62"/>
      <c r="E23" s="62">
        <f t="shared" si="2"/>
        <v>10</v>
      </c>
      <c r="F23" s="239">
        <v>98</v>
      </c>
      <c r="G23" s="129">
        <v>430.33626397000342</v>
      </c>
      <c r="H23" s="129">
        <v>348.40627933979721</v>
      </c>
      <c r="I23" s="129">
        <v>525.55483554025454</v>
      </c>
      <c r="J23" s="129"/>
      <c r="K23" s="129"/>
      <c r="L23" s="129"/>
      <c r="M23" s="60">
        <f t="shared" si="0"/>
        <v>2</v>
      </c>
      <c r="N23" s="61">
        <f t="shared" si="3"/>
        <v>96.15384615384616</v>
      </c>
      <c r="O23" s="61">
        <f t="shared" si="16"/>
        <v>403.75755942964616</v>
      </c>
      <c r="P23" s="129">
        <f t="shared" si="4"/>
        <v>577.58610687892588</v>
      </c>
      <c r="Q23" s="129">
        <f t="shared" si="5"/>
        <v>552.24192274806603</v>
      </c>
      <c r="R23" s="129">
        <f t="shared" si="6"/>
        <v>603.78708791163285</v>
      </c>
      <c r="S23" s="61">
        <f t="shared" si="7"/>
        <v>648.66912596249256</v>
      </c>
      <c r="T23" s="61">
        <f t="shared" si="1"/>
        <v>1138.9916017903447</v>
      </c>
      <c r="U23" s="61">
        <f t="shared" si="17"/>
        <v>531.75897051310631</v>
      </c>
      <c r="V23" s="61"/>
      <c r="Y23" s="163" t="s">
        <v>30</v>
      </c>
      <c r="Z23" s="163" t="s">
        <v>56</v>
      </c>
      <c r="AA23" s="163" t="s">
        <v>200</v>
      </c>
      <c r="AB23" s="163">
        <f>RANK(AH23,$AH$23:$AH$31,1)</f>
        <v>8</v>
      </c>
      <c r="AC23" s="166">
        <f>MIN($AH$23:$AH$31)</f>
        <v>208.18018996097587</v>
      </c>
      <c r="AD23" s="166">
        <f>MAX($AH$23:$AH$31)</f>
        <v>1138.9916017903447</v>
      </c>
      <c r="AE23" s="163"/>
      <c r="AF23" s="163">
        <f t="shared" si="10"/>
        <v>25</v>
      </c>
      <c r="AG23" s="168">
        <f t="shared" si="11"/>
        <v>183</v>
      </c>
      <c r="AH23" s="166">
        <f t="shared" si="12"/>
        <v>1059.5125512358213</v>
      </c>
      <c r="AI23" s="166">
        <f t="shared" si="13"/>
        <v>909.31369704718486</v>
      </c>
      <c r="AJ23" s="166">
        <f t="shared" si="14"/>
        <v>1227.1407425678815</v>
      </c>
      <c r="AK23" s="168">
        <f t="shared" si="15"/>
        <v>1</v>
      </c>
    </row>
    <row r="24" spans="1:37" x14ac:dyDescent="0.2">
      <c r="A24" s="62" t="s">
        <v>47</v>
      </c>
      <c r="B24" s="62" t="s">
        <v>69</v>
      </c>
      <c r="C24" s="62" t="s">
        <v>163</v>
      </c>
      <c r="D24" s="62"/>
      <c r="E24" s="62">
        <f t="shared" si="2"/>
        <v>11</v>
      </c>
      <c r="F24" s="239">
        <v>35</v>
      </c>
      <c r="G24" s="129">
        <v>439.88422602602873</v>
      </c>
      <c r="H24" s="129">
        <v>304.07232319278103</v>
      </c>
      <c r="I24" s="129">
        <v>614.72406308182144</v>
      </c>
      <c r="J24" s="129"/>
      <c r="K24" s="129"/>
      <c r="L24" s="129"/>
      <c r="M24" s="60">
        <f t="shared" si="0"/>
        <v>5</v>
      </c>
      <c r="N24" s="61">
        <f t="shared" si="3"/>
        <v>96.15384615384616</v>
      </c>
      <c r="O24" s="61">
        <f t="shared" si="16"/>
        <v>403.75755942964616</v>
      </c>
      <c r="P24" s="129">
        <f t="shared" si="4"/>
        <v>577.58610687892588</v>
      </c>
      <c r="Q24" s="129">
        <f t="shared" si="5"/>
        <v>552.24192274806603</v>
      </c>
      <c r="R24" s="129">
        <f t="shared" si="6"/>
        <v>603.78708791163285</v>
      </c>
      <c r="S24" s="61">
        <f t="shared" si="7"/>
        <v>648.66912596249256</v>
      </c>
      <c r="T24" s="61">
        <f t="shared" si="1"/>
        <v>1138.9916017903447</v>
      </c>
      <c r="U24" s="61">
        <f t="shared" si="17"/>
        <v>531.75897051310631</v>
      </c>
      <c r="V24" s="61"/>
      <c r="Y24" s="163" t="s">
        <v>31</v>
      </c>
      <c r="Z24" s="163" t="s">
        <v>57</v>
      </c>
      <c r="AA24" s="163" t="s">
        <v>200</v>
      </c>
      <c r="AB24" s="163">
        <f t="shared" ref="AB24:AB31" si="22">RANK(AH24,$AH$23:$AH$31,1)</f>
        <v>4</v>
      </c>
      <c r="AC24" s="166">
        <f t="shared" ref="AC24:AC31" si="23">MIN($AH$23:$AH$31)</f>
        <v>208.18018996097587</v>
      </c>
      <c r="AD24" s="166">
        <f t="shared" ref="AD24:AD31" si="24">MAX($AH$23:$AH$31)</f>
        <v>1138.9916017903447</v>
      </c>
      <c r="AE24" s="163"/>
      <c r="AF24" s="163">
        <f t="shared" si="10"/>
        <v>14</v>
      </c>
      <c r="AG24" s="168">
        <f t="shared" si="11"/>
        <v>119</v>
      </c>
      <c r="AH24" s="166">
        <f t="shared" si="12"/>
        <v>545.02607486960778</v>
      </c>
      <c r="AI24" s="166">
        <f t="shared" si="13"/>
        <v>451.15122356005355</v>
      </c>
      <c r="AJ24" s="166">
        <f t="shared" si="14"/>
        <v>652.61088773589734</v>
      </c>
      <c r="AK24" s="168">
        <f t="shared" si="15"/>
        <v>5</v>
      </c>
    </row>
    <row r="25" spans="1:37" x14ac:dyDescent="0.2">
      <c r="A25" s="62" t="s">
        <v>48</v>
      </c>
      <c r="B25" s="62" t="s">
        <v>160</v>
      </c>
      <c r="C25" s="62" t="s">
        <v>201</v>
      </c>
      <c r="D25" s="62"/>
      <c r="E25" s="62">
        <f t="shared" si="2"/>
        <v>3</v>
      </c>
      <c r="F25" s="239">
        <v>18</v>
      </c>
      <c r="G25" s="129">
        <v>183.5695995743346</v>
      </c>
      <c r="H25" s="129">
        <v>107.59254554491827</v>
      </c>
      <c r="I25" s="129">
        <v>291.76747332354364</v>
      </c>
      <c r="J25" s="129"/>
      <c r="K25" s="129"/>
      <c r="L25" s="129"/>
      <c r="M25" s="60">
        <f t="shared" si="0"/>
        <v>2</v>
      </c>
      <c r="N25" s="61">
        <f t="shared" si="3"/>
        <v>96.15384615384616</v>
      </c>
      <c r="O25" s="61">
        <f t="shared" si="16"/>
        <v>403.75755942964616</v>
      </c>
      <c r="P25" s="129">
        <f t="shared" si="4"/>
        <v>577.58610687892588</v>
      </c>
      <c r="Q25" s="129">
        <f t="shared" si="5"/>
        <v>552.24192274806603</v>
      </c>
      <c r="R25" s="129">
        <f t="shared" si="6"/>
        <v>603.78708791163285</v>
      </c>
      <c r="S25" s="61">
        <f t="shared" si="7"/>
        <v>648.66912596249256</v>
      </c>
      <c r="T25" s="61">
        <f t="shared" si="1"/>
        <v>1138.9916017903447</v>
      </c>
      <c r="U25" s="61">
        <f t="shared" si="17"/>
        <v>560.99960599187409</v>
      </c>
      <c r="V25" s="61"/>
      <c r="Y25" s="163" t="s">
        <v>34</v>
      </c>
      <c r="Z25" s="163" t="s">
        <v>59</v>
      </c>
      <c r="AA25" s="163" t="s">
        <v>200</v>
      </c>
      <c r="AB25" s="163">
        <f t="shared" si="22"/>
        <v>6</v>
      </c>
      <c r="AC25" s="166">
        <f t="shared" si="23"/>
        <v>208.18018996097587</v>
      </c>
      <c r="AD25" s="166">
        <f t="shared" si="24"/>
        <v>1138.9916017903447</v>
      </c>
      <c r="AE25" s="163"/>
      <c r="AF25" s="163">
        <f t="shared" si="10"/>
        <v>22</v>
      </c>
      <c r="AG25" s="168">
        <f t="shared" si="11"/>
        <v>133</v>
      </c>
      <c r="AH25" s="166">
        <f t="shared" si="12"/>
        <v>715.66161431833314</v>
      </c>
      <c r="AI25" s="166">
        <f t="shared" si="13"/>
        <v>597.58359938705348</v>
      </c>
      <c r="AJ25" s="166">
        <f t="shared" si="14"/>
        <v>849.98418357038702</v>
      </c>
      <c r="AK25" s="168">
        <f t="shared" si="15"/>
        <v>5</v>
      </c>
    </row>
    <row r="26" spans="1:37" x14ac:dyDescent="0.2">
      <c r="A26" s="62" t="s">
        <v>49</v>
      </c>
      <c r="B26" s="62" t="s">
        <v>70</v>
      </c>
      <c r="C26" s="62" t="s">
        <v>200</v>
      </c>
      <c r="D26" s="62"/>
      <c r="E26" s="62">
        <f t="shared" si="2"/>
        <v>4</v>
      </c>
      <c r="F26" s="239">
        <v>21</v>
      </c>
      <c r="G26" s="129">
        <v>208.18018996097587</v>
      </c>
      <c r="H26" s="129">
        <v>125.73394001232025</v>
      </c>
      <c r="I26" s="129">
        <v>322.51736365787059</v>
      </c>
      <c r="J26" s="129"/>
      <c r="K26" s="129"/>
      <c r="L26" s="129"/>
      <c r="M26" s="60">
        <f t="shared" si="0"/>
        <v>2</v>
      </c>
      <c r="N26" s="61">
        <f t="shared" si="3"/>
        <v>96.15384615384616</v>
      </c>
      <c r="O26" s="61">
        <f t="shared" si="16"/>
        <v>403.75755942964616</v>
      </c>
      <c r="P26" s="129">
        <f t="shared" si="4"/>
        <v>577.58610687892588</v>
      </c>
      <c r="Q26" s="129">
        <f t="shared" si="5"/>
        <v>552.24192274806603</v>
      </c>
      <c r="R26" s="129">
        <f t="shared" si="6"/>
        <v>603.78708791163285</v>
      </c>
      <c r="S26" s="61">
        <f t="shared" si="7"/>
        <v>648.66912596249256</v>
      </c>
      <c r="T26" s="61">
        <f t="shared" si="1"/>
        <v>1138.9916017903447</v>
      </c>
      <c r="U26" s="61">
        <f t="shared" si="17"/>
        <v>650.31183192481774</v>
      </c>
      <c r="V26" s="61"/>
      <c r="Y26" s="163" t="s">
        <v>39</v>
      </c>
      <c r="Z26" s="163" t="s">
        <v>158</v>
      </c>
      <c r="AA26" s="163" t="s">
        <v>200</v>
      </c>
      <c r="AB26" s="163">
        <f t="shared" si="22"/>
        <v>3</v>
      </c>
      <c r="AC26" s="166">
        <f t="shared" si="23"/>
        <v>208.18018996097587</v>
      </c>
      <c r="AD26" s="166">
        <f t="shared" si="24"/>
        <v>1138.9916017903447</v>
      </c>
      <c r="AE26" s="163"/>
      <c r="AF26" s="163">
        <f t="shared" si="10"/>
        <v>9</v>
      </c>
      <c r="AG26" s="168">
        <f t="shared" si="11"/>
        <v>66</v>
      </c>
      <c r="AH26" s="166">
        <f t="shared" si="12"/>
        <v>420.85596288607047</v>
      </c>
      <c r="AI26" s="166">
        <f t="shared" si="13"/>
        <v>324.63774963829496</v>
      </c>
      <c r="AJ26" s="166">
        <f t="shared" si="14"/>
        <v>536.44552380070604</v>
      </c>
      <c r="AK26" s="168">
        <f t="shared" si="15"/>
        <v>2</v>
      </c>
    </row>
    <row r="27" spans="1:37" x14ac:dyDescent="0.2">
      <c r="A27" s="62" t="s">
        <v>50</v>
      </c>
      <c r="B27" s="62" t="s">
        <v>161</v>
      </c>
      <c r="C27" s="62" t="s">
        <v>163</v>
      </c>
      <c r="D27" s="62"/>
      <c r="E27" s="62">
        <f t="shared" si="2"/>
        <v>13</v>
      </c>
      <c r="F27" s="239">
        <v>42</v>
      </c>
      <c r="G27" s="129">
        <v>515.85870453338077</v>
      </c>
      <c r="H27" s="129">
        <v>371.36762805524683</v>
      </c>
      <c r="I27" s="129">
        <v>697.7857238386157</v>
      </c>
      <c r="J27" s="129"/>
      <c r="K27" s="129"/>
      <c r="L27" s="129"/>
      <c r="M27" s="60">
        <f t="shared" si="0"/>
        <v>5</v>
      </c>
      <c r="N27" s="61">
        <f t="shared" si="3"/>
        <v>96.15384615384616</v>
      </c>
      <c r="O27" s="61">
        <f t="shared" si="16"/>
        <v>403.75755942964616</v>
      </c>
      <c r="P27" s="129">
        <f t="shared" si="4"/>
        <v>577.58610687892588</v>
      </c>
      <c r="Q27" s="129">
        <f t="shared" si="5"/>
        <v>552.24192274806603</v>
      </c>
      <c r="R27" s="129">
        <f t="shared" si="6"/>
        <v>603.78708791163285</v>
      </c>
      <c r="S27" s="61">
        <f t="shared" si="7"/>
        <v>648.66912596249256</v>
      </c>
      <c r="T27" s="61">
        <f t="shared" si="1"/>
        <v>1138.9916017903447</v>
      </c>
      <c r="U27" s="61">
        <f t="shared" si="17"/>
        <v>531.75897051310631</v>
      </c>
      <c r="V27" s="61"/>
      <c r="Y27" s="163" t="s">
        <v>40</v>
      </c>
      <c r="Z27" s="163" t="s">
        <v>63</v>
      </c>
      <c r="AA27" s="163" t="s">
        <v>200</v>
      </c>
      <c r="AB27" s="163">
        <f t="shared" si="22"/>
        <v>5</v>
      </c>
      <c r="AC27" s="166">
        <f t="shared" si="23"/>
        <v>208.18018996097587</v>
      </c>
      <c r="AD27" s="166">
        <f t="shared" si="24"/>
        <v>1138.9916017903447</v>
      </c>
      <c r="AE27" s="163"/>
      <c r="AF27" s="163">
        <f t="shared" si="10"/>
        <v>21</v>
      </c>
      <c r="AG27" s="168">
        <f t="shared" si="11"/>
        <v>72</v>
      </c>
      <c r="AH27" s="166">
        <f t="shared" si="12"/>
        <v>673.587530876904</v>
      </c>
      <c r="AI27" s="166">
        <f t="shared" si="13"/>
        <v>522.67385140477052</v>
      </c>
      <c r="AJ27" s="166">
        <f t="shared" si="14"/>
        <v>853.46324811209217</v>
      </c>
      <c r="AK27" s="168">
        <f t="shared" si="15"/>
        <v>5</v>
      </c>
    </row>
    <row r="28" spans="1:37" x14ac:dyDescent="0.2">
      <c r="A28" s="62" t="s">
        <v>51</v>
      </c>
      <c r="B28" s="62" t="s">
        <v>71</v>
      </c>
      <c r="C28" s="62" t="s">
        <v>200</v>
      </c>
      <c r="D28" s="62"/>
      <c r="E28" s="62">
        <f t="shared" si="2"/>
        <v>24</v>
      </c>
      <c r="F28" s="239">
        <v>56</v>
      </c>
      <c r="G28" s="129">
        <v>996.01748569251583</v>
      </c>
      <c r="H28" s="129">
        <v>746.64651402638617</v>
      </c>
      <c r="I28" s="129">
        <v>1300.3765042749128</v>
      </c>
      <c r="J28" s="129"/>
      <c r="K28" s="129"/>
      <c r="L28" s="129"/>
      <c r="M28" s="60">
        <f t="shared" si="0"/>
        <v>1</v>
      </c>
      <c r="N28" s="61">
        <f t="shared" si="3"/>
        <v>96.15384615384616</v>
      </c>
      <c r="O28" s="61">
        <f t="shared" si="16"/>
        <v>403.75755942964616</v>
      </c>
      <c r="P28" s="129">
        <f t="shared" si="4"/>
        <v>577.58610687892588</v>
      </c>
      <c r="Q28" s="129">
        <f t="shared" si="5"/>
        <v>552.24192274806603</v>
      </c>
      <c r="R28" s="129">
        <f t="shared" si="6"/>
        <v>603.78708791163285</v>
      </c>
      <c r="S28" s="61">
        <f t="shared" si="7"/>
        <v>648.66912596249256</v>
      </c>
      <c r="T28" s="61">
        <f t="shared" si="1"/>
        <v>1138.9916017903447</v>
      </c>
      <c r="U28" s="61">
        <f t="shared" si="17"/>
        <v>650.31183192481774</v>
      </c>
      <c r="V28" s="61"/>
      <c r="Y28" s="163" t="s">
        <v>42</v>
      </c>
      <c r="Z28" s="163" t="s">
        <v>65</v>
      </c>
      <c r="AA28" s="163" t="s">
        <v>200</v>
      </c>
      <c r="AB28" s="163">
        <f t="shared" si="22"/>
        <v>9</v>
      </c>
      <c r="AC28" s="166">
        <f t="shared" si="23"/>
        <v>208.18018996097587</v>
      </c>
      <c r="AD28" s="166">
        <f t="shared" si="24"/>
        <v>1138.9916017903447</v>
      </c>
      <c r="AE28" s="163"/>
      <c r="AF28" s="163">
        <f t="shared" si="10"/>
        <v>26</v>
      </c>
      <c r="AG28" s="168">
        <f t="shared" si="11"/>
        <v>54</v>
      </c>
      <c r="AH28" s="166">
        <f t="shared" si="12"/>
        <v>1138.9916017903447</v>
      </c>
      <c r="AI28" s="166">
        <f t="shared" si="13"/>
        <v>851.81022133090642</v>
      </c>
      <c r="AJ28" s="166">
        <f t="shared" si="14"/>
        <v>1490.7935379067669</v>
      </c>
      <c r="AK28" s="168">
        <f t="shared" si="15"/>
        <v>1</v>
      </c>
    </row>
    <row r="29" spans="1:37" x14ac:dyDescent="0.2">
      <c r="A29" s="62" t="s">
        <v>52</v>
      </c>
      <c r="B29" s="62" t="s">
        <v>72</v>
      </c>
      <c r="C29" s="62" t="s">
        <v>201</v>
      </c>
      <c r="D29" s="62"/>
      <c r="E29" s="62">
        <f t="shared" si="2"/>
        <v>8</v>
      </c>
      <c r="F29" s="239">
        <v>13</v>
      </c>
      <c r="G29" s="129">
        <v>414.16797590755704</v>
      </c>
      <c r="H29" s="129">
        <v>207.77580289578069</v>
      </c>
      <c r="I29" s="129">
        <v>727.30382579139643</v>
      </c>
      <c r="J29" s="129"/>
      <c r="K29" s="129"/>
      <c r="L29" s="129"/>
      <c r="M29" s="60">
        <f t="shared" si="0"/>
        <v>5</v>
      </c>
      <c r="N29" s="61">
        <f t="shared" si="3"/>
        <v>96.15384615384616</v>
      </c>
      <c r="O29" s="61">
        <f t="shared" si="16"/>
        <v>403.75755942964616</v>
      </c>
      <c r="P29" s="129">
        <f t="shared" si="4"/>
        <v>577.58610687892588</v>
      </c>
      <c r="Q29" s="129">
        <f t="shared" si="5"/>
        <v>552.24192274806603</v>
      </c>
      <c r="R29" s="129">
        <f t="shared" si="6"/>
        <v>603.78708791163285</v>
      </c>
      <c r="S29" s="61">
        <f t="shared" si="7"/>
        <v>648.66912596249256</v>
      </c>
      <c r="T29" s="61">
        <f t="shared" si="1"/>
        <v>1138.9916017903447</v>
      </c>
      <c r="U29" s="61">
        <f t="shared" si="17"/>
        <v>560.99960599187409</v>
      </c>
      <c r="V29" s="61"/>
      <c r="Y29" s="163" t="s">
        <v>44</v>
      </c>
      <c r="Z29" s="163" t="s">
        <v>66</v>
      </c>
      <c r="AA29" s="163" t="s">
        <v>200</v>
      </c>
      <c r="AB29" s="163">
        <f t="shared" si="22"/>
        <v>2</v>
      </c>
      <c r="AC29" s="166">
        <f t="shared" si="23"/>
        <v>208.18018996097587</v>
      </c>
      <c r="AD29" s="166">
        <f t="shared" si="24"/>
        <v>1138.9916017903447</v>
      </c>
      <c r="AE29" s="163"/>
      <c r="AF29" s="163">
        <f t="shared" si="10"/>
        <v>5</v>
      </c>
      <c r="AG29" s="168">
        <f t="shared" si="11"/>
        <v>20</v>
      </c>
      <c r="AH29" s="166">
        <f t="shared" si="12"/>
        <v>313.0313771477139</v>
      </c>
      <c r="AI29" s="166">
        <f t="shared" si="13"/>
        <v>188.30538896075262</v>
      </c>
      <c r="AJ29" s="166">
        <f t="shared" si="14"/>
        <v>487.42165509341959</v>
      </c>
      <c r="AK29" s="168">
        <f t="shared" si="15"/>
        <v>2</v>
      </c>
    </row>
    <row r="30" spans="1:37" x14ac:dyDescent="0.2">
      <c r="A30" s="62" t="s">
        <v>53</v>
      </c>
      <c r="B30" s="62" t="s">
        <v>162</v>
      </c>
      <c r="C30" s="62" t="s">
        <v>163</v>
      </c>
      <c r="D30" s="62"/>
      <c r="E30" s="62">
        <f t="shared" si="2"/>
        <v>15</v>
      </c>
      <c r="F30" s="239">
        <v>232</v>
      </c>
      <c r="G30" s="129">
        <v>598.29188511207803</v>
      </c>
      <c r="H30" s="129">
        <v>523.2522614737735</v>
      </c>
      <c r="I30" s="129">
        <v>681.01221894497394</v>
      </c>
      <c r="J30" s="129"/>
      <c r="K30" s="129"/>
      <c r="L30" s="129"/>
      <c r="M30" s="60">
        <f t="shared" si="0"/>
        <v>5</v>
      </c>
      <c r="N30" s="61">
        <f t="shared" si="3"/>
        <v>96.15384615384616</v>
      </c>
      <c r="O30" s="61">
        <f t="shared" si="16"/>
        <v>403.75755942964616</v>
      </c>
      <c r="P30" s="129">
        <f>$G$32</f>
        <v>577.58610687892588</v>
      </c>
      <c r="Q30" s="129">
        <f t="shared" si="5"/>
        <v>552.24192274806603</v>
      </c>
      <c r="R30" s="129">
        <f t="shared" si="6"/>
        <v>603.78708791163285</v>
      </c>
      <c r="S30" s="61">
        <f t="shared" si="7"/>
        <v>648.66912596249256</v>
      </c>
      <c r="T30" s="61">
        <f t="shared" si="1"/>
        <v>1138.9916017903447</v>
      </c>
      <c r="U30" s="61">
        <f t="shared" si="17"/>
        <v>531.75897051310631</v>
      </c>
      <c r="V30" s="61"/>
      <c r="Y30" s="163" t="s">
        <v>49</v>
      </c>
      <c r="Z30" s="163" t="s">
        <v>70</v>
      </c>
      <c r="AA30" s="163" t="s">
        <v>200</v>
      </c>
      <c r="AB30" s="163">
        <f t="shared" si="22"/>
        <v>1</v>
      </c>
      <c r="AC30" s="166">
        <f t="shared" si="23"/>
        <v>208.18018996097587</v>
      </c>
      <c r="AD30" s="166">
        <f t="shared" si="24"/>
        <v>1138.9916017903447</v>
      </c>
      <c r="AE30" s="163"/>
      <c r="AF30" s="163">
        <f t="shared" si="10"/>
        <v>4</v>
      </c>
      <c r="AG30" s="168">
        <f t="shared" si="11"/>
        <v>21</v>
      </c>
      <c r="AH30" s="166">
        <f t="shared" si="12"/>
        <v>208.18018996097587</v>
      </c>
      <c r="AI30" s="166">
        <f t="shared" si="13"/>
        <v>125.73394001232025</v>
      </c>
      <c r="AJ30" s="166">
        <f t="shared" si="14"/>
        <v>322.51736365787059</v>
      </c>
      <c r="AK30" s="168">
        <f t="shared" si="15"/>
        <v>2</v>
      </c>
    </row>
    <row r="31" spans="1:37" x14ac:dyDescent="0.2">
      <c r="A31" s="62" t="s">
        <v>54</v>
      </c>
      <c r="B31" s="62" t="s">
        <v>73</v>
      </c>
      <c r="C31" s="62" t="s">
        <v>201</v>
      </c>
      <c r="D31" s="62"/>
      <c r="E31" s="62">
        <f t="shared" si="2"/>
        <v>2</v>
      </c>
      <c r="F31" s="239" t="s">
        <v>79</v>
      </c>
      <c r="G31" s="129">
        <v>97.692633519482257</v>
      </c>
      <c r="H31" s="129">
        <v>21.228256192414985</v>
      </c>
      <c r="I31" s="129">
        <v>260.90050631177718</v>
      </c>
      <c r="J31" s="129"/>
      <c r="K31" s="129"/>
      <c r="L31" s="129"/>
      <c r="M31" s="60">
        <f t="shared" si="0"/>
        <v>2</v>
      </c>
      <c r="N31" s="61">
        <f t="shared" si="3"/>
        <v>96.15384615384616</v>
      </c>
      <c r="O31" s="61">
        <f t="shared" si="16"/>
        <v>403.75755942964616</v>
      </c>
      <c r="P31" s="129">
        <f t="shared" si="4"/>
        <v>577.58610687892588</v>
      </c>
      <c r="Q31" s="129">
        <f t="shared" si="5"/>
        <v>552.24192274806603</v>
      </c>
      <c r="R31" s="129">
        <f t="shared" si="6"/>
        <v>603.78708791163285</v>
      </c>
      <c r="S31" s="61">
        <f t="shared" si="7"/>
        <v>648.66912596249256</v>
      </c>
      <c r="T31" s="61">
        <f t="shared" si="1"/>
        <v>1138.9916017903447</v>
      </c>
      <c r="U31" s="61">
        <f t="shared" si="17"/>
        <v>560.99960599187409</v>
      </c>
      <c r="V31" s="61"/>
      <c r="Y31" s="163" t="s">
        <v>51</v>
      </c>
      <c r="Z31" s="163" t="s">
        <v>71</v>
      </c>
      <c r="AA31" s="163" t="s">
        <v>200</v>
      </c>
      <c r="AB31" s="163">
        <f t="shared" si="22"/>
        <v>7</v>
      </c>
      <c r="AC31" s="166">
        <f t="shared" si="23"/>
        <v>208.18018996097587</v>
      </c>
      <c r="AD31" s="166">
        <f t="shared" si="24"/>
        <v>1138.9916017903447</v>
      </c>
      <c r="AE31" s="163"/>
      <c r="AF31" s="163">
        <f t="shared" si="10"/>
        <v>24</v>
      </c>
      <c r="AG31" s="168">
        <f t="shared" si="11"/>
        <v>56</v>
      </c>
      <c r="AH31" s="166">
        <f t="shared" si="12"/>
        <v>996.01748569251583</v>
      </c>
      <c r="AI31" s="166">
        <f t="shared" si="13"/>
        <v>746.64651402638617</v>
      </c>
      <c r="AJ31" s="166">
        <f t="shared" si="14"/>
        <v>1300.3765042749128</v>
      </c>
      <c r="AK31" s="168">
        <f t="shared" si="15"/>
        <v>1</v>
      </c>
    </row>
    <row r="32" spans="1:37" x14ac:dyDescent="0.2">
      <c r="A32" s="62"/>
      <c r="B32" s="62" t="s">
        <v>171</v>
      </c>
      <c r="C32" s="62"/>
      <c r="D32" s="62"/>
      <c r="E32" s="62"/>
      <c r="F32" s="239">
        <v>1980</v>
      </c>
      <c r="G32" s="129">
        <v>577.58610687892588</v>
      </c>
      <c r="H32" s="129">
        <v>552.24192274806603</v>
      </c>
      <c r="I32" s="129">
        <v>603.78708791163285</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808</v>
      </c>
      <c r="G44" s="129">
        <v>531.75897051310631</v>
      </c>
      <c r="H44" s="129">
        <v>495.57367872202798</v>
      </c>
      <c r="I44" s="129">
        <v>569.8794142034925</v>
      </c>
      <c r="J44" s="129">
        <f>VLOOKUP($C44,$AA$6:$AD$13,3,FALSE)</f>
        <v>403.75755942964616</v>
      </c>
      <c r="K44" s="129">
        <f>VLOOKUP($C44,$AA$6:$AD$13,4,FALSE)</f>
        <v>648.66912596249256</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5</v>
      </c>
      <c r="N44" s="61">
        <f>MIN($G$6:$G$31)</f>
        <v>96.15384615384616</v>
      </c>
      <c r="O44" s="61">
        <f>VLOOKUP(7,$E$5:$G$39,3,FALSE)</f>
        <v>403.75755942964616</v>
      </c>
      <c r="P44" s="129">
        <f>$G$32</f>
        <v>577.58610687892588</v>
      </c>
      <c r="Q44" s="129">
        <f>$H$32</f>
        <v>552.24192274806603</v>
      </c>
      <c r="R44" s="129">
        <f>$I$32</f>
        <v>603.78708791163285</v>
      </c>
      <c r="S44" s="61">
        <f>VLOOKUP(20,$E$5:$G$39,3,FALSE)</f>
        <v>648.66912596249256</v>
      </c>
      <c r="T44" s="61">
        <f>MAX($G$6:$G$31)</f>
        <v>1138.9916017903447</v>
      </c>
    </row>
    <row r="45" spans="1:22" x14ac:dyDescent="0.2">
      <c r="C45" s="62" t="s">
        <v>201</v>
      </c>
      <c r="D45" s="62"/>
      <c r="E45" s="62"/>
      <c r="F45" s="128">
        <v>448</v>
      </c>
      <c r="G45" s="129">
        <v>560.99960599187409</v>
      </c>
      <c r="H45" s="129">
        <v>509.35638053786926</v>
      </c>
      <c r="I45" s="129">
        <v>616.38909581568998</v>
      </c>
      <c r="J45" s="129">
        <f>VLOOKUP($C45,$AA$14:$AD$22,3,FALSE)</f>
        <v>96.15384615384616</v>
      </c>
      <c r="K45" s="129">
        <f>VLOOKUP($C45,$AA$14:$AD$22,4,FALSE)</f>
        <v>915.57337937248406</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5</v>
      </c>
      <c r="N45" s="61">
        <f>MIN($G$6:$G$31)</f>
        <v>96.15384615384616</v>
      </c>
      <c r="O45" s="61">
        <f>VLOOKUP(7,$E$5:$G$39,3,FALSE)</f>
        <v>403.75755942964616</v>
      </c>
      <c r="P45" s="129">
        <f>$G$32</f>
        <v>577.58610687892588</v>
      </c>
      <c r="Q45" s="129">
        <f t="shared" ref="Q45:Q46" si="25">$H$32</f>
        <v>552.24192274806603</v>
      </c>
      <c r="R45" s="129">
        <f t="shared" ref="R45:R46" si="26">$I$32</f>
        <v>603.78708791163285</v>
      </c>
      <c r="S45" s="61">
        <f>VLOOKUP(20,$E$5:$G$39,3,FALSE)</f>
        <v>648.66912596249256</v>
      </c>
      <c r="T45" s="61">
        <f t="shared" ref="T45:T46" si="27">MAX($G$6:$G$31)</f>
        <v>1138.9916017903447</v>
      </c>
    </row>
    <row r="46" spans="1:22" x14ac:dyDescent="0.2">
      <c r="C46" s="62" t="s">
        <v>200</v>
      </c>
      <c r="D46" s="62"/>
      <c r="E46" s="62"/>
      <c r="F46" s="128">
        <v>724</v>
      </c>
      <c r="G46" s="129">
        <v>650.31183192481774</v>
      </c>
      <c r="H46" s="129">
        <v>603.39273672655747</v>
      </c>
      <c r="I46" s="129">
        <v>699.88603154469638</v>
      </c>
      <c r="J46" s="129">
        <f>VLOOKUP($C46,$AA$23:$AD$31,3,FALSE)</f>
        <v>208.18018996097587</v>
      </c>
      <c r="K46" s="129">
        <f>VLOOKUP($C46,$AA$23:$AD$31,4,FALSE)</f>
        <v>1138.9916017903447</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5</v>
      </c>
      <c r="N46" s="61">
        <f>MIN($G$6:$G$31)</f>
        <v>96.15384615384616</v>
      </c>
      <c r="O46" s="61">
        <f>VLOOKUP(7,$E$5:$G$39,3,FALSE)</f>
        <v>403.75755942964616</v>
      </c>
      <c r="P46" s="129">
        <f t="shared" ref="P46" si="28">$G$32</f>
        <v>577.58610687892588</v>
      </c>
      <c r="Q46" s="129">
        <f t="shared" si="25"/>
        <v>552.24192274806603</v>
      </c>
      <c r="R46" s="129">
        <f t="shared" si="26"/>
        <v>603.78708791163285</v>
      </c>
      <c r="S46" s="61">
        <f>VLOOKUP(20,$E$5:$G$39,3,FALSE)</f>
        <v>648.66912596249256</v>
      </c>
      <c r="T46" s="61">
        <f t="shared" si="27"/>
        <v>1138.9916017903447</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K2:N2" xr:uid="{00000000-0002-0000-1700-000000000000}">
      <formula1>"High = Worst,Low = Worst"</formula1>
    </dataValidation>
    <dataValidation type="list" allowBlank="1" showInputMessage="1" showErrorMessage="1" sqref="C2:D2" xr:uid="{00000000-0002-0000-1700-000001000000}">
      <formula1>"Better / Worse,Higher / Lower,Significance not measured"</formula1>
    </dataValidation>
  </dataValidations>
  <pageMargins left="0.75" right="0.75" top="1" bottom="1" header="0.5" footer="0.5"/>
  <pageSetup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9">
    <tabColor theme="6" tint="0.39997558519241921"/>
  </sheetPr>
  <dimension ref="A1:AK57"/>
  <sheetViews>
    <sheetView workbookViewId="0">
      <selection activeCell="H36" sqref="H36"/>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6.88671875" style="21" customWidth="1"/>
    <col min="6" max="6" width="6.109375" style="21" customWidth="1"/>
    <col min="7" max="7" width="5.6640625" style="21" customWidth="1"/>
    <col min="8" max="8" width="7.33203125" style="21" customWidth="1"/>
    <col min="9" max="9" width="6.886718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5.554687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277</v>
      </c>
      <c r="P5" s="69" t="s">
        <v>92</v>
      </c>
      <c r="Q5" s="69" t="s">
        <v>25</v>
      </c>
      <c r="R5" s="69" t="s">
        <v>26</v>
      </c>
      <c r="S5" s="68" t="s">
        <v>278</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17</v>
      </c>
      <c r="F6" s="128">
        <v>7</v>
      </c>
      <c r="G6" s="129">
        <v>49.784847948595797</v>
      </c>
      <c r="H6" s="129">
        <v>19.03388341134076</v>
      </c>
      <c r="I6" s="129">
        <v>104.1928356606288</v>
      </c>
      <c r="J6" s="129"/>
      <c r="K6" s="129"/>
      <c r="L6" s="129"/>
      <c r="M6" s="60">
        <f t="shared" ref="M6:M30" si="0">IF($C$2="Significance not measured",6,IF(AND($C$2="Better / Worse",$K$2="Low = Worst",I6&lt;Q6),1,IF(AND($C$2="Better / Worse",$K$2="Low = Worst",H6&gt;R6),2,IF(AND($C$2="Better / Worse",$K$2="High = Worst",I6&lt;Q6),2,IF(AND($C$2="Better / Worse",$K$2="High = Worst",H6&gt;R6),1,IF(AND($C$2="Higher / Lower",I6&lt;Q6),3,IF(AND($C$2="Higher / Lower",H6&gt;R6),4,5)))))))</f>
        <v>5</v>
      </c>
      <c r="N6" s="61">
        <f>MIN($G$6:$G$32)</f>
        <v>12.845815183753546</v>
      </c>
      <c r="O6" s="61">
        <f>VLOOKUP(6,$E$5:$G$39,3,FALSE)</f>
        <v>29.608827647058352</v>
      </c>
      <c r="P6" s="129">
        <f>$G$32</f>
        <v>41.764257200581525</v>
      </c>
      <c r="Q6" s="129">
        <f>$H$32</f>
        <v>36.387681105300459</v>
      </c>
      <c r="R6" s="129">
        <f>$I$32</f>
        <v>47.708157626414106</v>
      </c>
      <c r="S6" s="61">
        <f>VLOOKUP(18,$E$5:$G$39,3,FALSE)</f>
        <v>52.609249600155138</v>
      </c>
      <c r="T6" s="61">
        <f t="shared" ref="T6:T31" si="1">MAX($G$6:$G$31)</f>
        <v>98.805534872264218</v>
      </c>
      <c r="U6" s="61">
        <f>VLOOKUP(C6,$C$43:$I$46,5,FALSE)</f>
        <v>42.631980303497336</v>
      </c>
      <c r="V6" s="61"/>
      <c r="Y6" s="159" t="s">
        <v>33</v>
      </c>
      <c r="Z6" s="159" t="s">
        <v>58</v>
      </c>
      <c r="AA6" s="159" t="s">
        <v>163</v>
      </c>
      <c r="AB6" s="159">
        <f>RANK(AH6,$AH$6:$AH$13,1)</f>
        <v>3</v>
      </c>
      <c r="AC6" s="164">
        <f>MIN($AH$6:$AH$13)</f>
        <v>28.847184584551286</v>
      </c>
      <c r="AD6" s="164">
        <f>MAX($AH$6:$AH$13)</f>
        <v>63.817330855225258</v>
      </c>
      <c r="AE6" s="159"/>
      <c r="AF6" s="159">
        <f>VLOOKUP($Y6,$A$6:$I$31,5,FALSE)</f>
        <v>9</v>
      </c>
      <c r="AG6" s="160">
        <f>VLOOKUP($Y6,$A$6:$I$31,6,FALSE)</f>
        <v>9</v>
      </c>
      <c r="AH6" s="161">
        <f>VLOOKUP($Y6,$A$6:$I$31,7,FALSE)</f>
        <v>38.338179795766806</v>
      </c>
      <c r="AI6" s="161">
        <f>VLOOKUP($Y6,$A$6:$I$31,8,FALSE)</f>
        <v>17.381333448129826</v>
      </c>
      <c r="AJ6" s="161">
        <f>VLOOKUP($Y6,$A$6:$I$31,9,FALSE)</f>
        <v>72.968975172934023</v>
      </c>
      <c r="AK6" s="160">
        <f>VLOOKUP($Y6,$A$6:$M$31,13,FALSE)</f>
        <v>5</v>
      </c>
    </row>
    <row r="7" spans="1:37" x14ac:dyDescent="0.2">
      <c r="A7" s="62" t="s">
        <v>30</v>
      </c>
      <c r="B7" s="62" t="s">
        <v>56</v>
      </c>
      <c r="C7" s="62" t="s">
        <v>200</v>
      </c>
      <c r="D7" s="62"/>
      <c r="E7" s="62">
        <f t="shared" ref="E7:E30" si="2">RANK(G7,$G$6:$G$31,1)</f>
        <v>22</v>
      </c>
      <c r="F7" s="128">
        <v>21</v>
      </c>
      <c r="G7" s="129">
        <v>70.075221875006932</v>
      </c>
      <c r="H7" s="129">
        <v>42.977016294706957</v>
      </c>
      <c r="I7" s="129">
        <v>107.65524813743177</v>
      </c>
      <c r="J7" s="129"/>
      <c r="K7" s="129"/>
      <c r="L7" s="129"/>
      <c r="M7" s="60">
        <f t="shared" si="0"/>
        <v>5</v>
      </c>
      <c r="N7" s="61">
        <f t="shared" ref="N7:N31" si="3">MIN($G$6:$G$32)</f>
        <v>12.845815183753546</v>
      </c>
      <c r="O7" s="61">
        <f t="shared" ref="O7:O31" si="4">VLOOKUP(6,$E$5:$G$39,3,FALSE)</f>
        <v>29.608827647058352</v>
      </c>
      <c r="P7" s="129">
        <f t="shared" ref="P7:P31" si="5">$G$32</f>
        <v>41.764257200581525</v>
      </c>
      <c r="Q7" s="129">
        <f t="shared" ref="Q7:Q31" si="6">$H$32</f>
        <v>36.387681105300459</v>
      </c>
      <c r="R7" s="129">
        <f t="shared" ref="R7:R31" si="7">$I$32</f>
        <v>47.708157626414106</v>
      </c>
      <c r="S7" s="61">
        <f t="shared" ref="S7:S31" si="8">VLOOKUP(18,$E$5:$G$39,3,FALSE)</f>
        <v>52.609249600155138</v>
      </c>
      <c r="T7" s="61">
        <f t="shared" si="1"/>
        <v>98.805534872264218</v>
      </c>
      <c r="U7" s="61">
        <f>VLOOKUP(C7,$C$43:$I$46,5,FALSE)</f>
        <v>43.396566170613561</v>
      </c>
      <c r="V7" s="61"/>
      <c r="Y7" s="159" t="s">
        <v>35</v>
      </c>
      <c r="Z7" s="159" t="s">
        <v>60</v>
      </c>
      <c r="AA7" s="159" t="s">
        <v>163</v>
      </c>
      <c r="AB7" s="159">
        <f t="shared" ref="AB7:AB12" si="9">RANK(AH7,$AH$6:$AH$13,1)</f>
        <v>4</v>
      </c>
      <c r="AC7" s="164">
        <f>MIN($AH$6:$AH$13)</f>
        <v>28.847184584551286</v>
      </c>
      <c r="AD7" s="164">
        <f t="shared" ref="AD7:AD13" si="10">MAX($AH$6:$AH$13)</f>
        <v>63.817330855225258</v>
      </c>
      <c r="AE7" s="159"/>
      <c r="AF7" s="159">
        <f t="shared" ref="AF7:AF31" si="11">VLOOKUP($Y7,$A$6:$I$31,5,FALSE)</f>
        <v>11</v>
      </c>
      <c r="AG7" s="160">
        <f t="shared" ref="AG7:AG31" si="12">VLOOKUP($Y7,$A$6:$I$31,6,FALSE)</f>
        <v>14</v>
      </c>
      <c r="AH7" s="161">
        <f t="shared" ref="AH7:AH31" si="13">VLOOKUP($Y7,$A$6:$I$31,7,FALSE)</f>
        <v>40.383940096481318</v>
      </c>
      <c r="AI7" s="161">
        <f t="shared" ref="AI7:AI31" si="14">VLOOKUP($Y7,$A$6:$I$31,8,FALSE)</f>
        <v>21.986262767595459</v>
      </c>
      <c r="AJ7" s="161">
        <f t="shared" ref="AJ7:AJ31" si="15">VLOOKUP($Y7,$A$6:$I$31,9,FALSE)</f>
        <v>67.871253519480874</v>
      </c>
      <c r="AK7" s="160">
        <f t="shared" ref="AK7:AK31" si="16">VLOOKUP($Y7,$A$6:$M$31,13,FALSE)</f>
        <v>5</v>
      </c>
    </row>
    <row r="8" spans="1:37" x14ac:dyDescent="0.2">
      <c r="A8" s="62" t="s">
        <v>31</v>
      </c>
      <c r="B8" s="62" t="s">
        <v>57</v>
      </c>
      <c r="C8" s="62" t="s">
        <v>200</v>
      </c>
      <c r="D8" s="62"/>
      <c r="E8" s="62">
        <f t="shared" si="2"/>
        <v>7</v>
      </c>
      <c r="F8" s="128">
        <v>10</v>
      </c>
      <c r="G8" s="129">
        <v>30.268387331856474</v>
      </c>
      <c r="H8" s="129">
        <v>14.479215079017207</v>
      </c>
      <c r="I8" s="129">
        <v>55.686691845397981</v>
      </c>
      <c r="J8" s="129"/>
      <c r="K8" s="129"/>
      <c r="L8" s="129"/>
      <c r="M8" s="60">
        <f t="shared" si="0"/>
        <v>5</v>
      </c>
      <c r="N8" s="61">
        <f t="shared" si="3"/>
        <v>12.845815183753546</v>
      </c>
      <c r="O8" s="61">
        <f t="shared" si="4"/>
        <v>29.608827647058352</v>
      </c>
      <c r="P8" s="129">
        <f t="shared" si="5"/>
        <v>41.764257200581525</v>
      </c>
      <c r="Q8" s="129">
        <f t="shared" si="6"/>
        <v>36.387681105300459</v>
      </c>
      <c r="R8" s="129">
        <f t="shared" si="7"/>
        <v>47.708157626414106</v>
      </c>
      <c r="S8" s="61">
        <f t="shared" si="8"/>
        <v>52.609249600155138</v>
      </c>
      <c r="T8" s="61">
        <f t="shared" si="1"/>
        <v>98.805534872264218</v>
      </c>
      <c r="U8" s="61">
        <f t="shared" ref="U8:U31" si="17">VLOOKUP(C8,$C$43:$I$46,5,FALSE)</f>
        <v>43.396566170613561</v>
      </c>
      <c r="V8" s="61"/>
      <c r="Y8" s="159" t="s">
        <v>41</v>
      </c>
      <c r="Z8" s="159" t="s">
        <v>64</v>
      </c>
      <c r="AA8" s="159" t="s">
        <v>163</v>
      </c>
      <c r="AB8" s="159">
        <f t="shared" si="9"/>
        <v>7</v>
      </c>
      <c r="AC8" s="164">
        <f t="shared" ref="AC8:AC13" si="18">MIN($AH$6:$AH$13)</f>
        <v>28.847184584551286</v>
      </c>
      <c r="AD8" s="164">
        <f>MAX($AH$6:$AH$13)</f>
        <v>63.817330855225258</v>
      </c>
      <c r="AE8" s="159"/>
      <c r="AF8" s="159">
        <f t="shared" si="11"/>
        <v>16</v>
      </c>
      <c r="AG8" s="160">
        <f t="shared" si="12"/>
        <v>16</v>
      </c>
      <c r="AH8" s="161">
        <f t="shared" si="13"/>
        <v>49.188922778001981</v>
      </c>
      <c r="AI8" s="161">
        <f t="shared" si="14"/>
        <v>28.054795881359137</v>
      </c>
      <c r="AJ8" s="161">
        <f t="shared" si="15"/>
        <v>79.946543665410786</v>
      </c>
      <c r="AK8" s="160">
        <f t="shared" si="16"/>
        <v>5</v>
      </c>
    </row>
    <row r="9" spans="1:37" x14ac:dyDescent="0.2">
      <c r="A9" s="62" t="s">
        <v>32</v>
      </c>
      <c r="B9" s="62" t="s">
        <v>156</v>
      </c>
      <c r="C9" s="62" t="s">
        <v>201</v>
      </c>
      <c r="D9" s="62"/>
      <c r="E9" s="62">
        <f t="shared" si="2"/>
        <v>14</v>
      </c>
      <c r="F9" s="128">
        <v>10</v>
      </c>
      <c r="G9" s="129">
        <v>44.320071316210012</v>
      </c>
      <c r="H9" s="129">
        <v>20.508036306290439</v>
      </c>
      <c r="I9" s="129">
        <v>82.654035078015596</v>
      </c>
      <c r="J9" s="129"/>
      <c r="K9" s="129"/>
      <c r="L9" s="129"/>
      <c r="M9" s="60">
        <f t="shared" si="0"/>
        <v>5</v>
      </c>
      <c r="N9" s="61">
        <f t="shared" si="3"/>
        <v>12.845815183753546</v>
      </c>
      <c r="O9" s="61">
        <f t="shared" si="4"/>
        <v>29.608827647058352</v>
      </c>
      <c r="P9" s="129">
        <f t="shared" si="5"/>
        <v>41.764257200581525</v>
      </c>
      <c r="Q9" s="129">
        <f t="shared" si="6"/>
        <v>36.387681105300459</v>
      </c>
      <c r="R9" s="129">
        <f t="shared" si="7"/>
        <v>47.708157626414106</v>
      </c>
      <c r="S9" s="61">
        <f t="shared" si="8"/>
        <v>52.609249600155138</v>
      </c>
      <c r="T9" s="61">
        <f t="shared" si="1"/>
        <v>98.805534872264218</v>
      </c>
      <c r="U9" s="61">
        <f t="shared" si="17"/>
        <v>42.631980303497336</v>
      </c>
      <c r="V9" s="61"/>
      <c r="X9" s="63"/>
      <c r="Y9" s="159" t="s">
        <v>45</v>
      </c>
      <c r="Z9" s="159" t="s">
        <v>67</v>
      </c>
      <c r="AA9" s="159" t="s">
        <v>163</v>
      </c>
      <c r="AB9" s="159">
        <f t="shared" si="9"/>
        <v>1</v>
      </c>
      <c r="AC9" s="164">
        <f t="shared" si="18"/>
        <v>28.847184584551286</v>
      </c>
      <c r="AD9" s="164">
        <f t="shared" si="10"/>
        <v>63.817330855225258</v>
      </c>
      <c r="AE9" s="159"/>
      <c r="AF9" s="159">
        <f t="shared" si="11"/>
        <v>5</v>
      </c>
      <c r="AG9" s="160" t="str">
        <f t="shared" si="12"/>
        <v>N/A</v>
      </c>
      <c r="AH9" s="161">
        <f t="shared" si="13"/>
        <v>28.847184584551286</v>
      </c>
      <c r="AI9" s="161">
        <f t="shared" si="14"/>
        <v>10.446970881960818</v>
      </c>
      <c r="AJ9" s="161">
        <f t="shared" si="15"/>
        <v>62.950739475027163</v>
      </c>
      <c r="AK9" s="160">
        <f t="shared" si="16"/>
        <v>5</v>
      </c>
    </row>
    <row r="10" spans="1:37" x14ac:dyDescent="0.2">
      <c r="A10" s="62" t="s">
        <v>33</v>
      </c>
      <c r="B10" s="62" t="s">
        <v>58</v>
      </c>
      <c r="C10" s="62" t="s">
        <v>163</v>
      </c>
      <c r="D10" s="62"/>
      <c r="E10" s="62">
        <f t="shared" si="2"/>
        <v>9</v>
      </c>
      <c r="F10" s="128">
        <v>9</v>
      </c>
      <c r="G10" s="129">
        <v>38.338179795766806</v>
      </c>
      <c r="H10" s="129">
        <v>17.381333448129826</v>
      </c>
      <c r="I10" s="129">
        <v>72.968975172934023</v>
      </c>
      <c r="J10" s="129"/>
      <c r="K10" s="129"/>
      <c r="L10" s="129"/>
      <c r="M10" s="60">
        <f t="shared" si="0"/>
        <v>5</v>
      </c>
      <c r="N10" s="61">
        <f t="shared" si="3"/>
        <v>12.845815183753546</v>
      </c>
      <c r="O10" s="61">
        <f t="shared" si="4"/>
        <v>29.608827647058352</v>
      </c>
      <c r="P10" s="129">
        <f t="shared" si="5"/>
        <v>41.764257200581525</v>
      </c>
      <c r="Q10" s="129">
        <f t="shared" si="6"/>
        <v>36.387681105300459</v>
      </c>
      <c r="R10" s="129">
        <f t="shared" si="7"/>
        <v>47.708157626414106</v>
      </c>
      <c r="S10" s="61">
        <f t="shared" si="8"/>
        <v>52.609249600155138</v>
      </c>
      <c r="T10" s="61">
        <f t="shared" si="1"/>
        <v>98.805534872264218</v>
      </c>
      <c r="U10" s="61">
        <f t="shared" si="17"/>
        <v>39.332440431653325</v>
      </c>
      <c r="V10" s="61"/>
      <c r="Y10" s="159" t="s">
        <v>46</v>
      </c>
      <c r="Z10" s="159" t="s">
        <v>68</v>
      </c>
      <c r="AA10" s="159" t="s">
        <v>163</v>
      </c>
      <c r="AB10" s="159">
        <f t="shared" si="9"/>
        <v>5</v>
      </c>
      <c r="AC10" s="164">
        <f t="shared" si="18"/>
        <v>28.847184584551286</v>
      </c>
      <c r="AD10" s="164">
        <f t="shared" si="10"/>
        <v>63.817330855225258</v>
      </c>
      <c r="AE10" s="159"/>
      <c r="AF10" s="159">
        <f t="shared" si="11"/>
        <v>13</v>
      </c>
      <c r="AG10" s="160">
        <f t="shared" si="12"/>
        <v>14</v>
      </c>
      <c r="AH10" s="161">
        <f t="shared" si="13"/>
        <v>44.188818038492862</v>
      </c>
      <c r="AI10" s="161">
        <f t="shared" si="14"/>
        <v>24.099139871000567</v>
      </c>
      <c r="AJ10" s="161">
        <f t="shared" si="15"/>
        <v>74.204089558122959</v>
      </c>
      <c r="AK10" s="160">
        <f t="shared" si="16"/>
        <v>5</v>
      </c>
    </row>
    <row r="11" spans="1:37" x14ac:dyDescent="0.2">
      <c r="A11" s="62" t="s">
        <v>34</v>
      </c>
      <c r="B11" s="62" t="s">
        <v>59</v>
      </c>
      <c r="C11" s="62" t="s">
        <v>200</v>
      </c>
      <c r="D11" s="62"/>
      <c r="E11" s="62">
        <f t="shared" si="2"/>
        <v>19</v>
      </c>
      <c r="F11" s="128">
        <v>14</v>
      </c>
      <c r="G11" s="129">
        <v>54.113506090794871</v>
      </c>
      <c r="H11" s="129">
        <v>29.340660642739497</v>
      </c>
      <c r="I11" s="129">
        <v>91.125730788371001</v>
      </c>
      <c r="J11" s="129"/>
      <c r="K11" s="129"/>
      <c r="L11" s="129"/>
      <c r="M11" s="60">
        <f t="shared" si="0"/>
        <v>5</v>
      </c>
      <c r="N11" s="61">
        <f t="shared" si="3"/>
        <v>12.845815183753546</v>
      </c>
      <c r="O11" s="61">
        <f t="shared" si="4"/>
        <v>29.608827647058352</v>
      </c>
      <c r="P11" s="129">
        <f t="shared" si="5"/>
        <v>41.764257200581525</v>
      </c>
      <c r="Q11" s="129">
        <f t="shared" si="6"/>
        <v>36.387681105300459</v>
      </c>
      <c r="R11" s="129">
        <f t="shared" si="7"/>
        <v>47.708157626414106</v>
      </c>
      <c r="S11" s="61">
        <f t="shared" si="8"/>
        <v>52.609249600155138</v>
      </c>
      <c r="T11" s="61">
        <f t="shared" si="1"/>
        <v>98.805534872264218</v>
      </c>
      <c r="U11" s="61">
        <f t="shared" si="17"/>
        <v>43.396566170613561</v>
      </c>
      <c r="V11" s="61"/>
      <c r="Y11" s="159" t="s">
        <v>47</v>
      </c>
      <c r="Z11" s="159" t="s">
        <v>69</v>
      </c>
      <c r="AA11" s="159" t="s">
        <v>163</v>
      </c>
      <c r="AB11" s="159">
        <f t="shared" si="9"/>
        <v>6</v>
      </c>
      <c r="AC11" s="164">
        <f t="shared" si="18"/>
        <v>28.847184584551286</v>
      </c>
      <c r="AD11" s="164">
        <f t="shared" si="10"/>
        <v>63.817330855225258</v>
      </c>
      <c r="AE11" s="159"/>
      <c r="AF11" s="159">
        <f t="shared" si="11"/>
        <v>15</v>
      </c>
      <c r="AG11" s="160" t="str">
        <f t="shared" si="12"/>
        <v>N/A</v>
      </c>
      <c r="AH11" s="161">
        <f t="shared" si="13"/>
        <v>45.259518076651517</v>
      </c>
      <c r="AI11" s="161">
        <f t="shared" si="14"/>
        <v>14.585764213726252</v>
      </c>
      <c r="AJ11" s="161">
        <f t="shared" si="15"/>
        <v>105.6190970128591</v>
      </c>
      <c r="AK11" s="160">
        <f t="shared" si="16"/>
        <v>5</v>
      </c>
    </row>
    <row r="12" spans="1:37" x14ac:dyDescent="0.2">
      <c r="A12" s="62" t="s">
        <v>35</v>
      </c>
      <c r="B12" s="62" t="s">
        <v>60</v>
      </c>
      <c r="C12" s="62" t="s">
        <v>163</v>
      </c>
      <c r="D12" s="62"/>
      <c r="E12" s="62">
        <f t="shared" si="2"/>
        <v>11</v>
      </c>
      <c r="F12" s="128">
        <v>14</v>
      </c>
      <c r="G12" s="129">
        <v>40.383940096481318</v>
      </c>
      <c r="H12" s="129">
        <v>21.986262767595459</v>
      </c>
      <c r="I12" s="129">
        <v>67.871253519480874</v>
      </c>
      <c r="J12" s="129"/>
      <c r="K12" s="129"/>
      <c r="L12" s="129"/>
      <c r="M12" s="60">
        <f t="shared" si="0"/>
        <v>5</v>
      </c>
      <c r="N12" s="61">
        <f t="shared" si="3"/>
        <v>12.845815183753546</v>
      </c>
      <c r="O12" s="61">
        <f t="shared" si="4"/>
        <v>29.608827647058352</v>
      </c>
      <c r="P12" s="129">
        <f t="shared" si="5"/>
        <v>41.764257200581525</v>
      </c>
      <c r="Q12" s="129">
        <f t="shared" si="6"/>
        <v>36.387681105300459</v>
      </c>
      <c r="R12" s="129">
        <f t="shared" si="7"/>
        <v>47.708157626414106</v>
      </c>
      <c r="S12" s="61">
        <f t="shared" si="8"/>
        <v>52.609249600155138</v>
      </c>
      <c r="T12" s="61">
        <f t="shared" si="1"/>
        <v>98.805534872264218</v>
      </c>
      <c r="U12" s="61">
        <f t="shared" si="17"/>
        <v>39.332440431653325</v>
      </c>
      <c r="V12" s="61"/>
      <c r="Y12" s="159" t="s">
        <v>50</v>
      </c>
      <c r="Z12" s="159" t="s">
        <v>161</v>
      </c>
      <c r="AA12" s="159" t="s">
        <v>163</v>
      </c>
      <c r="AB12" s="159">
        <f t="shared" si="9"/>
        <v>8</v>
      </c>
      <c r="AC12" s="164">
        <f t="shared" si="18"/>
        <v>28.847184584551286</v>
      </c>
      <c r="AD12" s="164">
        <f t="shared" si="10"/>
        <v>63.817330855225258</v>
      </c>
      <c r="AE12" s="159"/>
      <c r="AF12" s="159">
        <f t="shared" si="11"/>
        <v>21</v>
      </c>
      <c r="AG12" s="160">
        <f t="shared" si="12"/>
        <v>8</v>
      </c>
      <c r="AH12" s="161">
        <f t="shared" si="13"/>
        <v>63.817330855225258</v>
      </c>
      <c r="AI12" s="161">
        <f t="shared" si="14"/>
        <v>27.409800800651464</v>
      </c>
      <c r="AJ12" s="161">
        <f t="shared" si="15"/>
        <v>125.86977550573262</v>
      </c>
      <c r="AK12" s="160">
        <f t="shared" si="16"/>
        <v>5</v>
      </c>
    </row>
    <row r="13" spans="1:37" x14ac:dyDescent="0.2">
      <c r="A13" s="62" t="s">
        <v>36</v>
      </c>
      <c r="B13" s="62" t="s">
        <v>61</v>
      </c>
      <c r="C13" s="62" t="s">
        <v>201</v>
      </c>
      <c r="D13" s="62"/>
      <c r="E13" s="62"/>
      <c r="F13" s="128" t="s">
        <v>79</v>
      </c>
      <c r="G13" s="129" t="s">
        <v>79</v>
      </c>
      <c r="H13" s="129" t="s">
        <v>79</v>
      </c>
      <c r="I13" s="129" t="s">
        <v>79</v>
      </c>
      <c r="J13" s="129"/>
      <c r="K13" s="129"/>
      <c r="L13" s="129"/>
      <c r="M13" s="60"/>
      <c r="N13" s="61">
        <f t="shared" si="3"/>
        <v>12.845815183753546</v>
      </c>
      <c r="O13" s="61">
        <f t="shared" si="4"/>
        <v>29.608827647058352</v>
      </c>
      <c r="P13" s="129">
        <f t="shared" si="5"/>
        <v>41.764257200581525</v>
      </c>
      <c r="Q13" s="129">
        <f t="shared" si="6"/>
        <v>36.387681105300459</v>
      </c>
      <c r="R13" s="129">
        <f t="shared" si="7"/>
        <v>47.708157626414106</v>
      </c>
      <c r="S13" s="61">
        <f t="shared" si="8"/>
        <v>52.609249600155138</v>
      </c>
      <c r="T13" s="61">
        <f t="shared" si="1"/>
        <v>98.805534872264218</v>
      </c>
      <c r="U13" s="61">
        <f t="shared" si="17"/>
        <v>42.631980303497336</v>
      </c>
      <c r="V13" s="61"/>
      <c r="Y13" s="159" t="s">
        <v>53</v>
      </c>
      <c r="Z13" s="159" t="s">
        <v>162</v>
      </c>
      <c r="AA13" s="159" t="s">
        <v>163</v>
      </c>
      <c r="AB13" s="159">
        <f>RANK(AH13,$AH$6:$AH$13,1)</f>
        <v>2</v>
      </c>
      <c r="AC13" s="164">
        <f t="shared" si="18"/>
        <v>28.847184584551286</v>
      </c>
      <c r="AD13" s="164">
        <f t="shared" si="10"/>
        <v>63.817330855225258</v>
      </c>
      <c r="AE13" s="159"/>
      <c r="AF13" s="159">
        <f t="shared" si="11"/>
        <v>6</v>
      </c>
      <c r="AG13" s="160">
        <f t="shared" si="12"/>
        <v>18</v>
      </c>
      <c r="AH13" s="161">
        <f t="shared" si="13"/>
        <v>29.608827647058352</v>
      </c>
      <c r="AI13" s="161">
        <f t="shared" si="14"/>
        <v>17.481491825309412</v>
      </c>
      <c r="AJ13" s="161">
        <f t="shared" si="15"/>
        <v>46.879199168015461</v>
      </c>
      <c r="AK13" s="160">
        <f t="shared" si="16"/>
        <v>5</v>
      </c>
    </row>
    <row r="14" spans="1:37" x14ac:dyDescent="0.2">
      <c r="A14" s="62" t="s">
        <v>37</v>
      </c>
      <c r="B14" s="62" t="s">
        <v>157</v>
      </c>
      <c r="C14" s="62" t="s">
        <v>201</v>
      </c>
      <c r="D14" s="62"/>
      <c r="E14" s="62">
        <f t="shared" si="2"/>
        <v>20</v>
      </c>
      <c r="F14" s="128">
        <v>12</v>
      </c>
      <c r="G14" s="129">
        <v>56.077590255440079</v>
      </c>
      <c r="H14" s="129">
        <v>28.018756979996507</v>
      </c>
      <c r="I14" s="129">
        <v>99.389011269069215</v>
      </c>
      <c r="J14" s="129"/>
      <c r="K14" s="129"/>
      <c r="L14" s="129"/>
      <c r="M14" s="60">
        <f t="shared" si="0"/>
        <v>5</v>
      </c>
      <c r="N14" s="61">
        <f t="shared" si="3"/>
        <v>12.845815183753546</v>
      </c>
      <c r="O14" s="61">
        <f t="shared" si="4"/>
        <v>29.608827647058352</v>
      </c>
      <c r="P14" s="129">
        <f t="shared" si="5"/>
        <v>41.764257200581525</v>
      </c>
      <c r="Q14" s="129">
        <f t="shared" si="6"/>
        <v>36.387681105300459</v>
      </c>
      <c r="R14" s="129">
        <f t="shared" si="7"/>
        <v>47.708157626414106</v>
      </c>
      <c r="S14" s="61">
        <f t="shared" si="8"/>
        <v>52.609249600155138</v>
      </c>
      <c r="T14" s="61">
        <f t="shared" si="1"/>
        <v>98.805534872264218</v>
      </c>
      <c r="U14" s="61">
        <f t="shared" si="17"/>
        <v>42.631980303497336</v>
      </c>
      <c r="V14" s="61"/>
      <c r="Y14" s="162" t="s">
        <v>29</v>
      </c>
      <c r="Z14" s="162" t="s">
        <v>55</v>
      </c>
      <c r="AA14" s="162" t="s">
        <v>201</v>
      </c>
      <c r="AB14" s="162">
        <f>RANK(AH14,$AH$14:$AH$22,1)</f>
        <v>4</v>
      </c>
      <c r="AC14" s="165">
        <f t="shared" ref="AC14:AC22" si="19">MIN($AH$14:$AH$22)</f>
        <v>12.845815183753546</v>
      </c>
      <c r="AD14" s="165">
        <f>MAX($AH$14:$AH$22)</f>
        <v>98.805534872264218</v>
      </c>
      <c r="AE14" s="162"/>
      <c r="AF14" s="162">
        <f t="shared" si="11"/>
        <v>17</v>
      </c>
      <c r="AG14" s="167">
        <f t="shared" si="12"/>
        <v>7</v>
      </c>
      <c r="AH14" s="165">
        <f t="shared" si="13"/>
        <v>49.784847948595797</v>
      </c>
      <c r="AI14" s="165">
        <f t="shared" si="14"/>
        <v>19.03388341134076</v>
      </c>
      <c r="AJ14" s="165">
        <f t="shared" si="15"/>
        <v>104.1928356606288</v>
      </c>
      <c r="AK14" s="167">
        <f t="shared" si="16"/>
        <v>5</v>
      </c>
    </row>
    <row r="15" spans="1:37" x14ac:dyDescent="0.2">
      <c r="A15" s="62" t="s">
        <v>38</v>
      </c>
      <c r="B15" s="62" t="s">
        <v>62</v>
      </c>
      <c r="C15" s="62" t="s">
        <v>201</v>
      </c>
      <c r="D15" s="62"/>
      <c r="E15" s="62">
        <f t="shared" si="2"/>
        <v>12</v>
      </c>
      <c r="F15" s="128">
        <v>7</v>
      </c>
      <c r="G15" s="129">
        <v>42.385100966891912</v>
      </c>
      <c r="H15" s="129">
        <v>16.90894603308541</v>
      </c>
      <c r="I15" s="129">
        <v>87.460315531596521</v>
      </c>
      <c r="J15" s="129"/>
      <c r="K15" s="129"/>
      <c r="L15" s="129"/>
      <c r="M15" s="60">
        <f t="shared" si="0"/>
        <v>5</v>
      </c>
      <c r="N15" s="61">
        <f t="shared" si="3"/>
        <v>12.845815183753546</v>
      </c>
      <c r="O15" s="61">
        <f t="shared" si="4"/>
        <v>29.608827647058352</v>
      </c>
      <c r="P15" s="129">
        <f t="shared" si="5"/>
        <v>41.764257200581525</v>
      </c>
      <c r="Q15" s="129">
        <f t="shared" si="6"/>
        <v>36.387681105300459</v>
      </c>
      <c r="R15" s="129">
        <f t="shared" si="7"/>
        <v>47.708157626414106</v>
      </c>
      <c r="S15" s="61">
        <f t="shared" si="8"/>
        <v>52.609249600155138</v>
      </c>
      <c r="T15" s="61">
        <f t="shared" si="1"/>
        <v>98.805534872264218</v>
      </c>
      <c r="U15" s="61">
        <f t="shared" si="17"/>
        <v>42.631980303497336</v>
      </c>
      <c r="V15" s="61"/>
      <c r="Y15" s="162" t="s">
        <v>32</v>
      </c>
      <c r="Z15" s="162" t="s">
        <v>156</v>
      </c>
      <c r="AA15" s="162" t="s">
        <v>201</v>
      </c>
      <c r="AB15" s="162">
        <f>RANK(AH15,$AH$14:$AH$22,1)</f>
        <v>3</v>
      </c>
      <c r="AC15" s="165">
        <f t="shared" si="19"/>
        <v>12.845815183753546</v>
      </c>
      <c r="AD15" s="165">
        <f t="shared" ref="AD15:AD22" si="20">MAX($AH$14:$AH$22)</f>
        <v>98.805534872264218</v>
      </c>
      <c r="AE15" s="162"/>
      <c r="AF15" s="162">
        <f t="shared" si="11"/>
        <v>14</v>
      </c>
      <c r="AG15" s="167">
        <f t="shared" si="12"/>
        <v>10</v>
      </c>
      <c r="AH15" s="165">
        <f t="shared" si="13"/>
        <v>44.320071316210012</v>
      </c>
      <c r="AI15" s="165">
        <f t="shared" si="14"/>
        <v>20.508036306290439</v>
      </c>
      <c r="AJ15" s="165">
        <f t="shared" si="15"/>
        <v>82.654035078015596</v>
      </c>
      <c r="AK15" s="167">
        <f t="shared" si="16"/>
        <v>5</v>
      </c>
    </row>
    <row r="16" spans="1:37" x14ac:dyDescent="0.2">
      <c r="A16" s="62" t="s">
        <v>39</v>
      </c>
      <c r="B16" s="62" t="s">
        <v>158</v>
      </c>
      <c r="C16" s="62" t="s">
        <v>200</v>
      </c>
      <c r="D16" s="62"/>
      <c r="E16" s="62">
        <f t="shared" si="2"/>
        <v>10</v>
      </c>
      <c r="F16" s="128">
        <v>10</v>
      </c>
      <c r="G16" s="129">
        <v>39.883819827071981</v>
      </c>
      <c r="H16" s="129">
        <v>18.914595920238099</v>
      </c>
      <c r="I16" s="129">
        <v>73.64126512827778</v>
      </c>
      <c r="J16" s="129"/>
      <c r="K16" s="129"/>
      <c r="L16" s="129"/>
      <c r="M16" s="60">
        <f t="shared" si="0"/>
        <v>5</v>
      </c>
      <c r="N16" s="61">
        <f t="shared" si="3"/>
        <v>12.845815183753546</v>
      </c>
      <c r="O16" s="61">
        <f t="shared" si="4"/>
        <v>29.608827647058352</v>
      </c>
      <c r="P16" s="129">
        <f t="shared" si="5"/>
        <v>41.764257200581525</v>
      </c>
      <c r="Q16" s="129">
        <f t="shared" si="6"/>
        <v>36.387681105300459</v>
      </c>
      <c r="R16" s="129">
        <f t="shared" si="7"/>
        <v>47.708157626414106</v>
      </c>
      <c r="S16" s="61">
        <f t="shared" si="8"/>
        <v>52.609249600155138</v>
      </c>
      <c r="T16" s="61">
        <f t="shared" si="1"/>
        <v>98.805534872264218</v>
      </c>
      <c r="U16" s="61">
        <f t="shared" si="17"/>
        <v>43.396566170613561</v>
      </c>
      <c r="V16" s="61"/>
      <c r="Y16" s="162" t="s">
        <v>36</v>
      </c>
      <c r="Z16" s="162" t="s">
        <v>61</v>
      </c>
      <c r="AA16" s="162" t="s">
        <v>201</v>
      </c>
      <c r="AB16" s="162" t="e">
        <f>RANK(AH16,$AH$14:$AH$22,1)</f>
        <v>#VALUE!</v>
      </c>
      <c r="AC16" s="165">
        <f t="shared" si="19"/>
        <v>12.845815183753546</v>
      </c>
      <c r="AD16" s="165">
        <f t="shared" si="20"/>
        <v>98.805534872264218</v>
      </c>
      <c r="AE16" s="162"/>
      <c r="AF16" s="162">
        <f t="shared" si="11"/>
        <v>0</v>
      </c>
      <c r="AG16" s="167" t="str">
        <f t="shared" si="12"/>
        <v>N/A</v>
      </c>
      <c r="AH16" s="165" t="str">
        <f t="shared" si="13"/>
        <v>N/A</v>
      </c>
      <c r="AI16" s="165" t="str">
        <f t="shared" si="14"/>
        <v>N/A</v>
      </c>
      <c r="AJ16" s="165" t="str">
        <f t="shared" si="15"/>
        <v>N/A</v>
      </c>
      <c r="AK16" s="167">
        <f t="shared" si="16"/>
        <v>0</v>
      </c>
    </row>
    <row r="17" spans="1:37" x14ac:dyDescent="0.2">
      <c r="A17" s="62" t="s">
        <v>40</v>
      </c>
      <c r="B17" s="62" t="s">
        <v>63</v>
      </c>
      <c r="C17" s="62" t="s">
        <v>200</v>
      </c>
      <c r="D17" s="62"/>
      <c r="E17" s="62">
        <f t="shared" si="2"/>
        <v>4</v>
      </c>
      <c r="F17" s="128">
        <v>6</v>
      </c>
      <c r="G17" s="129">
        <v>28.052376654861128</v>
      </c>
      <c r="H17" s="129">
        <v>9.9814763001411695</v>
      </c>
      <c r="I17" s="129">
        <v>61.545571469264239</v>
      </c>
      <c r="J17" s="129"/>
      <c r="K17" s="129"/>
      <c r="L17" s="129"/>
      <c r="M17" s="60">
        <f t="shared" si="0"/>
        <v>5</v>
      </c>
      <c r="N17" s="61">
        <f t="shared" si="3"/>
        <v>12.845815183753546</v>
      </c>
      <c r="O17" s="61">
        <f t="shared" si="4"/>
        <v>29.608827647058352</v>
      </c>
      <c r="P17" s="129">
        <f t="shared" si="5"/>
        <v>41.764257200581525</v>
      </c>
      <c r="Q17" s="129">
        <f t="shared" si="6"/>
        <v>36.387681105300459</v>
      </c>
      <c r="R17" s="129">
        <f t="shared" si="7"/>
        <v>47.708157626414106</v>
      </c>
      <c r="S17" s="61">
        <f t="shared" si="8"/>
        <v>52.609249600155138</v>
      </c>
      <c r="T17" s="61">
        <f t="shared" si="1"/>
        <v>98.805534872264218</v>
      </c>
      <c r="U17" s="61">
        <f t="shared" si="17"/>
        <v>43.396566170613561</v>
      </c>
      <c r="V17" s="61"/>
      <c r="Y17" s="162" t="s">
        <v>37</v>
      </c>
      <c r="Z17" s="162" t="s">
        <v>157</v>
      </c>
      <c r="AA17" s="162" t="s">
        <v>201</v>
      </c>
      <c r="AB17" s="162">
        <f t="shared" ref="AB17:AB22" si="21">RANK(AH17,$AH$14:$AH$22,1)</f>
        <v>6</v>
      </c>
      <c r="AC17" s="165">
        <f t="shared" si="19"/>
        <v>12.845815183753546</v>
      </c>
      <c r="AD17" s="165">
        <f>MAX($AH$14:$AH$22)</f>
        <v>98.805534872264218</v>
      </c>
      <c r="AE17" s="162"/>
      <c r="AF17" s="162">
        <f t="shared" si="11"/>
        <v>20</v>
      </c>
      <c r="AG17" s="167">
        <f t="shared" si="12"/>
        <v>12</v>
      </c>
      <c r="AH17" s="165">
        <f t="shared" si="13"/>
        <v>56.077590255440079</v>
      </c>
      <c r="AI17" s="165">
        <f t="shared" si="14"/>
        <v>28.018756979996507</v>
      </c>
      <c r="AJ17" s="165">
        <f t="shared" si="15"/>
        <v>99.389011269069215</v>
      </c>
      <c r="AK17" s="167">
        <f t="shared" si="16"/>
        <v>5</v>
      </c>
    </row>
    <row r="18" spans="1:37" x14ac:dyDescent="0.2">
      <c r="A18" s="62" t="s">
        <v>41</v>
      </c>
      <c r="B18" s="62" t="s">
        <v>64</v>
      </c>
      <c r="C18" s="62" t="s">
        <v>163</v>
      </c>
      <c r="D18" s="62"/>
      <c r="E18" s="62">
        <f t="shared" si="2"/>
        <v>16</v>
      </c>
      <c r="F18" s="128">
        <v>16</v>
      </c>
      <c r="G18" s="129">
        <v>49.188922778001981</v>
      </c>
      <c r="H18" s="129">
        <v>28.054795881359137</v>
      </c>
      <c r="I18" s="129">
        <v>79.946543665410786</v>
      </c>
      <c r="J18" s="129"/>
      <c r="K18" s="129"/>
      <c r="L18" s="129"/>
      <c r="M18" s="60">
        <f t="shared" si="0"/>
        <v>5</v>
      </c>
      <c r="N18" s="61">
        <f t="shared" si="3"/>
        <v>12.845815183753546</v>
      </c>
      <c r="O18" s="61">
        <f t="shared" si="4"/>
        <v>29.608827647058352</v>
      </c>
      <c r="P18" s="129">
        <f t="shared" si="5"/>
        <v>41.764257200581525</v>
      </c>
      <c r="Q18" s="129">
        <f t="shared" si="6"/>
        <v>36.387681105300459</v>
      </c>
      <c r="R18" s="129">
        <f t="shared" si="7"/>
        <v>47.708157626414106</v>
      </c>
      <c r="S18" s="61">
        <f t="shared" si="8"/>
        <v>52.609249600155138</v>
      </c>
      <c r="T18" s="61">
        <f t="shared" si="1"/>
        <v>98.805534872264218</v>
      </c>
      <c r="U18" s="61">
        <f t="shared" si="17"/>
        <v>39.332440431653325</v>
      </c>
      <c r="V18" s="61"/>
      <c r="Y18" s="162" t="s">
        <v>38</v>
      </c>
      <c r="Z18" s="162" t="s">
        <v>62</v>
      </c>
      <c r="AA18" s="162" t="s">
        <v>201</v>
      </c>
      <c r="AB18" s="162">
        <f t="shared" si="21"/>
        <v>2</v>
      </c>
      <c r="AC18" s="165">
        <f t="shared" si="19"/>
        <v>12.845815183753546</v>
      </c>
      <c r="AD18" s="165">
        <f t="shared" si="20"/>
        <v>98.805534872264218</v>
      </c>
      <c r="AE18" s="162"/>
      <c r="AF18" s="162">
        <f t="shared" si="11"/>
        <v>12</v>
      </c>
      <c r="AG18" s="167">
        <f t="shared" si="12"/>
        <v>7</v>
      </c>
      <c r="AH18" s="165">
        <f t="shared" si="13"/>
        <v>42.385100966891912</v>
      </c>
      <c r="AI18" s="165">
        <f t="shared" si="14"/>
        <v>16.90894603308541</v>
      </c>
      <c r="AJ18" s="165">
        <f t="shared" si="15"/>
        <v>87.460315531596521</v>
      </c>
      <c r="AK18" s="167">
        <f t="shared" si="16"/>
        <v>5</v>
      </c>
    </row>
    <row r="19" spans="1:37" x14ac:dyDescent="0.2">
      <c r="A19" s="62" t="s">
        <v>42</v>
      </c>
      <c r="B19" s="62" t="s">
        <v>65</v>
      </c>
      <c r="C19" s="62" t="s">
        <v>200</v>
      </c>
      <c r="D19" s="62"/>
      <c r="E19" s="62">
        <f t="shared" si="2"/>
        <v>23</v>
      </c>
      <c r="F19" s="128">
        <v>6</v>
      </c>
      <c r="G19" s="129">
        <v>83.232756256223894</v>
      </c>
      <c r="H19" s="129">
        <v>29.831006961696463</v>
      </c>
      <c r="I19" s="129">
        <v>182.20929629809046</v>
      </c>
      <c r="J19" s="129"/>
      <c r="K19" s="129"/>
      <c r="L19" s="129"/>
      <c r="M19" s="60">
        <f t="shared" si="0"/>
        <v>5</v>
      </c>
      <c r="N19" s="61">
        <f t="shared" si="3"/>
        <v>12.845815183753546</v>
      </c>
      <c r="O19" s="61">
        <f t="shared" si="4"/>
        <v>29.608827647058352</v>
      </c>
      <c r="P19" s="129">
        <f t="shared" si="5"/>
        <v>41.764257200581525</v>
      </c>
      <c r="Q19" s="129">
        <f t="shared" si="6"/>
        <v>36.387681105300459</v>
      </c>
      <c r="R19" s="129">
        <f t="shared" si="7"/>
        <v>47.708157626414106</v>
      </c>
      <c r="S19" s="61">
        <f t="shared" si="8"/>
        <v>52.609249600155138</v>
      </c>
      <c r="T19" s="61">
        <f t="shared" si="1"/>
        <v>98.805534872264218</v>
      </c>
      <c r="U19" s="61">
        <f t="shared" si="17"/>
        <v>43.396566170613561</v>
      </c>
      <c r="V19" s="61"/>
      <c r="Y19" s="162" t="s">
        <v>43</v>
      </c>
      <c r="Z19" s="162" t="s">
        <v>159</v>
      </c>
      <c r="AA19" s="162" t="s">
        <v>201</v>
      </c>
      <c r="AB19" s="162">
        <f t="shared" si="21"/>
        <v>5</v>
      </c>
      <c r="AC19" s="165">
        <f t="shared" si="19"/>
        <v>12.845815183753546</v>
      </c>
      <c r="AD19" s="165">
        <f t="shared" si="20"/>
        <v>98.805534872264218</v>
      </c>
      <c r="AE19" s="162"/>
      <c r="AF19" s="162">
        <f t="shared" si="11"/>
        <v>18</v>
      </c>
      <c r="AG19" s="167">
        <f t="shared" si="12"/>
        <v>11</v>
      </c>
      <c r="AH19" s="165">
        <f t="shared" si="13"/>
        <v>52.609249600155138</v>
      </c>
      <c r="AI19" s="165">
        <f t="shared" si="14"/>
        <v>25.698039881720998</v>
      </c>
      <c r="AJ19" s="165">
        <f t="shared" si="15"/>
        <v>94.970252421614916</v>
      </c>
      <c r="AK19" s="167">
        <f t="shared" si="16"/>
        <v>5</v>
      </c>
    </row>
    <row r="20" spans="1:37" x14ac:dyDescent="0.2">
      <c r="A20" s="62" t="s">
        <v>43</v>
      </c>
      <c r="B20" s="62" t="s">
        <v>159</v>
      </c>
      <c r="C20" s="62" t="s">
        <v>201</v>
      </c>
      <c r="D20" s="62"/>
      <c r="E20" s="62">
        <f t="shared" si="2"/>
        <v>18</v>
      </c>
      <c r="F20" s="128">
        <v>11</v>
      </c>
      <c r="G20" s="129">
        <v>52.609249600155138</v>
      </c>
      <c r="H20" s="129">
        <v>25.698039881720998</v>
      </c>
      <c r="I20" s="129">
        <v>94.970252421614916</v>
      </c>
      <c r="J20" s="129"/>
      <c r="K20" s="129"/>
      <c r="L20" s="129"/>
      <c r="M20" s="60">
        <f t="shared" si="0"/>
        <v>5</v>
      </c>
      <c r="N20" s="61">
        <f t="shared" si="3"/>
        <v>12.845815183753546</v>
      </c>
      <c r="O20" s="61">
        <f t="shared" si="4"/>
        <v>29.608827647058352</v>
      </c>
      <c r="P20" s="129">
        <f t="shared" si="5"/>
        <v>41.764257200581525</v>
      </c>
      <c r="Q20" s="129">
        <f t="shared" si="6"/>
        <v>36.387681105300459</v>
      </c>
      <c r="R20" s="129">
        <f t="shared" si="7"/>
        <v>47.708157626414106</v>
      </c>
      <c r="S20" s="61">
        <f t="shared" si="8"/>
        <v>52.609249600155138</v>
      </c>
      <c r="T20" s="61">
        <f t="shared" si="1"/>
        <v>98.805534872264218</v>
      </c>
      <c r="U20" s="61">
        <f t="shared" si="17"/>
        <v>42.631980303497336</v>
      </c>
      <c r="V20" s="61"/>
      <c r="Y20" s="162" t="s">
        <v>48</v>
      </c>
      <c r="Z20" s="162" t="s">
        <v>160</v>
      </c>
      <c r="AA20" s="162" t="s">
        <v>201</v>
      </c>
      <c r="AB20" s="162">
        <f t="shared" si="21"/>
        <v>1</v>
      </c>
      <c r="AC20" s="165">
        <f t="shared" si="19"/>
        <v>12.845815183753546</v>
      </c>
      <c r="AD20" s="165">
        <f t="shared" si="20"/>
        <v>98.805534872264218</v>
      </c>
      <c r="AE20" s="162"/>
      <c r="AF20" s="162">
        <f t="shared" si="11"/>
        <v>1</v>
      </c>
      <c r="AG20" s="167" t="str">
        <f t="shared" si="12"/>
        <v>N/A</v>
      </c>
      <c r="AH20" s="165">
        <f t="shared" si="13"/>
        <v>12.845815183753546</v>
      </c>
      <c r="AI20" s="165">
        <f t="shared" si="14"/>
        <v>1.4427469753067299</v>
      </c>
      <c r="AJ20" s="165">
        <f t="shared" si="15"/>
        <v>46.378974325557152</v>
      </c>
      <c r="AK20" s="167">
        <f t="shared" si="16"/>
        <v>5</v>
      </c>
    </row>
    <row r="21" spans="1:37" x14ac:dyDescent="0.2">
      <c r="A21" s="62" t="s">
        <v>44</v>
      </c>
      <c r="B21" s="62" t="s">
        <v>66</v>
      </c>
      <c r="C21" s="62" t="s">
        <v>200</v>
      </c>
      <c r="D21" s="62"/>
      <c r="E21" s="62">
        <f t="shared" si="2"/>
        <v>3</v>
      </c>
      <c r="F21" s="128" t="s">
        <v>79</v>
      </c>
      <c r="G21" s="129">
        <v>23.209336788924809</v>
      </c>
      <c r="H21" s="129">
        <v>2.5761182514348508</v>
      </c>
      <c r="I21" s="129">
        <v>83.885725650015786</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5</v>
      </c>
      <c r="N21" s="61">
        <f t="shared" si="3"/>
        <v>12.845815183753546</v>
      </c>
      <c r="O21" s="61">
        <f t="shared" si="4"/>
        <v>29.608827647058352</v>
      </c>
      <c r="P21" s="129">
        <f t="shared" si="5"/>
        <v>41.764257200581525</v>
      </c>
      <c r="Q21" s="129">
        <f t="shared" si="6"/>
        <v>36.387681105300459</v>
      </c>
      <c r="R21" s="129">
        <f t="shared" si="7"/>
        <v>47.708157626414106</v>
      </c>
      <c r="S21" s="61">
        <f t="shared" si="8"/>
        <v>52.609249600155138</v>
      </c>
      <c r="T21" s="61">
        <f t="shared" si="1"/>
        <v>98.805534872264218</v>
      </c>
      <c r="U21" s="61">
        <f t="shared" si="17"/>
        <v>43.396566170613561</v>
      </c>
      <c r="V21" s="61"/>
      <c r="Y21" s="162" t="s">
        <v>52</v>
      </c>
      <c r="Z21" s="162" t="s">
        <v>72</v>
      </c>
      <c r="AA21" s="162" t="s">
        <v>201</v>
      </c>
      <c r="AB21" s="162">
        <f t="shared" si="21"/>
        <v>7</v>
      </c>
      <c r="AC21" s="165">
        <f t="shared" si="19"/>
        <v>12.845815183753546</v>
      </c>
      <c r="AD21" s="165">
        <f t="shared" si="20"/>
        <v>98.805534872264218</v>
      </c>
      <c r="AE21" s="162"/>
      <c r="AF21" s="162">
        <f t="shared" si="11"/>
        <v>24</v>
      </c>
      <c r="AG21" s="167" t="str">
        <f t="shared" si="12"/>
        <v>N/A</v>
      </c>
      <c r="AH21" s="165">
        <f t="shared" si="13"/>
        <v>98.805534872264218</v>
      </c>
      <c r="AI21" s="165">
        <f t="shared" si="14"/>
        <v>25.38295171837883</v>
      </c>
      <c r="AJ21" s="165">
        <f t="shared" si="15"/>
        <v>255.52091045434148</v>
      </c>
      <c r="AK21" s="167">
        <f t="shared" si="16"/>
        <v>5</v>
      </c>
    </row>
    <row r="22" spans="1:37" x14ac:dyDescent="0.2">
      <c r="A22" s="62" t="s">
        <v>45</v>
      </c>
      <c r="B22" s="62" t="s">
        <v>67</v>
      </c>
      <c r="C22" s="62" t="s">
        <v>163</v>
      </c>
      <c r="D22" s="62"/>
      <c r="E22" s="62">
        <f t="shared" si="2"/>
        <v>5</v>
      </c>
      <c r="F22" s="128" t="s">
        <v>79</v>
      </c>
      <c r="G22" s="129">
        <v>28.847184584551286</v>
      </c>
      <c r="H22" s="129">
        <v>10.446970881960818</v>
      </c>
      <c r="I22" s="129">
        <v>62.950739475027163</v>
      </c>
      <c r="J22" s="129"/>
      <c r="K22" s="129"/>
      <c r="L22" s="129"/>
      <c r="M22" s="60">
        <f t="shared" si="0"/>
        <v>5</v>
      </c>
      <c r="N22" s="61">
        <f t="shared" si="3"/>
        <v>12.845815183753546</v>
      </c>
      <c r="O22" s="61">
        <f t="shared" si="4"/>
        <v>29.608827647058352</v>
      </c>
      <c r="P22" s="129">
        <f t="shared" si="5"/>
        <v>41.764257200581525</v>
      </c>
      <c r="Q22" s="129">
        <f t="shared" si="6"/>
        <v>36.387681105300459</v>
      </c>
      <c r="R22" s="129">
        <f t="shared" si="7"/>
        <v>47.708157626414106</v>
      </c>
      <c r="S22" s="61">
        <f t="shared" si="8"/>
        <v>52.609249600155138</v>
      </c>
      <c r="T22" s="61">
        <f t="shared" si="1"/>
        <v>98.805534872264218</v>
      </c>
      <c r="U22" s="61">
        <f>VLOOKUP(C22,$C$43:$I$46,5,FALSE)</f>
        <v>39.332440431653325</v>
      </c>
      <c r="V22" s="61"/>
      <c r="Y22" s="162" t="s">
        <v>54</v>
      </c>
      <c r="Z22" s="162" t="s">
        <v>73</v>
      </c>
      <c r="AA22" s="162" t="s">
        <v>201</v>
      </c>
      <c r="AB22" s="162" t="e">
        <f t="shared" si="21"/>
        <v>#VALUE!</v>
      </c>
      <c r="AC22" s="165">
        <f t="shared" si="19"/>
        <v>12.845815183753546</v>
      </c>
      <c r="AD22" s="165">
        <f t="shared" si="20"/>
        <v>98.805534872264218</v>
      </c>
      <c r="AE22" s="162"/>
      <c r="AF22" s="162">
        <f t="shared" si="11"/>
        <v>0</v>
      </c>
      <c r="AG22" s="167" t="str">
        <f t="shared" si="12"/>
        <v>N/A</v>
      </c>
      <c r="AH22" s="165" t="str">
        <f t="shared" si="13"/>
        <v>N/A</v>
      </c>
      <c r="AI22" s="165" t="str">
        <f t="shared" si="14"/>
        <v>N/A</v>
      </c>
      <c r="AJ22" s="165" t="str">
        <f t="shared" si="15"/>
        <v>N/A</v>
      </c>
      <c r="AK22" s="167">
        <f t="shared" si="16"/>
        <v>0</v>
      </c>
    </row>
    <row r="23" spans="1:37" x14ac:dyDescent="0.2">
      <c r="A23" s="62" t="s">
        <v>46</v>
      </c>
      <c r="B23" s="62" t="s">
        <v>68</v>
      </c>
      <c r="C23" s="62" t="s">
        <v>163</v>
      </c>
      <c r="D23" s="62"/>
      <c r="E23" s="62">
        <f t="shared" si="2"/>
        <v>13</v>
      </c>
      <c r="F23" s="128">
        <v>14</v>
      </c>
      <c r="G23" s="129">
        <v>44.188818038492862</v>
      </c>
      <c r="H23" s="129">
        <v>24.099139871000567</v>
      </c>
      <c r="I23" s="129">
        <v>74.204089558122959</v>
      </c>
      <c r="J23" s="129"/>
      <c r="K23" s="129"/>
      <c r="L23" s="129"/>
      <c r="M23" s="60">
        <f t="shared" si="0"/>
        <v>5</v>
      </c>
      <c r="N23" s="61">
        <f t="shared" si="3"/>
        <v>12.845815183753546</v>
      </c>
      <c r="O23" s="61">
        <f t="shared" si="4"/>
        <v>29.608827647058352</v>
      </c>
      <c r="P23" s="129">
        <f t="shared" si="5"/>
        <v>41.764257200581525</v>
      </c>
      <c r="Q23" s="129">
        <f t="shared" si="6"/>
        <v>36.387681105300459</v>
      </c>
      <c r="R23" s="129">
        <f t="shared" si="7"/>
        <v>47.708157626414106</v>
      </c>
      <c r="S23" s="61">
        <f t="shared" si="8"/>
        <v>52.609249600155138</v>
      </c>
      <c r="T23" s="61">
        <f t="shared" si="1"/>
        <v>98.805534872264218</v>
      </c>
      <c r="U23" s="61">
        <f t="shared" si="17"/>
        <v>39.332440431653325</v>
      </c>
      <c r="V23" s="61"/>
      <c r="Y23" s="163" t="s">
        <v>30</v>
      </c>
      <c r="Z23" s="163" t="s">
        <v>56</v>
      </c>
      <c r="AA23" s="163" t="s">
        <v>200</v>
      </c>
      <c r="AB23" s="163">
        <f>RANK(AH23,$AH$23:$AH$31,1)</f>
        <v>8</v>
      </c>
      <c r="AC23" s="166">
        <f>MIN($AH$23:$AH$31)</f>
        <v>22.958656712013457</v>
      </c>
      <c r="AD23" s="166">
        <f>MAX($AH$23:$AH$31)</f>
        <v>83.232756256223894</v>
      </c>
      <c r="AE23" s="163"/>
      <c r="AF23" s="163">
        <f t="shared" si="11"/>
        <v>22</v>
      </c>
      <c r="AG23" s="168">
        <f t="shared" si="12"/>
        <v>21</v>
      </c>
      <c r="AH23" s="166">
        <f t="shared" si="13"/>
        <v>70.075221875006932</v>
      </c>
      <c r="AI23" s="166">
        <f t="shared" si="14"/>
        <v>42.977016294706957</v>
      </c>
      <c r="AJ23" s="166">
        <f t="shared" si="15"/>
        <v>107.65524813743177</v>
      </c>
      <c r="AK23" s="168">
        <f t="shared" si="16"/>
        <v>5</v>
      </c>
    </row>
    <row r="24" spans="1:37" x14ac:dyDescent="0.2">
      <c r="A24" s="62" t="s">
        <v>47</v>
      </c>
      <c r="B24" s="62" t="s">
        <v>69</v>
      </c>
      <c r="C24" s="62" t="s">
        <v>163</v>
      </c>
      <c r="D24" s="62"/>
      <c r="E24" s="62">
        <f t="shared" si="2"/>
        <v>15</v>
      </c>
      <c r="F24" s="128" t="s">
        <v>79</v>
      </c>
      <c r="G24" s="129">
        <v>45.259518076651517</v>
      </c>
      <c r="H24" s="129">
        <v>14.585764213726252</v>
      </c>
      <c r="I24" s="129">
        <v>105.6190970128591</v>
      </c>
      <c r="J24" s="129"/>
      <c r="K24" s="129"/>
      <c r="L24" s="129"/>
      <c r="M24" s="60">
        <f t="shared" si="0"/>
        <v>5</v>
      </c>
      <c r="N24" s="61">
        <f t="shared" si="3"/>
        <v>12.845815183753546</v>
      </c>
      <c r="O24" s="61">
        <f t="shared" si="4"/>
        <v>29.608827647058352</v>
      </c>
      <c r="P24" s="129">
        <f t="shared" si="5"/>
        <v>41.764257200581525</v>
      </c>
      <c r="Q24" s="129">
        <f t="shared" si="6"/>
        <v>36.387681105300459</v>
      </c>
      <c r="R24" s="129">
        <f t="shared" si="7"/>
        <v>47.708157626414106</v>
      </c>
      <c r="S24" s="61">
        <f t="shared" si="8"/>
        <v>52.609249600155138</v>
      </c>
      <c r="T24" s="61">
        <f t="shared" si="1"/>
        <v>98.805534872264218</v>
      </c>
      <c r="U24" s="61">
        <f t="shared" si="17"/>
        <v>39.332440431653325</v>
      </c>
      <c r="V24" s="61"/>
      <c r="Y24" s="163" t="s">
        <v>31</v>
      </c>
      <c r="Z24" s="163" t="s">
        <v>57</v>
      </c>
      <c r="AA24" s="163" t="s">
        <v>200</v>
      </c>
      <c r="AB24" s="163">
        <f t="shared" ref="AB24:AB31" si="22">RANK(AH24,$AH$23:$AH$31,1)</f>
        <v>4</v>
      </c>
      <c r="AC24" s="166">
        <f t="shared" ref="AC24:AC31" si="23">MIN($AH$23:$AH$31)</f>
        <v>22.958656712013457</v>
      </c>
      <c r="AD24" s="166">
        <f t="shared" ref="AD24:AD31" si="24">MAX($AH$23:$AH$31)</f>
        <v>83.232756256223894</v>
      </c>
      <c r="AE24" s="163"/>
      <c r="AF24" s="163">
        <f t="shared" si="11"/>
        <v>7</v>
      </c>
      <c r="AG24" s="168">
        <f t="shared" si="12"/>
        <v>10</v>
      </c>
      <c r="AH24" s="166">
        <f t="shared" si="13"/>
        <v>30.268387331856474</v>
      </c>
      <c r="AI24" s="166">
        <f t="shared" si="14"/>
        <v>14.479215079017207</v>
      </c>
      <c r="AJ24" s="166">
        <f t="shared" si="15"/>
        <v>55.686691845397981</v>
      </c>
      <c r="AK24" s="168">
        <f t="shared" si="16"/>
        <v>5</v>
      </c>
    </row>
    <row r="25" spans="1:37" x14ac:dyDescent="0.2">
      <c r="A25" s="62" t="s">
        <v>48</v>
      </c>
      <c r="B25" s="62" t="s">
        <v>160</v>
      </c>
      <c r="C25" s="62" t="s">
        <v>201</v>
      </c>
      <c r="D25" s="62"/>
      <c r="E25" s="62">
        <f t="shared" si="2"/>
        <v>1</v>
      </c>
      <c r="F25" s="128" t="s">
        <v>79</v>
      </c>
      <c r="G25" s="129">
        <v>12.845815183753546</v>
      </c>
      <c r="H25" s="129">
        <v>1.4427469753067299</v>
      </c>
      <c r="I25" s="129">
        <v>46.378974325557152</v>
      </c>
      <c r="J25" s="129"/>
      <c r="K25" s="129"/>
      <c r="L25" s="129"/>
      <c r="M25" s="60">
        <f t="shared" si="0"/>
        <v>5</v>
      </c>
      <c r="N25" s="61">
        <f t="shared" si="3"/>
        <v>12.845815183753546</v>
      </c>
      <c r="O25" s="61">
        <f t="shared" si="4"/>
        <v>29.608827647058352</v>
      </c>
      <c r="P25" s="129">
        <f t="shared" si="5"/>
        <v>41.764257200581525</v>
      </c>
      <c r="Q25" s="129">
        <f t="shared" si="6"/>
        <v>36.387681105300459</v>
      </c>
      <c r="R25" s="129">
        <f t="shared" si="7"/>
        <v>47.708157626414106</v>
      </c>
      <c r="S25" s="61">
        <f t="shared" si="8"/>
        <v>52.609249600155138</v>
      </c>
      <c r="T25" s="61">
        <f t="shared" si="1"/>
        <v>98.805534872264218</v>
      </c>
      <c r="U25" s="61">
        <f t="shared" si="17"/>
        <v>42.631980303497336</v>
      </c>
      <c r="V25" s="61"/>
      <c r="Y25" s="163" t="s">
        <v>34</v>
      </c>
      <c r="Z25" s="163" t="s">
        <v>59</v>
      </c>
      <c r="AA25" s="163" t="s">
        <v>200</v>
      </c>
      <c r="AB25" s="163">
        <f t="shared" si="22"/>
        <v>7</v>
      </c>
      <c r="AC25" s="166">
        <f t="shared" si="23"/>
        <v>22.958656712013457</v>
      </c>
      <c r="AD25" s="166">
        <f t="shared" si="24"/>
        <v>83.232756256223894</v>
      </c>
      <c r="AE25" s="163"/>
      <c r="AF25" s="163">
        <f t="shared" si="11"/>
        <v>19</v>
      </c>
      <c r="AG25" s="168">
        <f t="shared" si="12"/>
        <v>14</v>
      </c>
      <c r="AH25" s="166">
        <f t="shared" si="13"/>
        <v>54.113506090794871</v>
      </c>
      <c r="AI25" s="166">
        <f t="shared" si="14"/>
        <v>29.340660642739497</v>
      </c>
      <c r="AJ25" s="166">
        <f t="shared" si="15"/>
        <v>91.125730788371001</v>
      </c>
      <c r="AK25" s="168">
        <f t="shared" si="16"/>
        <v>5</v>
      </c>
    </row>
    <row r="26" spans="1:37" x14ac:dyDescent="0.2">
      <c r="A26" s="62" t="s">
        <v>49</v>
      </c>
      <c r="B26" s="62" t="s">
        <v>70</v>
      </c>
      <c r="C26" s="62" t="s">
        <v>200</v>
      </c>
      <c r="D26" s="62"/>
      <c r="E26" s="62">
        <f t="shared" si="2"/>
        <v>2</v>
      </c>
      <c r="F26" s="128" t="s">
        <v>79</v>
      </c>
      <c r="G26" s="129">
        <v>22.958656712013457</v>
      </c>
      <c r="H26" s="129">
        <v>6.1725527748945455</v>
      </c>
      <c r="I26" s="129">
        <v>58.78742314960737</v>
      </c>
      <c r="J26" s="129"/>
      <c r="K26" s="129"/>
      <c r="L26" s="129"/>
      <c r="M26" s="60">
        <f t="shared" si="0"/>
        <v>5</v>
      </c>
      <c r="N26" s="61">
        <f t="shared" si="3"/>
        <v>12.845815183753546</v>
      </c>
      <c r="O26" s="61">
        <f t="shared" si="4"/>
        <v>29.608827647058352</v>
      </c>
      <c r="P26" s="129">
        <f t="shared" si="5"/>
        <v>41.764257200581525</v>
      </c>
      <c r="Q26" s="129">
        <f t="shared" si="6"/>
        <v>36.387681105300459</v>
      </c>
      <c r="R26" s="129">
        <f t="shared" si="7"/>
        <v>47.708157626414106</v>
      </c>
      <c r="S26" s="61">
        <f t="shared" si="8"/>
        <v>52.609249600155138</v>
      </c>
      <c r="T26" s="61">
        <f t="shared" si="1"/>
        <v>98.805534872264218</v>
      </c>
      <c r="U26" s="61">
        <f t="shared" si="17"/>
        <v>43.396566170613561</v>
      </c>
      <c r="V26" s="61"/>
      <c r="Y26" s="163" t="s">
        <v>39</v>
      </c>
      <c r="Z26" s="163" t="s">
        <v>158</v>
      </c>
      <c r="AA26" s="163" t="s">
        <v>200</v>
      </c>
      <c r="AB26" s="163">
        <f t="shared" si="22"/>
        <v>6</v>
      </c>
      <c r="AC26" s="166">
        <f t="shared" si="23"/>
        <v>22.958656712013457</v>
      </c>
      <c r="AD26" s="166">
        <f t="shared" si="24"/>
        <v>83.232756256223894</v>
      </c>
      <c r="AE26" s="163"/>
      <c r="AF26" s="163">
        <f t="shared" si="11"/>
        <v>10</v>
      </c>
      <c r="AG26" s="168">
        <f t="shared" si="12"/>
        <v>10</v>
      </c>
      <c r="AH26" s="166">
        <f t="shared" si="13"/>
        <v>39.883819827071981</v>
      </c>
      <c r="AI26" s="166">
        <f t="shared" si="14"/>
        <v>18.914595920238099</v>
      </c>
      <c r="AJ26" s="166">
        <f t="shared" si="15"/>
        <v>73.64126512827778</v>
      </c>
      <c r="AK26" s="168">
        <f t="shared" si="16"/>
        <v>5</v>
      </c>
    </row>
    <row r="27" spans="1:37" x14ac:dyDescent="0.2">
      <c r="A27" s="62" t="s">
        <v>50</v>
      </c>
      <c r="B27" s="62" t="s">
        <v>161</v>
      </c>
      <c r="C27" s="62" t="s">
        <v>163</v>
      </c>
      <c r="D27" s="62"/>
      <c r="E27" s="62">
        <f t="shared" si="2"/>
        <v>21</v>
      </c>
      <c r="F27" s="128">
        <v>8</v>
      </c>
      <c r="G27" s="129">
        <v>63.817330855225258</v>
      </c>
      <c r="H27" s="129">
        <v>27.409800800651464</v>
      </c>
      <c r="I27" s="129">
        <v>125.86977550573262</v>
      </c>
      <c r="J27" s="129"/>
      <c r="K27" s="129"/>
      <c r="L27" s="129"/>
      <c r="M27" s="60">
        <f t="shared" si="0"/>
        <v>5</v>
      </c>
      <c r="N27" s="61">
        <f t="shared" si="3"/>
        <v>12.845815183753546</v>
      </c>
      <c r="O27" s="61">
        <f t="shared" si="4"/>
        <v>29.608827647058352</v>
      </c>
      <c r="P27" s="129">
        <f t="shared" si="5"/>
        <v>41.764257200581525</v>
      </c>
      <c r="Q27" s="129">
        <f t="shared" si="6"/>
        <v>36.387681105300459</v>
      </c>
      <c r="R27" s="129">
        <f t="shared" si="7"/>
        <v>47.708157626414106</v>
      </c>
      <c r="S27" s="61">
        <f t="shared" si="8"/>
        <v>52.609249600155138</v>
      </c>
      <c r="T27" s="61">
        <f t="shared" si="1"/>
        <v>98.805534872264218</v>
      </c>
      <c r="U27" s="61">
        <f t="shared" si="17"/>
        <v>39.332440431653325</v>
      </c>
      <c r="V27" s="61"/>
      <c r="Y27" s="163" t="s">
        <v>40</v>
      </c>
      <c r="Z27" s="163" t="s">
        <v>63</v>
      </c>
      <c r="AA27" s="163" t="s">
        <v>200</v>
      </c>
      <c r="AB27" s="163">
        <f t="shared" si="22"/>
        <v>3</v>
      </c>
      <c r="AC27" s="166">
        <f t="shared" si="23"/>
        <v>22.958656712013457</v>
      </c>
      <c r="AD27" s="166">
        <f t="shared" si="24"/>
        <v>83.232756256223894</v>
      </c>
      <c r="AE27" s="163"/>
      <c r="AF27" s="163">
        <f t="shared" si="11"/>
        <v>4</v>
      </c>
      <c r="AG27" s="168">
        <f t="shared" si="12"/>
        <v>6</v>
      </c>
      <c r="AH27" s="166">
        <f t="shared" si="13"/>
        <v>28.052376654861128</v>
      </c>
      <c r="AI27" s="166">
        <f t="shared" si="14"/>
        <v>9.9814763001411695</v>
      </c>
      <c r="AJ27" s="166">
        <f t="shared" si="15"/>
        <v>61.545571469264239</v>
      </c>
      <c r="AK27" s="168">
        <f t="shared" si="16"/>
        <v>5</v>
      </c>
    </row>
    <row r="28" spans="1:37" x14ac:dyDescent="0.2">
      <c r="A28" s="62" t="s">
        <v>51</v>
      </c>
      <c r="B28" s="62" t="s">
        <v>71</v>
      </c>
      <c r="C28" s="62" t="s">
        <v>200</v>
      </c>
      <c r="D28" s="62"/>
      <c r="E28" s="62">
        <f t="shared" si="2"/>
        <v>8</v>
      </c>
      <c r="F28" s="128" t="s">
        <v>79</v>
      </c>
      <c r="G28" s="129">
        <v>31.283662356536848</v>
      </c>
      <c r="H28" s="129">
        <v>5.8384757550579103</v>
      </c>
      <c r="I28" s="129">
        <v>92.48478635039649</v>
      </c>
      <c r="J28" s="129"/>
      <c r="K28" s="129"/>
      <c r="L28" s="129"/>
      <c r="M28" s="60">
        <f t="shared" si="0"/>
        <v>5</v>
      </c>
      <c r="N28" s="61">
        <f t="shared" si="3"/>
        <v>12.845815183753546</v>
      </c>
      <c r="O28" s="61">
        <f t="shared" si="4"/>
        <v>29.608827647058352</v>
      </c>
      <c r="P28" s="129">
        <f t="shared" si="5"/>
        <v>41.764257200581525</v>
      </c>
      <c r="Q28" s="129">
        <f t="shared" si="6"/>
        <v>36.387681105300459</v>
      </c>
      <c r="R28" s="129">
        <f t="shared" si="7"/>
        <v>47.708157626414106</v>
      </c>
      <c r="S28" s="61">
        <f t="shared" si="8"/>
        <v>52.609249600155138</v>
      </c>
      <c r="T28" s="61">
        <f t="shared" si="1"/>
        <v>98.805534872264218</v>
      </c>
      <c r="U28" s="61">
        <f t="shared" si="17"/>
        <v>43.396566170613561</v>
      </c>
      <c r="V28" s="61"/>
      <c r="Y28" s="163" t="s">
        <v>42</v>
      </c>
      <c r="Z28" s="163" t="s">
        <v>65</v>
      </c>
      <c r="AA28" s="163" t="s">
        <v>200</v>
      </c>
      <c r="AB28" s="163">
        <f t="shared" si="22"/>
        <v>9</v>
      </c>
      <c r="AC28" s="166">
        <f t="shared" si="23"/>
        <v>22.958656712013457</v>
      </c>
      <c r="AD28" s="166">
        <f t="shared" si="24"/>
        <v>83.232756256223894</v>
      </c>
      <c r="AE28" s="163"/>
      <c r="AF28" s="163">
        <f t="shared" si="11"/>
        <v>23</v>
      </c>
      <c r="AG28" s="168">
        <f t="shared" si="12"/>
        <v>6</v>
      </c>
      <c r="AH28" s="166">
        <f t="shared" si="13"/>
        <v>83.232756256223894</v>
      </c>
      <c r="AI28" s="166">
        <f t="shared" si="14"/>
        <v>29.831006961696463</v>
      </c>
      <c r="AJ28" s="166">
        <f t="shared" si="15"/>
        <v>182.20929629809046</v>
      </c>
      <c r="AK28" s="168">
        <f t="shared" si="16"/>
        <v>5</v>
      </c>
    </row>
    <row r="29" spans="1:37" x14ac:dyDescent="0.2">
      <c r="A29" s="62" t="s">
        <v>52</v>
      </c>
      <c r="B29" s="62" t="s">
        <v>72</v>
      </c>
      <c r="C29" s="62" t="s">
        <v>201</v>
      </c>
      <c r="D29" s="62"/>
      <c r="E29" s="62">
        <f t="shared" si="2"/>
        <v>24</v>
      </c>
      <c r="F29" s="128" t="s">
        <v>79</v>
      </c>
      <c r="G29" s="129">
        <v>98.805534872264218</v>
      </c>
      <c r="H29" s="129">
        <v>25.38295171837883</v>
      </c>
      <c r="I29" s="129">
        <v>255.52091045434148</v>
      </c>
      <c r="J29" s="129"/>
      <c r="K29" s="129"/>
      <c r="L29" s="129"/>
      <c r="M29" s="60">
        <f t="shared" si="0"/>
        <v>5</v>
      </c>
      <c r="N29" s="61">
        <f t="shared" si="3"/>
        <v>12.845815183753546</v>
      </c>
      <c r="O29" s="61">
        <f t="shared" si="4"/>
        <v>29.608827647058352</v>
      </c>
      <c r="P29" s="129">
        <f t="shared" si="5"/>
        <v>41.764257200581525</v>
      </c>
      <c r="Q29" s="129">
        <f t="shared" si="6"/>
        <v>36.387681105300459</v>
      </c>
      <c r="R29" s="129">
        <f t="shared" si="7"/>
        <v>47.708157626414106</v>
      </c>
      <c r="S29" s="61">
        <f t="shared" si="8"/>
        <v>52.609249600155138</v>
      </c>
      <c r="T29" s="61">
        <f t="shared" si="1"/>
        <v>98.805534872264218</v>
      </c>
      <c r="U29" s="61">
        <f t="shared" si="17"/>
        <v>42.631980303497336</v>
      </c>
      <c r="V29" s="61"/>
      <c r="Y29" s="163" t="s">
        <v>44</v>
      </c>
      <c r="Z29" s="163" t="s">
        <v>66</v>
      </c>
      <c r="AA29" s="163" t="s">
        <v>200</v>
      </c>
      <c r="AB29" s="163">
        <f t="shared" si="22"/>
        <v>2</v>
      </c>
      <c r="AC29" s="166">
        <f t="shared" si="23"/>
        <v>22.958656712013457</v>
      </c>
      <c r="AD29" s="166">
        <f t="shared" si="24"/>
        <v>83.232756256223894</v>
      </c>
      <c r="AE29" s="163"/>
      <c r="AF29" s="163">
        <f t="shared" si="11"/>
        <v>3</v>
      </c>
      <c r="AG29" s="168" t="str">
        <f t="shared" si="12"/>
        <v>N/A</v>
      </c>
      <c r="AH29" s="166">
        <f t="shared" si="13"/>
        <v>23.209336788924809</v>
      </c>
      <c r="AI29" s="166">
        <f t="shared" si="14"/>
        <v>2.5761182514348508</v>
      </c>
      <c r="AJ29" s="166">
        <f t="shared" si="15"/>
        <v>83.885725650015786</v>
      </c>
      <c r="AK29" s="168">
        <f t="shared" si="16"/>
        <v>5</v>
      </c>
    </row>
    <row r="30" spans="1:37" x14ac:dyDescent="0.2">
      <c r="A30" s="62" t="s">
        <v>53</v>
      </c>
      <c r="B30" s="62" t="s">
        <v>162</v>
      </c>
      <c r="C30" s="62" t="s">
        <v>163</v>
      </c>
      <c r="D30" s="62"/>
      <c r="E30" s="62">
        <f t="shared" si="2"/>
        <v>6</v>
      </c>
      <c r="F30" s="128">
        <v>18</v>
      </c>
      <c r="G30" s="129">
        <v>29.608827647058352</v>
      </c>
      <c r="H30" s="129">
        <v>17.481491825309412</v>
      </c>
      <c r="I30" s="129">
        <v>46.879199168015461</v>
      </c>
      <c r="J30" s="129"/>
      <c r="K30" s="129"/>
      <c r="L30" s="129"/>
      <c r="M30" s="60">
        <f t="shared" si="0"/>
        <v>5</v>
      </c>
      <c r="N30" s="61">
        <f t="shared" si="3"/>
        <v>12.845815183753546</v>
      </c>
      <c r="O30" s="61">
        <f t="shared" si="4"/>
        <v>29.608827647058352</v>
      </c>
      <c r="P30" s="129">
        <f>$G$32</f>
        <v>41.764257200581525</v>
      </c>
      <c r="Q30" s="129">
        <f t="shared" si="6"/>
        <v>36.387681105300459</v>
      </c>
      <c r="R30" s="129">
        <f t="shared" si="7"/>
        <v>47.708157626414106</v>
      </c>
      <c r="S30" s="61">
        <f t="shared" si="8"/>
        <v>52.609249600155138</v>
      </c>
      <c r="T30" s="61">
        <f t="shared" si="1"/>
        <v>98.805534872264218</v>
      </c>
      <c r="U30" s="61">
        <f t="shared" si="17"/>
        <v>39.332440431653325</v>
      </c>
      <c r="V30" s="61"/>
      <c r="Y30" s="163" t="s">
        <v>49</v>
      </c>
      <c r="Z30" s="163" t="s">
        <v>70</v>
      </c>
      <c r="AA30" s="163" t="s">
        <v>200</v>
      </c>
      <c r="AB30" s="163">
        <f t="shared" si="22"/>
        <v>1</v>
      </c>
      <c r="AC30" s="166">
        <f t="shared" si="23"/>
        <v>22.958656712013457</v>
      </c>
      <c r="AD30" s="166">
        <f t="shared" si="24"/>
        <v>83.232756256223894</v>
      </c>
      <c r="AE30" s="163"/>
      <c r="AF30" s="163">
        <f t="shared" si="11"/>
        <v>2</v>
      </c>
      <c r="AG30" s="168" t="str">
        <f t="shared" si="12"/>
        <v>N/A</v>
      </c>
      <c r="AH30" s="166">
        <f t="shared" si="13"/>
        <v>22.958656712013457</v>
      </c>
      <c r="AI30" s="166">
        <f t="shared" si="14"/>
        <v>6.1725527748945455</v>
      </c>
      <c r="AJ30" s="166">
        <f t="shared" si="15"/>
        <v>58.78742314960737</v>
      </c>
      <c r="AK30" s="168">
        <f t="shared" si="16"/>
        <v>5</v>
      </c>
    </row>
    <row r="31" spans="1:37" x14ac:dyDescent="0.2">
      <c r="A31" s="62" t="s">
        <v>54</v>
      </c>
      <c r="B31" s="62" t="s">
        <v>73</v>
      </c>
      <c r="C31" s="62" t="s">
        <v>201</v>
      </c>
      <c r="D31" s="62"/>
      <c r="E31" s="62"/>
      <c r="F31" s="128" t="s">
        <v>79</v>
      </c>
      <c r="G31" s="128" t="s">
        <v>79</v>
      </c>
      <c r="H31" s="128" t="s">
        <v>79</v>
      </c>
      <c r="I31" s="128" t="s">
        <v>79</v>
      </c>
      <c r="J31" s="129"/>
      <c r="K31" s="129"/>
      <c r="L31" s="129"/>
      <c r="M31" s="60"/>
      <c r="N31" s="61">
        <f t="shared" si="3"/>
        <v>12.845815183753546</v>
      </c>
      <c r="O31" s="61">
        <f t="shared" si="4"/>
        <v>29.608827647058352</v>
      </c>
      <c r="P31" s="129">
        <f t="shared" si="5"/>
        <v>41.764257200581525</v>
      </c>
      <c r="Q31" s="129">
        <f t="shared" si="6"/>
        <v>36.387681105300459</v>
      </c>
      <c r="R31" s="129">
        <f t="shared" si="7"/>
        <v>47.708157626414106</v>
      </c>
      <c r="S31" s="61">
        <f t="shared" si="8"/>
        <v>52.609249600155138</v>
      </c>
      <c r="T31" s="61">
        <f t="shared" si="1"/>
        <v>98.805534872264218</v>
      </c>
      <c r="U31" s="61">
        <f t="shared" si="17"/>
        <v>42.631980303497336</v>
      </c>
      <c r="V31" s="61"/>
      <c r="Y31" s="163" t="s">
        <v>51</v>
      </c>
      <c r="Z31" s="163" t="s">
        <v>71</v>
      </c>
      <c r="AA31" s="163" t="s">
        <v>200</v>
      </c>
      <c r="AB31" s="163">
        <f t="shared" si="22"/>
        <v>5</v>
      </c>
      <c r="AC31" s="166">
        <f t="shared" si="23"/>
        <v>22.958656712013457</v>
      </c>
      <c r="AD31" s="166">
        <f t="shared" si="24"/>
        <v>83.232756256223894</v>
      </c>
      <c r="AE31" s="163"/>
      <c r="AF31" s="163">
        <f t="shared" si="11"/>
        <v>8</v>
      </c>
      <c r="AG31" s="168" t="str">
        <f t="shared" si="12"/>
        <v>N/A</v>
      </c>
      <c r="AH31" s="166">
        <f t="shared" si="13"/>
        <v>31.283662356536848</v>
      </c>
      <c r="AI31" s="166">
        <f t="shared" si="14"/>
        <v>5.8384757550579103</v>
      </c>
      <c r="AJ31" s="166">
        <f t="shared" si="15"/>
        <v>92.48478635039649</v>
      </c>
      <c r="AK31" s="168">
        <f t="shared" si="16"/>
        <v>5</v>
      </c>
    </row>
    <row r="32" spans="1:37" x14ac:dyDescent="0.2">
      <c r="A32" s="62"/>
      <c r="B32" s="62" t="s">
        <v>171</v>
      </c>
      <c r="C32" s="62"/>
      <c r="D32" s="62"/>
      <c r="E32" s="62"/>
      <c r="F32" s="128">
        <v>219</v>
      </c>
      <c r="G32" s="129">
        <v>41.764257200581525</v>
      </c>
      <c r="H32" s="129">
        <v>36.387681105300459</v>
      </c>
      <c r="I32" s="129">
        <v>47.708157626414106</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90</v>
      </c>
      <c r="G44" s="129">
        <v>39.332440431653325</v>
      </c>
      <c r="H44" s="129">
        <v>31.609242455151506</v>
      </c>
      <c r="I44" s="129">
        <v>48.367596322194181</v>
      </c>
      <c r="J44" s="129">
        <f>VLOOKUP($C44,$AA$6:$AD$13,3,FALSE)</f>
        <v>28.847184584551286</v>
      </c>
      <c r="K44" s="129">
        <f>VLOOKUP($C44,$AA$6:$AD$13,4,FALSE)</f>
        <v>63.817330855225258</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5</v>
      </c>
      <c r="N44" s="61">
        <f>MIN($G$6:$G$31)</f>
        <v>12.845815183753546</v>
      </c>
      <c r="O44" s="61">
        <f>VLOOKUP(7,$E$5:$G$39,3,FALSE)</f>
        <v>30.268387331856474</v>
      </c>
      <c r="P44" s="129">
        <f>$G$32</f>
        <v>41.764257200581525</v>
      </c>
      <c r="Q44" s="129">
        <f>$H$32</f>
        <v>36.387681105300459</v>
      </c>
      <c r="R44" s="129">
        <f>$I$32</f>
        <v>47.708157626414106</v>
      </c>
      <c r="S44" s="61">
        <f>VLOOKUP(20,$E$5:$G$39,3,FALSE)</f>
        <v>56.077590255440079</v>
      </c>
      <c r="T44" s="61">
        <f>MAX($G$6:$G$31)</f>
        <v>98.805534872264218</v>
      </c>
    </row>
    <row r="45" spans="1:22" x14ac:dyDescent="0.2">
      <c r="C45" s="62" t="s">
        <v>201</v>
      </c>
      <c r="D45" s="62"/>
      <c r="E45" s="62"/>
      <c r="F45" s="128">
        <v>53</v>
      </c>
      <c r="G45" s="129">
        <v>42.631980303497336</v>
      </c>
      <c r="H45" s="129">
        <v>31.717249810039156</v>
      </c>
      <c r="I45" s="129">
        <v>56.028431113113264</v>
      </c>
      <c r="J45" s="129">
        <f>VLOOKUP($C45,$AA$14:$AD$22,3,FALSE)</f>
        <v>12.845815183753546</v>
      </c>
      <c r="K45" s="129">
        <f>VLOOKUP($C45,$AA$14:$AD$22,4,FALSE)</f>
        <v>98.805534872264218</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5</v>
      </c>
      <c r="N45" s="61">
        <f>MIN($G$6:$G$31)</f>
        <v>12.845815183753546</v>
      </c>
      <c r="O45" s="61">
        <f>VLOOKUP(7,$E$5:$G$39,3,FALSE)</f>
        <v>30.268387331856474</v>
      </c>
      <c r="P45" s="129">
        <f>$G$32</f>
        <v>41.764257200581525</v>
      </c>
      <c r="Q45" s="129">
        <f t="shared" ref="Q45:Q46" si="25">$H$32</f>
        <v>36.387681105300459</v>
      </c>
      <c r="R45" s="129">
        <f t="shared" ref="R45:R46" si="26">$I$32</f>
        <v>47.708157626414106</v>
      </c>
      <c r="S45" s="61">
        <f>VLOOKUP(20,$E$5:$G$39,3,FALSE)</f>
        <v>56.077590255440079</v>
      </c>
      <c r="T45" s="61">
        <f t="shared" ref="T45:T46" si="27">MAX($G$6:$G$31)</f>
        <v>98.805534872264218</v>
      </c>
    </row>
    <row r="46" spans="1:22" x14ac:dyDescent="0.2">
      <c r="C46" s="62" t="s">
        <v>200</v>
      </c>
      <c r="D46" s="62"/>
      <c r="E46" s="62"/>
      <c r="F46" s="128">
        <v>76</v>
      </c>
      <c r="G46" s="129">
        <v>43.396566170613561</v>
      </c>
      <c r="H46" s="129">
        <v>34.140518783446119</v>
      </c>
      <c r="I46" s="129">
        <v>54.377029488196278</v>
      </c>
      <c r="J46" s="129">
        <f>VLOOKUP($C46,$AA$23:$AD$31,3,FALSE)</f>
        <v>22.958656712013457</v>
      </c>
      <c r="K46" s="129">
        <f>VLOOKUP($C46,$AA$23:$AD$31,4,FALSE)</f>
        <v>83.232756256223894</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5</v>
      </c>
      <c r="N46" s="61">
        <f>MIN($G$6:$G$31)</f>
        <v>12.845815183753546</v>
      </c>
      <c r="O46" s="61">
        <f>VLOOKUP(7,$E$5:$G$39,3,FALSE)</f>
        <v>30.268387331856474</v>
      </c>
      <c r="P46" s="129">
        <f t="shared" ref="P46" si="28">$G$32</f>
        <v>41.764257200581525</v>
      </c>
      <c r="Q46" s="129">
        <f t="shared" si="25"/>
        <v>36.387681105300459</v>
      </c>
      <c r="R46" s="129">
        <f t="shared" si="26"/>
        <v>47.708157626414106</v>
      </c>
      <c r="S46" s="61">
        <f>VLOOKUP(20,$E$5:$G$39,3,FALSE)</f>
        <v>56.077590255440079</v>
      </c>
      <c r="T46" s="61">
        <f t="shared" si="27"/>
        <v>98.805534872264218</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row r="57" spans="2:20" ht="12.75" customHeight="1" x14ac:dyDescent="0.2"/>
  </sheetData>
  <mergeCells count="2">
    <mergeCell ref="C2:D2"/>
    <mergeCell ref="K2:N2"/>
  </mergeCells>
  <dataValidations count="2">
    <dataValidation type="list" allowBlank="1" showInputMessage="1" showErrorMessage="1" sqref="K2:N2" xr:uid="{00000000-0002-0000-1800-000000000000}">
      <formula1>"High = Worst,Low = Worst"</formula1>
    </dataValidation>
    <dataValidation type="list" allowBlank="1" showInputMessage="1" showErrorMessage="1" sqref="C2:D2" xr:uid="{00000000-0002-0000-1800-000001000000}">
      <formula1>"Better / Worse,Higher / Lower,Significance not measured"</formula1>
    </dataValidation>
  </dataValidations>
  <pageMargins left="0.75" right="0.75" top="1" bottom="1" header="0.5" footer="0.5"/>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1">
    <tabColor theme="6" tint="0.39997558519241921"/>
  </sheetPr>
  <dimension ref="A1:AK55"/>
  <sheetViews>
    <sheetView workbookViewId="0">
      <selection activeCell="D95" sqref="D95"/>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8" width="7.33203125" style="21" customWidth="1"/>
    <col min="9" max="9" width="6.886718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5.554687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8</v>
      </c>
      <c r="F6" s="128">
        <v>188</v>
      </c>
      <c r="G6" s="129">
        <v>1.96303644147437</v>
      </c>
      <c r="H6" s="129">
        <v>1.70384722263572</v>
      </c>
      <c r="I6" s="129">
        <v>2.2607467063347899</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5</v>
      </c>
      <c r="N6" s="61">
        <f>MIN($G$6:$G$32)</f>
        <v>0.151302280341511</v>
      </c>
      <c r="O6" s="61">
        <f>VLOOKUP(7,$E$5:$G$39,3,FALSE)</f>
        <v>1.87463386057411</v>
      </c>
      <c r="P6" s="129">
        <f>$G$32</f>
        <v>2.2549679381008301</v>
      </c>
      <c r="Q6" s="129">
        <f>$H$32</f>
        <v>2.2012684724831799</v>
      </c>
      <c r="R6" s="129">
        <f>$I$32</f>
        <v>2.3099464494131201</v>
      </c>
      <c r="S6" s="61">
        <f>VLOOKUP(20,$E$5:$G$39,3,FALSE)</f>
        <v>2.8996646171045302</v>
      </c>
      <c r="T6" s="61">
        <f t="shared" ref="T6:T31" si="1">MAX($G$6:$G$31)</f>
        <v>3.6466026587887699</v>
      </c>
      <c r="U6" s="61">
        <f>VLOOKUP(C6,$C$43:$I$46,5,FALSE)</f>
        <v>1.4177391708550013</v>
      </c>
      <c r="V6" s="61"/>
      <c r="Y6" s="159" t="s">
        <v>33</v>
      </c>
      <c r="Z6" s="159" t="s">
        <v>58</v>
      </c>
      <c r="AA6" s="159" t="s">
        <v>163</v>
      </c>
      <c r="AB6" s="159">
        <f>RANK(AH6,$AH$6:$AH$13,1)</f>
        <v>1</v>
      </c>
      <c r="AC6" s="164">
        <f>MIN($AH$6:$AH$13)</f>
        <v>2.1015625</v>
      </c>
      <c r="AD6" s="164">
        <f>MAX($AH$6:$AH$13)</f>
        <v>3.6466026587887699</v>
      </c>
      <c r="AE6" s="159"/>
      <c r="AF6" s="159">
        <f>VLOOKUP($Y6,$A$6:$I$31,5,FALSE)</f>
        <v>9</v>
      </c>
      <c r="AG6" s="160">
        <f>VLOOKUP($Y6,$A$6:$I$31,6,FALSE)</f>
        <v>269</v>
      </c>
      <c r="AH6" s="161">
        <f>VLOOKUP($Y6,$A$6:$I$31,7,FALSE)</f>
        <v>2.1015625</v>
      </c>
      <c r="AI6" s="161">
        <f>VLOOKUP($Y6,$A$6:$I$31,8,FALSE)</f>
        <v>1.8670690678444399</v>
      </c>
      <c r="AJ6" s="161">
        <f>VLOOKUP($Y6,$A$6:$I$31,9,FALSE)</f>
        <v>2.36479728697842</v>
      </c>
      <c r="AK6" s="160">
        <f>VLOOKUP($Y6,$A$6:$M$31,13,FALSE)</f>
        <v>5</v>
      </c>
    </row>
    <row r="7" spans="1:37" x14ac:dyDescent="0.2">
      <c r="A7" s="62" t="s">
        <v>30</v>
      </c>
      <c r="B7" s="62" t="s">
        <v>56</v>
      </c>
      <c r="C7" s="62" t="s">
        <v>200</v>
      </c>
      <c r="D7" s="62"/>
      <c r="E7" s="62">
        <f t="shared" ref="E7:E31" si="2">RANK(G7,$G$6:$G$31,1)</f>
        <v>24</v>
      </c>
      <c r="F7" s="128">
        <v>370</v>
      </c>
      <c r="G7" s="129">
        <v>3.2903512672298798</v>
      </c>
      <c r="H7" s="129">
        <v>2.97626898629925</v>
      </c>
      <c r="I7" s="129">
        <v>3.63633606768536</v>
      </c>
      <c r="J7" s="129"/>
      <c r="K7" s="129"/>
      <c r="L7" s="129"/>
      <c r="M7" s="60">
        <f t="shared" si="0"/>
        <v>1</v>
      </c>
      <c r="N7" s="61">
        <f t="shared" ref="N7:N31" si="3">MIN($G$6:$G$32)</f>
        <v>0.151302280341511</v>
      </c>
      <c r="O7" s="61">
        <f>VLOOKUP(7,$E$5:$G$39,3,FALSE)</f>
        <v>1.87463386057411</v>
      </c>
      <c r="P7" s="129">
        <f t="shared" ref="P7:P31" si="4">$G$32</f>
        <v>2.2549679381008301</v>
      </c>
      <c r="Q7" s="129">
        <f t="shared" ref="Q7:Q31" si="5">$H$32</f>
        <v>2.2012684724831799</v>
      </c>
      <c r="R7" s="129">
        <f t="shared" ref="R7:R31" si="6">$I$32</f>
        <v>2.3099464494131201</v>
      </c>
      <c r="S7" s="61">
        <f t="shared" ref="S7:S31" si="7">VLOOKUP(20,$E$5:$G$39,3,FALSE)</f>
        <v>2.8996646171045302</v>
      </c>
      <c r="T7" s="61">
        <f t="shared" si="1"/>
        <v>3.6466026587887699</v>
      </c>
      <c r="U7" s="61">
        <f>VLOOKUP(C7,$C$43:$I$46,5,FALSE)</f>
        <v>2.6314873472797524</v>
      </c>
      <c r="V7" s="61"/>
      <c r="Y7" s="159" t="s">
        <v>35</v>
      </c>
      <c r="Z7" s="159" t="s">
        <v>60</v>
      </c>
      <c r="AA7" s="159" t="s">
        <v>163</v>
      </c>
      <c r="AB7" s="159">
        <f t="shared" ref="AB7:AB12" si="8">RANK(AH7,$AH$6:$AH$13,1)</f>
        <v>5</v>
      </c>
      <c r="AC7" s="164">
        <f>MIN($AH$6:$AH$13)</f>
        <v>2.1015625</v>
      </c>
      <c r="AD7" s="164">
        <f t="shared" ref="AD7:AD13" si="9">MAX($AH$6:$AH$13)</f>
        <v>3.6466026587887699</v>
      </c>
      <c r="AE7" s="159"/>
      <c r="AF7" s="159">
        <f t="shared" ref="AF7:AF31" si="10">VLOOKUP($Y7,$A$6:$I$31,5,FALSE)</f>
        <v>20</v>
      </c>
      <c r="AG7" s="160">
        <f t="shared" ref="AG7:AG31" si="11">VLOOKUP($Y7,$A$6:$I$31,6,FALSE)</f>
        <v>415</v>
      </c>
      <c r="AH7" s="161">
        <f t="shared" ref="AH7:AH31" si="12">VLOOKUP($Y7,$A$6:$I$31,7,FALSE)</f>
        <v>2.8996646171045302</v>
      </c>
      <c r="AI7" s="161">
        <f t="shared" ref="AI7:AI31" si="13">VLOOKUP($Y7,$A$6:$I$31,8,FALSE)</f>
        <v>2.63714510374892</v>
      </c>
      <c r="AJ7" s="161">
        <f t="shared" ref="AJ7:AJ31" si="14">VLOOKUP($Y7,$A$6:$I$31,9,FALSE)</f>
        <v>3.1874615826217401</v>
      </c>
      <c r="AK7" s="160">
        <f t="shared" ref="AK7:AK31" si="15">VLOOKUP($Y7,$A$6:$M$31,13,FALSE)</f>
        <v>1</v>
      </c>
    </row>
    <row r="8" spans="1:37" x14ac:dyDescent="0.2">
      <c r="A8" s="62" t="s">
        <v>31</v>
      </c>
      <c r="B8" s="62" t="s">
        <v>57</v>
      </c>
      <c r="C8" s="62" t="s">
        <v>200</v>
      </c>
      <c r="D8" s="62"/>
      <c r="E8" s="62">
        <f t="shared" si="2"/>
        <v>25</v>
      </c>
      <c r="F8" s="128">
        <v>425</v>
      </c>
      <c r="G8" s="129">
        <v>3.42797225358929</v>
      </c>
      <c r="H8" s="129">
        <v>3.12185248473219</v>
      </c>
      <c r="I8" s="129">
        <v>3.7629433067299498</v>
      </c>
      <c r="J8" s="129"/>
      <c r="K8" s="129"/>
      <c r="L8" s="129"/>
      <c r="M8" s="60">
        <f t="shared" si="0"/>
        <v>1</v>
      </c>
      <c r="N8" s="61">
        <f t="shared" si="3"/>
        <v>0.151302280341511</v>
      </c>
      <c r="O8" s="61">
        <f t="shared" ref="O8:O31" si="16">VLOOKUP(7,$E$5:$G$39,3,FALSE)</f>
        <v>1.87463386057411</v>
      </c>
      <c r="P8" s="129">
        <f t="shared" si="4"/>
        <v>2.2549679381008301</v>
      </c>
      <c r="Q8" s="129">
        <f t="shared" si="5"/>
        <v>2.2012684724831799</v>
      </c>
      <c r="R8" s="129">
        <f t="shared" si="6"/>
        <v>2.3099464494131201</v>
      </c>
      <c r="S8" s="61">
        <f t="shared" si="7"/>
        <v>2.8996646171045302</v>
      </c>
      <c r="T8" s="61">
        <f t="shared" si="1"/>
        <v>3.6466026587887699</v>
      </c>
      <c r="U8" s="61">
        <f t="shared" ref="U8:U31" si="17">VLOOKUP(C8,$C$43:$I$46,5,FALSE)</f>
        <v>2.6314873472797524</v>
      </c>
      <c r="V8" s="61"/>
      <c r="Y8" s="159" t="s">
        <v>41</v>
      </c>
      <c r="Z8" s="159" t="s">
        <v>64</v>
      </c>
      <c r="AA8" s="159" t="s">
        <v>163</v>
      </c>
      <c r="AB8" s="159">
        <f t="shared" si="8"/>
        <v>8</v>
      </c>
      <c r="AC8" s="164">
        <f t="shared" ref="AC8:AC13" si="18">MIN($AH$6:$AH$13)</f>
        <v>2.1015625</v>
      </c>
      <c r="AD8" s="164">
        <f>MAX($AH$6:$AH$13)</f>
        <v>3.6466026587887699</v>
      </c>
      <c r="AE8" s="159"/>
      <c r="AF8" s="159">
        <f t="shared" si="10"/>
        <v>26</v>
      </c>
      <c r="AG8" s="160">
        <f t="shared" si="11"/>
        <v>395</v>
      </c>
      <c r="AH8" s="161">
        <f t="shared" si="12"/>
        <v>3.6466026587887699</v>
      </c>
      <c r="AI8" s="161">
        <f t="shared" si="13"/>
        <v>3.3097184137493501</v>
      </c>
      <c r="AJ8" s="161">
        <f t="shared" si="14"/>
        <v>4.0163527717466696</v>
      </c>
      <c r="AK8" s="160">
        <f t="shared" si="15"/>
        <v>1</v>
      </c>
    </row>
    <row r="9" spans="1:37" x14ac:dyDescent="0.2">
      <c r="A9" s="62" t="s">
        <v>32</v>
      </c>
      <c r="B9" s="62" t="s">
        <v>156</v>
      </c>
      <c r="C9" s="62" t="s">
        <v>201</v>
      </c>
      <c r="D9" s="62"/>
      <c r="E9" s="62">
        <f t="shared" si="2"/>
        <v>5</v>
      </c>
      <c r="F9" s="128">
        <v>277</v>
      </c>
      <c r="G9" s="129">
        <v>1.5973703938642501</v>
      </c>
      <c r="H9" s="129">
        <v>1.4212009711745901</v>
      </c>
      <c r="I9" s="129">
        <v>1.7949798174771601</v>
      </c>
      <c r="J9" s="129"/>
      <c r="K9" s="129"/>
      <c r="L9" s="129"/>
      <c r="M9" s="60">
        <f t="shared" si="0"/>
        <v>2</v>
      </c>
      <c r="N9" s="61">
        <f t="shared" si="3"/>
        <v>0.151302280341511</v>
      </c>
      <c r="O9" s="61">
        <f t="shared" si="16"/>
        <v>1.87463386057411</v>
      </c>
      <c r="P9" s="129">
        <f t="shared" si="4"/>
        <v>2.2549679381008301</v>
      </c>
      <c r="Q9" s="129">
        <f t="shared" si="5"/>
        <v>2.2012684724831799</v>
      </c>
      <c r="R9" s="129">
        <f t="shared" si="6"/>
        <v>2.3099464494131201</v>
      </c>
      <c r="S9" s="61">
        <f t="shared" si="7"/>
        <v>2.8996646171045302</v>
      </c>
      <c r="T9" s="61">
        <f t="shared" si="1"/>
        <v>3.6466026587887699</v>
      </c>
      <c r="U9" s="61">
        <f t="shared" si="17"/>
        <v>1.4177391708550013</v>
      </c>
      <c r="V9" s="61"/>
      <c r="X9" s="63"/>
      <c r="Y9" s="159" t="s">
        <v>45</v>
      </c>
      <c r="Z9" s="159" t="s">
        <v>67</v>
      </c>
      <c r="AA9" s="159" t="s">
        <v>163</v>
      </c>
      <c r="AB9" s="159">
        <f t="shared" si="8"/>
        <v>2</v>
      </c>
      <c r="AC9" s="164">
        <f t="shared" si="18"/>
        <v>2.1015625</v>
      </c>
      <c r="AD9" s="164">
        <f t="shared" si="9"/>
        <v>3.6466026587887699</v>
      </c>
      <c r="AE9" s="159"/>
      <c r="AF9" s="159">
        <f t="shared" si="10"/>
        <v>14</v>
      </c>
      <c r="AG9" s="160">
        <f t="shared" si="11"/>
        <v>220</v>
      </c>
      <c r="AH9" s="161">
        <f t="shared" si="12"/>
        <v>2.5203345171268201</v>
      </c>
      <c r="AI9" s="161">
        <f t="shared" si="13"/>
        <v>2.2118144722405999</v>
      </c>
      <c r="AJ9" s="161">
        <f t="shared" si="14"/>
        <v>2.8706258871041599</v>
      </c>
      <c r="AK9" s="160">
        <f t="shared" si="15"/>
        <v>5</v>
      </c>
    </row>
    <row r="10" spans="1:37" x14ac:dyDescent="0.2">
      <c r="A10" s="62" t="s">
        <v>33</v>
      </c>
      <c r="B10" s="62" t="s">
        <v>58</v>
      </c>
      <c r="C10" s="62" t="s">
        <v>163</v>
      </c>
      <c r="D10" s="62"/>
      <c r="E10" s="62">
        <f t="shared" si="2"/>
        <v>9</v>
      </c>
      <c r="F10" s="128">
        <v>269</v>
      </c>
      <c r="G10" s="129">
        <v>2.1015625</v>
      </c>
      <c r="H10" s="129">
        <v>1.8670690678444399</v>
      </c>
      <c r="I10" s="129">
        <v>2.36479728697842</v>
      </c>
      <c r="J10" s="129"/>
      <c r="K10" s="129"/>
      <c r="L10" s="129"/>
      <c r="M10" s="60">
        <f t="shared" si="0"/>
        <v>5</v>
      </c>
      <c r="N10" s="61">
        <f t="shared" si="3"/>
        <v>0.151302280341511</v>
      </c>
      <c r="O10" s="61">
        <f t="shared" si="16"/>
        <v>1.87463386057411</v>
      </c>
      <c r="P10" s="129">
        <f t="shared" si="4"/>
        <v>2.2549679381008301</v>
      </c>
      <c r="Q10" s="129">
        <f t="shared" si="5"/>
        <v>2.2012684724831799</v>
      </c>
      <c r="R10" s="129">
        <f t="shared" si="6"/>
        <v>2.3099464494131201</v>
      </c>
      <c r="S10" s="61">
        <f t="shared" si="7"/>
        <v>2.8996646171045302</v>
      </c>
      <c r="T10" s="61">
        <f t="shared" si="1"/>
        <v>3.6466026587887699</v>
      </c>
      <c r="U10" s="61">
        <f t="shared" si="17"/>
        <v>2.8097679244701506</v>
      </c>
      <c r="V10" s="61"/>
      <c r="Y10" s="159" t="s">
        <v>46</v>
      </c>
      <c r="Z10" s="159" t="s">
        <v>68</v>
      </c>
      <c r="AA10" s="159" t="s">
        <v>163</v>
      </c>
      <c r="AB10" s="159">
        <f t="shared" si="8"/>
        <v>7</v>
      </c>
      <c r="AC10" s="164">
        <f t="shared" si="18"/>
        <v>2.1015625</v>
      </c>
      <c r="AD10" s="164">
        <f t="shared" si="9"/>
        <v>3.6466026587887699</v>
      </c>
      <c r="AE10" s="159"/>
      <c r="AF10" s="159">
        <f t="shared" si="10"/>
        <v>23</v>
      </c>
      <c r="AG10" s="160">
        <f t="shared" si="11"/>
        <v>337</v>
      </c>
      <c r="AH10" s="161">
        <f t="shared" si="12"/>
        <v>3.0841035965955901</v>
      </c>
      <c r="AI10" s="161">
        <f t="shared" si="13"/>
        <v>2.7760691080517401</v>
      </c>
      <c r="AJ10" s="161">
        <f t="shared" si="14"/>
        <v>3.4251136771372899</v>
      </c>
      <c r="AK10" s="160">
        <f t="shared" si="15"/>
        <v>1</v>
      </c>
    </row>
    <row r="11" spans="1:37" x14ac:dyDescent="0.2">
      <c r="A11" s="62" t="s">
        <v>34</v>
      </c>
      <c r="B11" s="62" t="s">
        <v>59</v>
      </c>
      <c r="C11" s="62" t="s">
        <v>200</v>
      </c>
      <c r="D11" s="62"/>
      <c r="E11" s="62">
        <f t="shared" si="2"/>
        <v>15</v>
      </c>
      <c r="F11" s="128">
        <v>402</v>
      </c>
      <c r="G11" s="129">
        <v>2.6054831810227501</v>
      </c>
      <c r="H11" s="129">
        <v>2.3656781512312199</v>
      </c>
      <c r="I11" s="129">
        <v>2.86888258067451</v>
      </c>
      <c r="J11" s="129"/>
      <c r="K11" s="129"/>
      <c r="L11" s="129"/>
      <c r="M11" s="60">
        <f t="shared" si="0"/>
        <v>1</v>
      </c>
      <c r="N11" s="61">
        <f t="shared" si="3"/>
        <v>0.151302280341511</v>
      </c>
      <c r="O11" s="61">
        <f t="shared" si="16"/>
        <v>1.87463386057411</v>
      </c>
      <c r="P11" s="129">
        <f t="shared" si="4"/>
        <v>2.2549679381008301</v>
      </c>
      <c r="Q11" s="129">
        <f t="shared" si="5"/>
        <v>2.2012684724831799</v>
      </c>
      <c r="R11" s="129">
        <f t="shared" si="6"/>
        <v>2.3099464494131201</v>
      </c>
      <c r="S11" s="61">
        <f t="shared" si="7"/>
        <v>2.8996646171045302</v>
      </c>
      <c r="T11" s="61">
        <f t="shared" si="1"/>
        <v>3.6466026587887699</v>
      </c>
      <c r="U11" s="61">
        <f t="shared" si="17"/>
        <v>2.6314873472797524</v>
      </c>
      <c r="V11" s="61"/>
      <c r="Y11" s="159" t="s">
        <v>47</v>
      </c>
      <c r="Z11" s="159" t="s">
        <v>69</v>
      </c>
      <c r="AA11" s="159" t="s">
        <v>163</v>
      </c>
      <c r="AB11" s="159">
        <f t="shared" si="8"/>
        <v>3</v>
      </c>
      <c r="AC11" s="164">
        <f t="shared" si="18"/>
        <v>2.1015625</v>
      </c>
      <c r="AD11" s="164">
        <f t="shared" si="9"/>
        <v>3.6466026587887699</v>
      </c>
      <c r="AE11" s="159"/>
      <c r="AF11" s="159">
        <f t="shared" si="10"/>
        <v>16</v>
      </c>
      <c r="AG11" s="160">
        <f t="shared" si="11"/>
        <v>145</v>
      </c>
      <c r="AH11" s="161">
        <f t="shared" si="12"/>
        <v>2.6330125295079001</v>
      </c>
      <c r="AI11" s="161">
        <f t="shared" si="13"/>
        <v>2.2420051132677798</v>
      </c>
      <c r="AJ11" s="161">
        <f t="shared" si="14"/>
        <v>3.0900564424202202</v>
      </c>
      <c r="AK11" s="160">
        <f t="shared" si="15"/>
        <v>5</v>
      </c>
    </row>
    <row r="12" spans="1:37" x14ac:dyDescent="0.2">
      <c r="A12" s="62" t="s">
        <v>35</v>
      </c>
      <c r="B12" s="62" t="s">
        <v>60</v>
      </c>
      <c r="C12" s="62" t="s">
        <v>163</v>
      </c>
      <c r="D12" s="62"/>
      <c r="E12" s="62">
        <f t="shared" si="2"/>
        <v>20</v>
      </c>
      <c r="F12" s="128">
        <v>415</v>
      </c>
      <c r="G12" s="129">
        <v>2.8996646171045302</v>
      </c>
      <c r="H12" s="129">
        <v>2.63714510374892</v>
      </c>
      <c r="I12" s="129">
        <v>3.1874615826217401</v>
      </c>
      <c r="J12" s="129"/>
      <c r="K12" s="129"/>
      <c r="L12" s="129"/>
      <c r="M12" s="60">
        <f t="shared" si="0"/>
        <v>1</v>
      </c>
      <c r="N12" s="61">
        <f t="shared" si="3"/>
        <v>0.151302280341511</v>
      </c>
      <c r="O12" s="61">
        <f t="shared" si="16"/>
        <v>1.87463386057411</v>
      </c>
      <c r="P12" s="129">
        <f t="shared" si="4"/>
        <v>2.2549679381008301</v>
      </c>
      <c r="Q12" s="129">
        <f t="shared" si="5"/>
        <v>2.2012684724831799</v>
      </c>
      <c r="R12" s="129">
        <f t="shared" si="6"/>
        <v>2.3099464494131201</v>
      </c>
      <c r="S12" s="61">
        <f t="shared" si="7"/>
        <v>2.8996646171045302</v>
      </c>
      <c r="T12" s="61">
        <f t="shared" si="1"/>
        <v>3.6466026587887699</v>
      </c>
      <c r="U12" s="61">
        <f t="shared" si="17"/>
        <v>2.8097679244701506</v>
      </c>
      <c r="V12" s="61"/>
      <c r="Y12" s="159" t="s">
        <v>50</v>
      </c>
      <c r="Z12" s="159" t="s">
        <v>161</v>
      </c>
      <c r="AA12" s="159" t="s">
        <v>163</v>
      </c>
      <c r="AB12" s="159">
        <f t="shared" si="8"/>
        <v>6</v>
      </c>
      <c r="AC12" s="164">
        <f t="shared" si="18"/>
        <v>2.1015625</v>
      </c>
      <c r="AD12" s="164">
        <f t="shared" si="9"/>
        <v>3.6466026587887699</v>
      </c>
      <c r="AE12" s="159"/>
      <c r="AF12" s="159">
        <f t="shared" si="10"/>
        <v>21</v>
      </c>
      <c r="AG12" s="160">
        <f t="shared" si="11"/>
        <v>166</v>
      </c>
      <c r="AH12" s="161">
        <f t="shared" si="12"/>
        <v>2.9463968761093402</v>
      </c>
      <c r="AI12" s="161">
        <f t="shared" si="13"/>
        <v>2.53588404222609</v>
      </c>
      <c r="AJ12" s="161">
        <f t="shared" si="14"/>
        <v>3.4210315836160099</v>
      </c>
      <c r="AK12" s="160">
        <f t="shared" si="15"/>
        <v>1</v>
      </c>
    </row>
    <row r="13" spans="1:37" x14ac:dyDescent="0.2">
      <c r="A13" s="62" t="s">
        <v>36</v>
      </c>
      <c r="B13" s="62" t="s">
        <v>61</v>
      </c>
      <c r="C13" s="62" t="s">
        <v>201</v>
      </c>
      <c r="D13" s="62"/>
      <c r="E13" s="62">
        <f t="shared" si="2"/>
        <v>1</v>
      </c>
      <c r="F13" s="128">
        <v>28</v>
      </c>
      <c r="G13" s="129">
        <v>0.151302280341511</v>
      </c>
      <c r="H13" s="129">
        <v>0.104706099914916</v>
      </c>
      <c r="I13" s="129">
        <v>0.21858926138693499</v>
      </c>
      <c r="J13" s="129"/>
      <c r="K13" s="129"/>
      <c r="L13" s="129"/>
      <c r="M13" s="60">
        <f t="shared" si="0"/>
        <v>2</v>
      </c>
      <c r="N13" s="61">
        <f t="shared" si="3"/>
        <v>0.151302280341511</v>
      </c>
      <c r="O13" s="61">
        <f t="shared" si="16"/>
        <v>1.87463386057411</v>
      </c>
      <c r="P13" s="129">
        <f t="shared" si="4"/>
        <v>2.2549679381008301</v>
      </c>
      <c r="Q13" s="129">
        <f t="shared" si="5"/>
        <v>2.2012684724831799</v>
      </c>
      <c r="R13" s="129">
        <f t="shared" si="6"/>
        <v>2.3099464494131201</v>
      </c>
      <c r="S13" s="61">
        <f t="shared" si="7"/>
        <v>2.8996646171045302</v>
      </c>
      <c r="T13" s="61">
        <f t="shared" si="1"/>
        <v>3.6466026587887699</v>
      </c>
      <c r="U13" s="61">
        <f t="shared" si="17"/>
        <v>1.4177391708550013</v>
      </c>
      <c r="V13" s="61"/>
      <c r="Y13" s="159" t="s">
        <v>53</v>
      </c>
      <c r="Z13" s="159" t="s">
        <v>162</v>
      </c>
      <c r="AA13" s="159" t="s">
        <v>163</v>
      </c>
      <c r="AB13" s="159">
        <f>RANK(AH13,$AH$6:$AH$13,1)</f>
        <v>4</v>
      </c>
      <c r="AC13" s="164">
        <f t="shared" si="18"/>
        <v>2.1015625</v>
      </c>
      <c r="AD13" s="164">
        <f t="shared" si="9"/>
        <v>3.6466026587887699</v>
      </c>
      <c r="AE13" s="159"/>
      <c r="AF13" s="159">
        <f t="shared" si="10"/>
        <v>19</v>
      </c>
      <c r="AG13" s="160">
        <f t="shared" si="11"/>
        <v>788</v>
      </c>
      <c r="AH13" s="161">
        <f t="shared" si="12"/>
        <v>2.7554374431778399</v>
      </c>
      <c r="AI13" s="161">
        <f t="shared" si="13"/>
        <v>2.5719715672029699</v>
      </c>
      <c r="AJ13" s="161">
        <f t="shared" si="14"/>
        <v>2.9515939734817498</v>
      </c>
      <c r="AK13" s="160">
        <f t="shared" si="15"/>
        <v>1</v>
      </c>
    </row>
    <row r="14" spans="1:37" x14ac:dyDescent="0.2">
      <c r="A14" s="62" t="s">
        <v>37</v>
      </c>
      <c r="B14" s="62" t="s">
        <v>157</v>
      </c>
      <c r="C14" s="62" t="s">
        <v>201</v>
      </c>
      <c r="D14" s="62"/>
      <c r="E14" s="62">
        <f t="shared" si="2"/>
        <v>3</v>
      </c>
      <c r="F14" s="128">
        <v>268</v>
      </c>
      <c r="G14" s="129">
        <v>1.1144377910845</v>
      </c>
      <c r="H14" s="129">
        <v>0.98934739213691103</v>
      </c>
      <c r="I14" s="129">
        <v>1.25514378224971</v>
      </c>
      <c r="J14" s="129"/>
      <c r="K14" s="129"/>
      <c r="L14" s="129"/>
      <c r="M14" s="60">
        <f t="shared" si="0"/>
        <v>2</v>
      </c>
      <c r="N14" s="61">
        <f t="shared" si="3"/>
        <v>0.151302280341511</v>
      </c>
      <c r="O14" s="61">
        <f t="shared" si="16"/>
        <v>1.87463386057411</v>
      </c>
      <c r="P14" s="129">
        <f t="shared" si="4"/>
        <v>2.2549679381008301</v>
      </c>
      <c r="Q14" s="129">
        <f t="shared" si="5"/>
        <v>2.2012684724831799</v>
      </c>
      <c r="R14" s="129">
        <f t="shared" si="6"/>
        <v>2.3099464494131201</v>
      </c>
      <c r="S14" s="61">
        <f t="shared" si="7"/>
        <v>2.8996646171045302</v>
      </c>
      <c r="T14" s="61">
        <f t="shared" si="1"/>
        <v>3.6466026587887699</v>
      </c>
      <c r="U14" s="61">
        <f t="shared" si="17"/>
        <v>1.4177391708550013</v>
      </c>
      <c r="V14" s="61"/>
      <c r="Y14" s="162" t="s">
        <v>29</v>
      </c>
      <c r="Z14" s="162" t="s">
        <v>55</v>
      </c>
      <c r="AA14" s="162" t="s">
        <v>201</v>
      </c>
      <c r="AB14" s="162">
        <f>RANK(AH14,$AH$14:$AH$22,1)</f>
        <v>6</v>
      </c>
      <c r="AC14" s="165">
        <f t="shared" ref="AC14:AC22" si="19">MIN($AH$14:$AH$22)</f>
        <v>0.151302280341511</v>
      </c>
      <c r="AD14" s="165">
        <f>MAX($AH$14:$AH$22)</f>
        <v>3.06593868122637</v>
      </c>
      <c r="AE14" s="162"/>
      <c r="AF14" s="162">
        <f t="shared" si="10"/>
        <v>8</v>
      </c>
      <c r="AG14" s="167">
        <f t="shared" si="11"/>
        <v>188</v>
      </c>
      <c r="AH14" s="165">
        <f t="shared" si="12"/>
        <v>1.96303644147437</v>
      </c>
      <c r="AI14" s="165">
        <f t="shared" si="13"/>
        <v>1.70384722263572</v>
      </c>
      <c r="AJ14" s="165">
        <f t="shared" si="14"/>
        <v>2.2607467063347899</v>
      </c>
      <c r="AK14" s="167">
        <f t="shared" si="15"/>
        <v>5</v>
      </c>
    </row>
    <row r="15" spans="1:37" x14ac:dyDescent="0.2">
      <c r="A15" s="62" t="s">
        <v>38</v>
      </c>
      <c r="B15" s="62" t="s">
        <v>62</v>
      </c>
      <c r="C15" s="62" t="s">
        <v>201</v>
      </c>
      <c r="D15" s="62"/>
      <c r="E15" s="62">
        <f t="shared" si="2"/>
        <v>22</v>
      </c>
      <c r="F15" s="128">
        <v>219</v>
      </c>
      <c r="G15" s="129">
        <v>3.06593868122637</v>
      </c>
      <c r="H15" s="129">
        <v>2.6906919256767998</v>
      </c>
      <c r="I15" s="129">
        <v>3.4916399669017002</v>
      </c>
      <c r="J15" s="129"/>
      <c r="K15" s="129"/>
      <c r="L15" s="129"/>
      <c r="M15" s="60">
        <f t="shared" si="0"/>
        <v>1</v>
      </c>
      <c r="N15" s="61">
        <f t="shared" si="3"/>
        <v>0.151302280341511</v>
      </c>
      <c r="O15" s="61">
        <f t="shared" si="16"/>
        <v>1.87463386057411</v>
      </c>
      <c r="P15" s="129">
        <f t="shared" si="4"/>
        <v>2.2549679381008301</v>
      </c>
      <c r="Q15" s="129">
        <f t="shared" si="5"/>
        <v>2.2012684724831799</v>
      </c>
      <c r="R15" s="129">
        <f t="shared" si="6"/>
        <v>2.3099464494131201</v>
      </c>
      <c r="S15" s="61">
        <f t="shared" si="7"/>
        <v>2.8996646171045302</v>
      </c>
      <c r="T15" s="61">
        <f t="shared" si="1"/>
        <v>3.6466026587887699</v>
      </c>
      <c r="U15" s="61">
        <f t="shared" si="17"/>
        <v>1.4177391708550013</v>
      </c>
      <c r="V15" s="61"/>
      <c r="Y15" s="162" t="s">
        <v>32</v>
      </c>
      <c r="Z15" s="162" t="s">
        <v>156</v>
      </c>
      <c r="AA15" s="162" t="s">
        <v>201</v>
      </c>
      <c r="AB15" s="162">
        <f>RANK(AH15,$AH$14:$AH$22,1)</f>
        <v>5</v>
      </c>
      <c r="AC15" s="165">
        <f t="shared" si="19"/>
        <v>0.151302280341511</v>
      </c>
      <c r="AD15" s="165">
        <f t="shared" ref="AD15:AD22" si="20">MAX($AH$14:$AH$22)</f>
        <v>3.06593868122637</v>
      </c>
      <c r="AE15" s="162"/>
      <c r="AF15" s="162">
        <f t="shared" si="10"/>
        <v>5</v>
      </c>
      <c r="AG15" s="167">
        <f t="shared" si="11"/>
        <v>277</v>
      </c>
      <c r="AH15" s="165">
        <f t="shared" si="12"/>
        <v>1.5973703938642501</v>
      </c>
      <c r="AI15" s="165">
        <f t="shared" si="13"/>
        <v>1.4212009711745901</v>
      </c>
      <c r="AJ15" s="165">
        <f t="shared" si="14"/>
        <v>1.7949798174771601</v>
      </c>
      <c r="AK15" s="167">
        <f t="shared" si="15"/>
        <v>2</v>
      </c>
    </row>
    <row r="16" spans="1:37" x14ac:dyDescent="0.2">
      <c r="A16" s="62" t="s">
        <v>39</v>
      </c>
      <c r="B16" s="62" t="s">
        <v>158</v>
      </c>
      <c r="C16" s="62" t="s">
        <v>200</v>
      </c>
      <c r="D16" s="62"/>
      <c r="E16" s="62">
        <f t="shared" si="2"/>
        <v>13</v>
      </c>
      <c r="F16" s="128">
        <v>369</v>
      </c>
      <c r="G16" s="129">
        <v>2.45492648526379</v>
      </c>
      <c r="H16" s="129">
        <v>2.2194213740403299</v>
      </c>
      <c r="I16" s="129">
        <v>2.7147274884704098</v>
      </c>
      <c r="J16" s="129"/>
      <c r="K16" s="129"/>
      <c r="L16" s="129"/>
      <c r="M16" s="60">
        <f t="shared" si="0"/>
        <v>5</v>
      </c>
      <c r="N16" s="61">
        <f t="shared" si="3"/>
        <v>0.151302280341511</v>
      </c>
      <c r="O16" s="61">
        <f t="shared" si="16"/>
        <v>1.87463386057411</v>
      </c>
      <c r="P16" s="129">
        <f t="shared" si="4"/>
        <v>2.2549679381008301</v>
      </c>
      <c r="Q16" s="129">
        <f t="shared" si="5"/>
        <v>2.2012684724831799</v>
      </c>
      <c r="R16" s="129">
        <f t="shared" si="6"/>
        <v>2.3099464494131201</v>
      </c>
      <c r="S16" s="61">
        <f t="shared" si="7"/>
        <v>2.8996646171045302</v>
      </c>
      <c r="T16" s="61">
        <f t="shared" si="1"/>
        <v>3.6466026587887699</v>
      </c>
      <c r="U16" s="61">
        <f t="shared" si="17"/>
        <v>2.6314873472797524</v>
      </c>
      <c r="V16" s="61"/>
      <c r="Y16" s="162" t="s">
        <v>36</v>
      </c>
      <c r="Z16" s="162" t="s">
        <v>61</v>
      </c>
      <c r="AA16" s="162" t="s">
        <v>201</v>
      </c>
      <c r="AB16" s="162">
        <f>RANK(AH16,$AH$14:$AH$22,1)</f>
        <v>1</v>
      </c>
      <c r="AC16" s="165">
        <f t="shared" si="19"/>
        <v>0.151302280341511</v>
      </c>
      <c r="AD16" s="165">
        <f t="shared" si="20"/>
        <v>3.06593868122637</v>
      </c>
      <c r="AE16" s="162"/>
      <c r="AF16" s="162">
        <f t="shared" si="10"/>
        <v>1</v>
      </c>
      <c r="AG16" s="167">
        <f t="shared" si="11"/>
        <v>28</v>
      </c>
      <c r="AH16" s="165">
        <f t="shared" si="12"/>
        <v>0.151302280341511</v>
      </c>
      <c r="AI16" s="165">
        <f t="shared" si="13"/>
        <v>0.104706099914916</v>
      </c>
      <c r="AJ16" s="165">
        <f t="shared" si="14"/>
        <v>0.21858926138693499</v>
      </c>
      <c r="AK16" s="167">
        <f t="shared" si="15"/>
        <v>2</v>
      </c>
    </row>
    <row r="17" spans="1:37" x14ac:dyDescent="0.2">
      <c r="A17" s="62" t="s">
        <v>40</v>
      </c>
      <c r="B17" s="62" t="s">
        <v>63</v>
      </c>
      <c r="C17" s="62" t="s">
        <v>200</v>
      </c>
      <c r="D17" s="62"/>
      <c r="E17" s="62">
        <f t="shared" si="2"/>
        <v>18</v>
      </c>
      <c r="F17" s="128">
        <v>219</v>
      </c>
      <c r="G17" s="129">
        <v>2.6782438547144398</v>
      </c>
      <c r="H17" s="129">
        <v>2.3499118646850299</v>
      </c>
      <c r="I17" s="129">
        <v>3.05101738012138</v>
      </c>
      <c r="J17" s="129"/>
      <c r="K17" s="129"/>
      <c r="L17" s="129"/>
      <c r="M17" s="60">
        <f t="shared" si="0"/>
        <v>1</v>
      </c>
      <c r="N17" s="61">
        <f t="shared" si="3"/>
        <v>0.151302280341511</v>
      </c>
      <c r="O17" s="61">
        <f t="shared" si="16"/>
        <v>1.87463386057411</v>
      </c>
      <c r="P17" s="129">
        <f t="shared" si="4"/>
        <v>2.2549679381008301</v>
      </c>
      <c r="Q17" s="129">
        <f t="shared" si="5"/>
        <v>2.2012684724831799</v>
      </c>
      <c r="R17" s="129">
        <f t="shared" si="6"/>
        <v>2.3099464494131201</v>
      </c>
      <c r="S17" s="61">
        <f t="shared" si="7"/>
        <v>2.8996646171045302</v>
      </c>
      <c r="T17" s="61">
        <f t="shared" si="1"/>
        <v>3.6466026587887699</v>
      </c>
      <c r="U17" s="61">
        <f t="shared" si="17"/>
        <v>2.6314873472797524</v>
      </c>
      <c r="V17" s="61"/>
      <c r="Y17" s="162" t="s">
        <v>37</v>
      </c>
      <c r="Z17" s="162" t="s">
        <v>157</v>
      </c>
      <c r="AA17" s="162" t="s">
        <v>201</v>
      </c>
      <c r="AB17" s="162">
        <f t="shared" ref="AB17:AB22" si="21">RANK(AH17,$AH$14:$AH$22,1)</f>
        <v>3</v>
      </c>
      <c r="AC17" s="165">
        <f t="shared" si="19"/>
        <v>0.151302280341511</v>
      </c>
      <c r="AD17" s="165">
        <f>MAX($AH$14:$AH$22)</f>
        <v>3.06593868122637</v>
      </c>
      <c r="AE17" s="162"/>
      <c r="AF17" s="162">
        <f t="shared" si="10"/>
        <v>3</v>
      </c>
      <c r="AG17" s="167">
        <f t="shared" si="11"/>
        <v>268</v>
      </c>
      <c r="AH17" s="165">
        <f t="shared" si="12"/>
        <v>1.1144377910845</v>
      </c>
      <c r="AI17" s="165">
        <f t="shared" si="13"/>
        <v>0.98934739213691103</v>
      </c>
      <c r="AJ17" s="165">
        <f t="shared" si="14"/>
        <v>1.25514378224971</v>
      </c>
      <c r="AK17" s="167">
        <f t="shared" si="15"/>
        <v>2</v>
      </c>
    </row>
    <row r="18" spans="1:37" x14ac:dyDescent="0.2">
      <c r="A18" s="62" t="s">
        <v>41</v>
      </c>
      <c r="B18" s="62" t="s">
        <v>64</v>
      </c>
      <c r="C18" s="62" t="s">
        <v>163</v>
      </c>
      <c r="D18" s="62"/>
      <c r="E18" s="62">
        <f t="shared" si="2"/>
        <v>26</v>
      </c>
      <c r="F18" s="128">
        <v>395</v>
      </c>
      <c r="G18" s="129">
        <v>3.6466026587887699</v>
      </c>
      <c r="H18" s="129">
        <v>3.3097184137493501</v>
      </c>
      <c r="I18" s="129">
        <v>4.0163527717466696</v>
      </c>
      <c r="J18" s="129"/>
      <c r="K18" s="129"/>
      <c r="L18" s="129"/>
      <c r="M18" s="60">
        <f t="shared" si="0"/>
        <v>1</v>
      </c>
      <c r="N18" s="61">
        <f t="shared" si="3"/>
        <v>0.151302280341511</v>
      </c>
      <c r="O18" s="61">
        <f t="shared" si="16"/>
        <v>1.87463386057411</v>
      </c>
      <c r="P18" s="129">
        <f t="shared" si="4"/>
        <v>2.2549679381008301</v>
      </c>
      <c r="Q18" s="129">
        <f t="shared" si="5"/>
        <v>2.2012684724831799</v>
      </c>
      <c r="R18" s="129">
        <f t="shared" si="6"/>
        <v>2.3099464494131201</v>
      </c>
      <c r="S18" s="61">
        <f t="shared" si="7"/>
        <v>2.8996646171045302</v>
      </c>
      <c r="T18" s="61">
        <f t="shared" si="1"/>
        <v>3.6466026587887699</v>
      </c>
      <c r="U18" s="61">
        <f t="shared" si="17"/>
        <v>2.8097679244701506</v>
      </c>
      <c r="V18" s="61"/>
      <c r="Y18" s="162" t="s">
        <v>38</v>
      </c>
      <c r="Z18" s="162" t="s">
        <v>62</v>
      </c>
      <c r="AA18" s="162" t="s">
        <v>201</v>
      </c>
      <c r="AB18" s="162">
        <f t="shared" si="21"/>
        <v>9</v>
      </c>
      <c r="AC18" s="165">
        <f t="shared" si="19"/>
        <v>0.151302280341511</v>
      </c>
      <c r="AD18" s="165">
        <f t="shared" si="20"/>
        <v>3.06593868122637</v>
      </c>
      <c r="AE18" s="162"/>
      <c r="AF18" s="162">
        <f t="shared" si="10"/>
        <v>22</v>
      </c>
      <c r="AG18" s="167">
        <f t="shared" si="11"/>
        <v>219</v>
      </c>
      <c r="AH18" s="165">
        <f t="shared" si="12"/>
        <v>3.06593868122637</v>
      </c>
      <c r="AI18" s="165">
        <f t="shared" si="13"/>
        <v>2.6906919256767998</v>
      </c>
      <c r="AJ18" s="165">
        <f t="shared" si="14"/>
        <v>3.4916399669017002</v>
      </c>
      <c r="AK18" s="167">
        <f t="shared" si="15"/>
        <v>1</v>
      </c>
    </row>
    <row r="19" spans="1:37" x14ac:dyDescent="0.2">
      <c r="A19" s="62" t="s">
        <v>42</v>
      </c>
      <c r="B19" s="62" t="s">
        <v>65</v>
      </c>
      <c r="C19" s="62" t="s">
        <v>200</v>
      </c>
      <c r="D19" s="62"/>
      <c r="E19" s="62">
        <f t="shared" si="2"/>
        <v>7</v>
      </c>
      <c r="F19" s="128">
        <v>96</v>
      </c>
      <c r="G19" s="129">
        <v>1.87463386057411</v>
      </c>
      <c r="H19" s="129">
        <v>1.5376321772486701</v>
      </c>
      <c r="I19" s="129">
        <v>2.28378279518172</v>
      </c>
      <c r="J19" s="129"/>
      <c r="K19" s="129"/>
      <c r="L19" s="129"/>
      <c r="M19" s="60">
        <f t="shared" si="0"/>
        <v>5</v>
      </c>
      <c r="N19" s="61">
        <f t="shared" si="3"/>
        <v>0.151302280341511</v>
      </c>
      <c r="O19" s="61">
        <f t="shared" si="16"/>
        <v>1.87463386057411</v>
      </c>
      <c r="P19" s="129">
        <f t="shared" si="4"/>
        <v>2.2549679381008301</v>
      </c>
      <c r="Q19" s="129">
        <f t="shared" si="5"/>
        <v>2.2012684724831799</v>
      </c>
      <c r="R19" s="129">
        <f t="shared" si="6"/>
        <v>2.3099464494131201</v>
      </c>
      <c r="S19" s="61">
        <f t="shared" si="7"/>
        <v>2.8996646171045302</v>
      </c>
      <c r="T19" s="61">
        <f t="shared" si="1"/>
        <v>3.6466026587887699</v>
      </c>
      <c r="U19" s="61">
        <f t="shared" si="17"/>
        <v>2.6314873472797524</v>
      </c>
      <c r="V19" s="61"/>
      <c r="Y19" s="162" t="s">
        <v>43</v>
      </c>
      <c r="Z19" s="162" t="s">
        <v>159</v>
      </c>
      <c r="AA19" s="162" t="s">
        <v>201</v>
      </c>
      <c r="AB19" s="162">
        <f t="shared" si="21"/>
        <v>7</v>
      </c>
      <c r="AC19" s="165">
        <f t="shared" si="19"/>
        <v>0.151302280341511</v>
      </c>
      <c r="AD19" s="165">
        <f t="shared" si="20"/>
        <v>3.06593868122637</v>
      </c>
      <c r="AE19" s="162"/>
      <c r="AF19" s="162">
        <f t="shared" si="10"/>
        <v>11</v>
      </c>
      <c r="AG19" s="167">
        <f t="shared" si="11"/>
        <v>227</v>
      </c>
      <c r="AH19" s="165">
        <f t="shared" si="12"/>
        <v>2.3365928975810601</v>
      </c>
      <c r="AI19" s="165">
        <f t="shared" si="13"/>
        <v>2.0545122617132701</v>
      </c>
      <c r="AJ19" s="165">
        <f t="shared" si="14"/>
        <v>2.65635230749074</v>
      </c>
      <c r="AK19" s="167">
        <f t="shared" si="15"/>
        <v>5</v>
      </c>
    </row>
    <row r="20" spans="1:37" x14ac:dyDescent="0.2">
      <c r="A20" s="62" t="s">
        <v>43</v>
      </c>
      <c r="B20" s="62" t="s">
        <v>159</v>
      </c>
      <c r="C20" s="62" t="s">
        <v>201</v>
      </c>
      <c r="D20" s="62"/>
      <c r="E20" s="62">
        <f t="shared" si="2"/>
        <v>11</v>
      </c>
      <c r="F20" s="128">
        <v>227</v>
      </c>
      <c r="G20" s="129">
        <v>2.3365928975810601</v>
      </c>
      <c r="H20" s="129">
        <v>2.0545122617132701</v>
      </c>
      <c r="I20" s="129">
        <v>2.65635230749074</v>
      </c>
      <c r="J20" s="129"/>
      <c r="K20" s="129"/>
      <c r="L20" s="129"/>
      <c r="M20" s="60">
        <f t="shared" si="0"/>
        <v>5</v>
      </c>
      <c r="N20" s="61">
        <f t="shared" si="3"/>
        <v>0.151302280341511</v>
      </c>
      <c r="O20" s="61">
        <f t="shared" si="16"/>
        <v>1.87463386057411</v>
      </c>
      <c r="P20" s="129">
        <f t="shared" si="4"/>
        <v>2.2549679381008301</v>
      </c>
      <c r="Q20" s="129">
        <f t="shared" si="5"/>
        <v>2.2012684724831799</v>
      </c>
      <c r="R20" s="129">
        <f t="shared" si="6"/>
        <v>2.3099464494131201</v>
      </c>
      <c r="S20" s="61">
        <f t="shared" si="7"/>
        <v>2.8996646171045302</v>
      </c>
      <c r="T20" s="61">
        <f t="shared" si="1"/>
        <v>3.6466026587887699</v>
      </c>
      <c r="U20" s="61">
        <f t="shared" si="17"/>
        <v>1.4177391708550013</v>
      </c>
      <c r="V20" s="61"/>
      <c r="Y20" s="162" t="s">
        <v>48</v>
      </c>
      <c r="Z20" s="162" t="s">
        <v>160</v>
      </c>
      <c r="AA20" s="162" t="s">
        <v>201</v>
      </c>
      <c r="AB20" s="162">
        <f t="shared" si="21"/>
        <v>8</v>
      </c>
      <c r="AC20" s="165">
        <f t="shared" si="19"/>
        <v>0.151302280341511</v>
      </c>
      <c r="AD20" s="165">
        <f t="shared" si="20"/>
        <v>3.06593868122637</v>
      </c>
      <c r="AE20" s="162"/>
      <c r="AF20" s="162">
        <f t="shared" si="10"/>
        <v>17</v>
      </c>
      <c r="AG20" s="167">
        <f t="shared" si="11"/>
        <v>162</v>
      </c>
      <c r="AH20" s="165">
        <f t="shared" si="12"/>
        <v>2.6371479733029499</v>
      </c>
      <c r="AI20" s="165">
        <f t="shared" si="13"/>
        <v>2.2650782565168499</v>
      </c>
      <c r="AJ20" s="165">
        <f t="shared" si="14"/>
        <v>3.0684163686006198</v>
      </c>
      <c r="AK20" s="167">
        <f t="shared" si="15"/>
        <v>5</v>
      </c>
    </row>
    <row r="21" spans="1:37" x14ac:dyDescent="0.2">
      <c r="A21" s="62" t="s">
        <v>44</v>
      </c>
      <c r="B21" s="62" t="s">
        <v>66</v>
      </c>
      <c r="C21" s="62" t="s">
        <v>200</v>
      </c>
      <c r="D21" s="62"/>
      <c r="E21" s="62">
        <f t="shared" si="2"/>
        <v>12</v>
      </c>
      <c r="F21" s="128">
        <v>101</v>
      </c>
      <c r="G21" s="129">
        <v>2.3395876766272901</v>
      </c>
      <c r="H21" s="129">
        <v>1.92926739099087</v>
      </c>
      <c r="I21" s="129">
        <v>2.8346532661876802</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5</v>
      </c>
      <c r="N21" s="61">
        <f t="shared" si="3"/>
        <v>0.151302280341511</v>
      </c>
      <c r="O21" s="61">
        <f t="shared" si="16"/>
        <v>1.87463386057411</v>
      </c>
      <c r="P21" s="129">
        <f t="shared" si="4"/>
        <v>2.2549679381008301</v>
      </c>
      <c r="Q21" s="129">
        <f t="shared" si="5"/>
        <v>2.2012684724831799</v>
      </c>
      <c r="R21" s="129">
        <f t="shared" si="6"/>
        <v>2.3099464494131201</v>
      </c>
      <c r="S21" s="61">
        <f t="shared" si="7"/>
        <v>2.8996646171045302</v>
      </c>
      <c r="T21" s="61">
        <f t="shared" si="1"/>
        <v>3.6466026587887699</v>
      </c>
      <c r="U21" s="61">
        <f t="shared" si="17"/>
        <v>2.6314873472797524</v>
      </c>
      <c r="V21" s="61"/>
      <c r="Y21" s="162" t="s">
        <v>52</v>
      </c>
      <c r="Z21" s="162" t="s">
        <v>72</v>
      </c>
      <c r="AA21" s="162" t="s">
        <v>201</v>
      </c>
      <c r="AB21" s="162">
        <f t="shared" si="21"/>
        <v>4</v>
      </c>
      <c r="AC21" s="165">
        <f t="shared" si="19"/>
        <v>0.151302280341511</v>
      </c>
      <c r="AD21" s="165">
        <f t="shared" si="20"/>
        <v>3.06593868122637</v>
      </c>
      <c r="AE21" s="162"/>
      <c r="AF21" s="162">
        <f t="shared" si="10"/>
        <v>4</v>
      </c>
      <c r="AG21" s="167">
        <f t="shared" si="11"/>
        <v>59</v>
      </c>
      <c r="AH21" s="165">
        <f t="shared" si="12"/>
        <v>1.3525905547913799</v>
      </c>
      <c r="AI21" s="165">
        <f t="shared" si="13"/>
        <v>1.0500899707192199</v>
      </c>
      <c r="AJ21" s="165">
        <f t="shared" si="14"/>
        <v>1.7406998454003499</v>
      </c>
      <c r="AK21" s="167">
        <f t="shared" si="15"/>
        <v>2</v>
      </c>
    </row>
    <row r="22" spans="1:37" x14ac:dyDescent="0.2">
      <c r="A22" s="62" t="s">
        <v>45</v>
      </c>
      <c r="B22" s="62" t="s">
        <v>67</v>
      </c>
      <c r="C22" s="62" t="s">
        <v>163</v>
      </c>
      <c r="D22" s="62"/>
      <c r="E22" s="62">
        <f t="shared" si="2"/>
        <v>14</v>
      </c>
      <c r="F22" s="128">
        <v>220</v>
      </c>
      <c r="G22" s="129">
        <v>2.5203345171268201</v>
      </c>
      <c r="H22" s="129">
        <v>2.2118144722405999</v>
      </c>
      <c r="I22" s="129">
        <v>2.8706258871041599</v>
      </c>
      <c r="J22" s="129"/>
      <c r="K22" s="129"/>
      <c r="L22" s="129"/>
      <c r="M22" s="60">
        <f t="shared" si="0"/>
        <v>5</v>
      </c>
      <c r="N22" s="61">
        <f t="shared" si="3"/>
        <v>0.151302280341511</v>
      </c>
      <c r="O22" s="61">
        <f t="shared" si="16"/>
        <v>1.87463386057411</v>
      </c>
      <c r="P22" s="129">
        <f t="shared" si="4"/>
        <v>2.2549679381008301</v>
      </c>
      <c r="Q22" s="129">
        <f t="shared" si="5"/>
        <v>2.2012684724831799</v>
      </c>
      <c r="R22" s="129">
        <f t="shared" si="6"/>
        <v>2.3099464494131201</v>
      </c>
      <c r="S22" s="61">
        <f t="shared" si="7"/>
        <v>2.8996646171045302</v>
      </c>
      <c r="T22" s="61">
        <f t="shared" si="1"/>
        <v>3.6466026587887699</v>
      </c>
      <c r="U22" s="61">
        <f>VLOOKUP(C22,$C$43:$I$46,5,FALSE)</f>
        <v>2.8097679244701506</v>
      </c>
      <c r="V22" s="61"/>
      <c r="Y22" s="162" t="s">
        <v>54</v>
      </c>
      <c r="Z22" s="162" t="s">
        <v>73</v>
      </c>
      <c r="AA22" s="162" t="s">
        <v>201</v>
      </c>
      <c r="AB22" s="162">
        <f t="shared" si="21"/>
        <v>2</v>
      </c>
      <c r="AC22" s="165">
        <f t="shared" si="19"/>
        <v>0.151302280341511</v>
      </c>
      <c r="AD22" s="165">
        <f t="shared" si="20"/>
        <v>3.06593868122637</v>
      </c>
      <c r="AE22" s="162"/>
      <c r="AF22" s="162">
        <f t="shared" si="10"/>
        <v>2</v>
      </c>
      <c r="AG22" s="167">
        <f t="shared" si="11"/>
        <v>33</v>
      </c>
      <c r="AH22" s="165">
        <f t="shared" si="12"/>
        <v>0.55546204342703298</v>
      </c>
      <c r="AI22" s="165">
        <f t="shared" si="13"/>
        <v>0.39580203507359601</v>
      </c>
      <c r="AJ22" s="165">
        <f t="shared" si="14"/>
        <v>0.77902254695232898</v>
      </c>
      <c r="AK22" s="167">
        <f t="shared" si="15"/>
        <v>2</v>
      </c>
    </row>
    <row r="23" spans="1:37" x14ac:dyDescent="0.2">
      <c r="A23" s="62" t="s">
        <v>46</v>
      </c>
      <c r="B23" s="62" t="s">
        <v>68</v>
      </c>
      <c r="C23" s="62" t="s">
        <v>163</v>
      </c>
      <c r="D23" s="62"/>
      <c r="E23" s="62">
        <f t="shared" si="2"/>
        <v>23</v>
      </c>
      <c r="F23" s="128">
        <v>337</v>
      </c>
      <c r="G23" s="129">
        <v>3.0841035965955901</v>
      </c>
      <c r="H23" s="129">
        <v>2.7760691080517401</v>
      </c>
      <c r="I23" s="129">
        <v>3.4251136771372899</v>
      </c>
      <c r="J23" s="129"/>
      <c r="K23" s="129"/>
      <c r="L23" s="129"/>
      <c r="M23" s="60">
        <f t="shared" si="0"/>
        <v>1</v>
      </c>
      <c r="N23" s="61">
        <f t="shared" si="3"/>
        <v>0.151302280341511</v>
      </c>
      <c r="O23" s="61">
        <f t="shared" si="16"/>
        <v>1.87463386057411</v>
      </c>
      <c r="P23" s="129">
        <f t="shared" si="4"/>
        <v>2.2549679381008301</v>
      </c>
      <c r="Q23" s="129">
        <f t="shared" si="5"/>
        <v>2.2012684724831799</v>
      </c>
      <c r="R23" s="129">
        <f t="shared" si="6"/>
        <v>2.3099464494131201</v>
      </c>
      <c r="S23" s="61">
        <f t="shared" si="7"/>
        <v>2.8996646171045302</v>
      </c>
      <c r="T23" s="61">
        <f t="shared" si="1"/>
        <v>3.6466026587887699</v>
      </c>
      <c r="U23" s="61">
        <f t="shared" si="17"/>
        <v>2.8097679244701506</v>
      </c>
      <c r="V23" s="61"/>
      <c r="Y23" s="163" t="s">
        <v>30</v>
      </c>
      <c r="Z23" s="163" t="s">
        <v>56</v>
      </c>
      <c r="AA23" s="163" t="s">
        <v>200</v>
      </c>
      <c r="AB23" s="163">
        <f>RANK(AH23,$AH$23:$AH$31,1)</f>
        <v>8</v>
      </c>
      <c r="AC23" s="166">
        <f>MIN($AH$23:$AH$31)</f>
        <v>1.82663566921289</v>
      </c>
      <c r="AD23" s="166">
        <f>MAX($AH$23:$AH$31)</f>
        <v>3.42797225358929</v>
      </c>
      <c r="AE23" s="163"/>
      <c r="AF23" s="163">
        <f t="shared" si="10"/>
        <v>24</v>
      </c>
      <c r="AG23" s="168">
        <f t="shared" si="11"/>
        <v>370</v>
      </c>
      <c r="AH23" s="166">
        <f t="shared" si="12"/>
        <v>3.2903512672298798</v>
      </c>
      <c r="AI23" s="166">
        <f t="shared" si="13"/>
        <v>2.97626898629925</v>
      </c>
      <c r="AJ23" s="166">
        <f t="shared" si="14"/>
        <v>3.63633606768536</v>
      </c>
      <c r="AK23" s="168">
        <f t="shared" si="15"/>
        <v>1</v>
      </c>
    </row>
    <row r="24" spans="1:37" x14ac:dyDescent="0.2">
      <c r="A24" s="62" t="s">
        <v>47</v>
      </c>
      <c r="B24" s="62" t="s">
        <v>69</v>
      </c>
      <c r="C24" s="62" t="s">
        <v>163</v>
      </c>
      <c r="D24" s="62"/>
      <c r="E24" s="62">
        <f t="shared" si="2"/>
        <v>16</v>
      </c>
      <c r="F24" s="128">
        <v>145</v>
      </c>
      <c r="G24" s="129">
        <v>2.6330125295079001</v>
      </c>
      <c r="H24" s="129">
        <v>2.2420051132677798</v>
      </c>
      <c r="I24" s="129">
        <v>3.0900564424202202</v>
      </c>
      <c r="J24" s="129"/>
      <c r="K24" s="129"/>
      <c r="L24" s="129"/>
      <c r="M24" s="60">
        <f t="shared" si="0"/>
        <v>5</v>
      </c>
      <c r="N24" s="61">
        <f t="shared" si="3"/>
        <v>0.151302280341511</v>
      </c>
      <c r="O24" s="61">
        <f t="shared" si="16"/>
        <v>1.87463386057411</v>
      </c>
      <c r="P24" s="129">
        <f t="shared" si="4"/>
        <v>2.2549679381008301</v>
      </c>
      <c r="Q24" s="129">
        <f t="shared" si="5"/>
        <v>2.2012684724831799</v>
      </c>
      <c r="R24" s="129">
        <f t="shared" si="6"/>
        <v>2.3099464494131201</v>
      </c>
      <c r="S24" s="61">
        <f t="shared" si="7"/>
        <v>2.8996646171045302</v>
      </c>
      <c r="T24" s="61">
        <f t="shared" si="1"/>
        <v>3.6466026587887699</v>
      </c>
      <c r="U24" s="61">
        <f t="shared" si="17"/>
        <v>2.8097679244701506</v>
      </c>
      <c r="V24" s="61"/>
      <c r="Y24" s="163" t="s">
        <v>31</v>
      </c>
      <c r="Z24" s="163" t="s">
        <v>57</v>
      </c>
      <c r="AA24" s="163" t="s">
        <v>200</v>
      </c>
      <c r="AB24" s="163">
        <f t="shared" ref="AB24:AB31" si="22">RANK(AH24,$AH$23:$AH$31,1)</f>
        <v>9</v>
      </c>
      <c r="AC24" s="166">
        <f t="shared" ref="AC24:AC31" si="23">MIN($AH$23:$AH$31)</f>
        <v>1.82663566921289</v>
      </c>
      <c r="AD24" s="166">
        <f t="shared" ref="AD24:AD31" si="24">MAX($AH$23:$AH$31)</f>
        <v>3.42797225358929</v>
      </c>
      <c r="AE24" s="163"/>
      <c r="AF24" s="163">
        <f t="shared" si="10"/>
        <v>25</v>
      </c>
      <c r="AG24" s="168">
        <f t="shared" si="11"/>
        <v>425</v>
      </c>
      <c r="AH24" s="166">
        <f t="shared" si="12"/>
        <v>3.42797225358929</v>
      </c>
      <c r="AI24" s="166">
        <f t="shared" si="13"/>
        <v>3.12185248473219</v>
      </c>
      <c r="AJ24" s="166">
        <f t="shared" si="14"/>
        <v>3.7629433067299498</v>
      </c>
      <c r="AK24" s="168">
        <f t="shared" si="15"/>
        <v>1</v>
      </c>
    </row>
    <row r="25" spans="1:37" x14ac:dyDescent="0.2">
      <c r="A25" s="62" t="s">
        <v>48</v>
      </c>
      <c r="B25" s="62" t="s">
        <v>160</v>
      </c>
      <c r="C25" s="62" t="s">
        <v>201</v>
      </c>
      <c r="D25" s="62"/>
      <c r="E25" s="62">
        <f t="shared" si="2"/>
        <v>17</v>
      </c>
      <c r="F25" s="128">
        <v>162</v>
      </c>
      <c r="G25" s="129">
        <v>2.6371479733029499</v>
      </c>
      <c r="H25" s="129">
        <v>2.2650782565168499</v>
      </c>
      <c r="I25" s="129">
        <v>3.0684163686006198</v>
      </c>
      <c r="J25" s="129"/>
      <c r="K25" s="129"/>
      <c r="L25" s="129"/>
      <c r="M25" s="60">
        <f t="shared" si="0"/>
        <v>5</v>
      </c>
      <c r="N25" s="61">
        <f t="shared" si="3"/>
        <v>0.151302280341511</v>
      </c>
      <c r="O25" s="61">
        <f t="shared" si="16"/>
        <v>1.87463386057411</v>
      </c>
      <c r="P25" s="129">
        <f t="shared" si="4"/>
        <v>2.2549679381008301</v>
      </c>
      <c r="Q25" s="129">
        <f t="shared" si="5"/>
        <v>2.2012684724831799</v>
      </c>
      <c r="R25" s="129">
        <f t="shared" si="6"/>
        <v>2.3099464494131201</v>
      </c>
      <c r="S25" s="61">
        <f t="shared" si="7"/>
        <v>2.8996646171045302</v>
      </c>
      <c r="T25" s="61">
        <f t="shared" si="1"/>
        <v>3.6466026587887699</v>
      </c>
      <c r="U25" s="61">
        <f t="shared" si="17"/>
        <v>1.4177391708550013</v>
      </c>
      <c r="V25" s="61"/>
      <c r="Y25" s="163" t="s">
        <v>34</v>
      </c>
      <c r="Z25" s="163" t="s">
        <v>59</v>
      </c>
      <c r="AA25" s="163" t="s">
        <v>200</v>
      </c>
      <c r="AB25" s="163">
        <f t="shared" si="22"/>
        <v>6</v>
      </c>
      <c r="AC25" s="166">
        <f t="shared" si="23"/>
        <v>1.82663566921289</v>
      </c>
      <c r="AD25" s="166">
        <f t="shared" si="24"/>
        <v>3.42797225358929</v>
      </c>
      <c r="AE25" s="163"/>
      <c r="AF25" s="163">
        <f t="shared" si="10"/>
        <v>15</v>
      </c>
      <c r="AG25" s="168">
        <f t="shared" si="11"/>
        <v>402</v>
      </c>
      <c r="AH25" s="166">
        <f t="shared" si="12"/>
        <v>2.6054831810227501</v>
      </c>
      <c r="AI25" s="166">
        <f t="shared" si="13"/>
        <v>2.3656781512312199</v>
      </c>
      <c r="AJ25" s="166">
        <f t="shared" si="14"/>
        <v>2.86888258067451</v>
      </c>
      <c r="AK25" s="168">
        <f t="shared" si="15"/>
        <v>1</v>
      </c>
    </row>
    <row r="26" spans="1:37" x14ac:dyDescent="0.2">
      <c r="A26" s="62" t="s">
        <v>49</v>
      </c>
      <c r="B26" s="62" t="s">
        <v>70</v>
      </c>
      <c r="C26" s="62" t="s">
        <v>200</v>
      </c>
      <c r="D26" s="62"/>
      <c r="E26" s="62">
        <f t="shared" si="2"/>
        <v>6</v>
      </c>
      <c r="F26" s="128">
        <v>165</v>
      </c>
      <c r="G26" s="129">
        <v>1.82663566921289</v>
      </c>
      <c r="H26" s="129">
        <v>1.57025768761846</v>
      </c>
      <c r="I26" s="129">
        <v>2.1239695525290099</v>
      </c>
      <c r="J26" s="129"/>
      <c r="K26" s="129"/>
      <c r="L26" s="129"/>
      <c r="M26" s="60">
        <f t="shared" si="0"/>
        <v>2</v>
      </c>
      <c r="N26" s="61">
        <f t="shared" si="3"/>
        <v>0.151302280341511</v>
      </c>
      <c r="O26" s="61">
        <f t="shared" si="16"/>
        <v>1.87463386057411</v>
      </c>
      <c r="P26" s="129">
        <f t="shared" si="4"/>
        <v>2.2549679381008301</v>
      </c>
      <c r="Q26" s="129">
        <f t="shared" si="5"/>
        <v>2.2012684724831799</v>
      </c>
      <c r="R26" s="129">
        <f t="shared" si="6"/>
        <v>2.3099464494131201</v>
      </c>
      <c r="S26" s="61">
        <f t="shared" si="7"/>
        <v>2.8996646171045302</v>
      </c>
      <c r="T26" s="61">
        <f t="shared" si="1"/>
        <v>3.6466026587887699</v>
      </c>
      <c r="U26" s="61">
        <f t="shared" si="17"/>
        <v>2.6314873472797524</v>
      </c>
      <c r="V26" s="61"/>
      <c r="Y26" s="163" t="s">
        <v>39</v>
      </c>
      <c r="Z26" s="163" t="s">
        <v>158</v>
      </c>
      <c r="AA26" s="163" t="s">
        <v>200</v>
      </c>
      <c r="AB26" s="163">
        <f t="shared" si="22"/>
        <v>5</v>
      </c>
      <c r="AC26" s="166">
        <f t="shared" si="23"/>
        <v>1.82663566921289</v>
      </c>
      <c r="AD26" s="166">
        <f t="shared" si="24"/>
        <v>3.42797225358929</v>
      </c>
      <c r="AE26" s="163"/>
      <c r="AF26" s="163">
        <f t="shared" si="10"/>
        <v>13</v>
      </c>
      <c r="AG26" s="168">
        <f t="shared" si="11"/>
        <v>369</v>
      </c>
      <c r="AH26" s="166">
        <f t="shared" si="12"/>
        <v>2.45492648526379</v>
      </c>
      <c r="AI26" s="166">
        <f t="shared" si="13"/>
        <v>2.2194213740403299</v>
      </c>
      <c r="AJ26" s="166">
        <f t="shared" si="14"/>
        <v>2.7147274884704098</v>
      </c>
      <c r="AK26" s="168">
        <f t="shared" si="15"/>
        <v>5</v>
      </c>
    </row>
    <row r="27" spans="1:37" x14ac:dyDescent="0.2">
      <c r="A27" s="62" t="s">
        <v>50</v>
      </c>
      <c r="B27" s="62" t="s">
        <v>161</v>
      </c>
      <c r="C27" s="62" t="s">
        <v>163</v>
      </c>
      <c r="D27" s="62"/>
      <c r="E27" s="62">
        <f t="shared" si="2"/>
        <v>21</v>
      </c>
      <c r="F27" s="128">
        <v>166</v>
      </c>
      <c r="G27" s="129">
        <v>2.9463968761093402</v>
      </c>
      <c r="H27" s="129">
        <v>2.53588404222609</v>
      </c>
      <c r="I27" s="129">
        <v>3.4210315836160099</v>
      </c>
      <c r="J27" s="129"/>
      <c r="K27" s="129"/>
      <c r="L27" s="129"/>
      <c r="M27" s="60">
        <f t="shared" si="0"/>
        <v>1</v>
      </c>
      <c r="N27" s="61">
        <f t="shared" si="3"/>
        <v>0.151302280341511</v>
      </c>
      <c r="O27" s="61">
        <f t="shared" si="16"/>
        <v>1.87463386057411</v>
      </c>
      <c r="P27" s="129">
        <f t="shared" si="4"/>
        <v>2.2549679381008301</v>
      </c>
      <c r="Q27" s="129">
        <f t="shared" si="5"/>
        <v>2.2012684724831799</v>
      </c>
      <c r="R27" s="129">
        <f t="shared" si="6"/>
        <v>2.3099464494131201</v>
      </c>
      <c r="S27" s="61">
        <f t="shared" si="7"/>
        <v>2.8996646171045302</v>
      </c>
      <c r="T27" s="61">
        <f t="shared" si="1"/>
        <v>3.6466026587887699</v>
      </c>
      <c r="U27" s="61">
        <f t="shared" si="17"/>
        <v>2.8097679244701506</v>
      </c>
      <c r="V27" s="61"/>
      <c r="Y27" s="163" t="s">
        <v>40</v>
      </c>
      <c r="Z27" s="163" t="s">
        <v>63</v>
      </c>
      <c r="AA27" s="163" t="s">
        <v>200</v>
      </c>
      <c r="AB27" s="163">
        <f t="shared" si="22"/>
        <v>7</v>
      </c>
      <c r="AC27" s="166">
        <f t="shared" si="23"/>
        <v>1.82663566921289</v>
      </c>
      <c r="AD27" s="166">
        <f t="shared" si="24"/>
        <v>3.42797225358929</v>
      </c>
      <c r="AE27" s="163"/>
      <c r="AF27" s="163">
        <f t="shared" si="10"/>
        <v>18</v>
      </c>
      <c r="AG27" s="168">
        <f t="shared" si="11"/>
        <v>219</v>
      </c>
      <c r="AH27" s="166">
        <f t="shared" si="12"/>
        <v>2.6782438547144398</v>
      </c>
      <c r="AI27" s="166">
        <f t="shared" si="13"/>
        <v>2.3499118646850299</v>
      </c>
      <c r="AJ27" s="166">
        <f t="shared" si="14"/>
        <v>3.05101738012138</v>
      </c>
      <c r="AK27" s="168">
        <f t="shared" si="15"/>
        <v>1</v>
      </c>
    </row>
    <row r="28" spans="1:37" x14ac:dyDescent="0.2">
      <c r="A28" s="62" t="s">
        <v>51</v>
      </c>
      <c r="B28" s="62" t="s">
        <v>71</v>
      </c>
      <c r="C28" s="62" t="s">
        <v>200</v>
      </c>
      <c r="D28" s="62"/>
      <c r="E28" s="62">
        <f t="shared" si="2"/>
        <v>10</v>
      </c>
      <c r="F28" s="128">
        <v>121</v>
      </c>
      <c r="G28" s="129">
        <v>2.2259013980868301</v>
      </c>
      <c r="H28" s="129">
        <v>1.86615865018615</v>
      </c>
      <c r="I28" s="129">
        <v>2.6531175214026899</v>
      </c>
      <c r="J28" s="129"/>
      <c r="K28" s="129"/>
      <c r="L28" s="129"/>
      <c r="M28" s="60">
        <f t="shared" si="0"/>
        <v>5</v>
      </c>
      <c r="N28" s="61">
        <f t="shared" si="3"/>
        <v>0.151302280341511</v>
      </c>
      <c r="O28" s="61">
        <f t="shared" si="16"/>
        <v>1.87463386057411</v>
      </c>
      <c r="P28" s="129">
        <f t="shared" si="4"/>
        <v>2.2549679381008301</v>
      </c>
      <c r="Q28" s="129">
        <f t="shared" si="5"/>
        <v>2.2012684724831799</v>
      </c>
      <c r="R28" s="129">
        <f t="shared" si="6"/>
        <v>2.3099464494131201</v>
      </c>
      <c r="S28" s="61">
        <f t="shared" si="7"/>
        <v>2.8996646171045302</v>
      </c>
      <c r="T28" s="61">
        <f t="shared" si="1"/>
        <v>3.6466026587887699</v>
      </c>
      <c r="U28" s="61">
        <f t="shared" si="17"/>
        <v>2.6314873472797524</v>
      </c>
      <c r="V28" s="61"/>
      <c r="Y28" s="163" t="s">
        <v>42</v>
      </c>
      <c r="Z28" s="163" t="s">
        <v>65</v>
      </c>
      <c r="AA28" s="163" t="s">
        <v>200</v>
      </c>
      <c r="AB28" s="163">
        <f t="shared" si="22"/>
        <v>2</v>
      </c>
      <c r="AC28" s="166">
        <f t="shared" si="23"/>
        <v>1.82663566921289</v>
      </c>
      <c r="AD28" s="166">
        <f t="shared" si="24"/>
        <v>3.42797225358929</v>
      </c>
      <c r="AE28" s="163"/>
      <c r="AF28" s="163">
        <f t="shared" si="10"/>
        <v>7</v>
      </c>
      <c r="AG28" s="168">
        <f t="shared" si="11"/>
        <v>96</v>
      </c>
      <c r="AH28" s="166">
        <f t="shared" si="12"/>
        <v>1.87463386057411</v>
      </c>
      <c r="AI28" s="166">
        <f t="shared" si="13"/>
        <v>1.5376321772486701</v>
      </c>
      <c r="AJ28" s="166">
        <f t="shared" si="14"/>
        <v>2.28378279518172</v>
      </c>
      <c r="AK28" s="168">
        <f t="shared" si="15"/>
        <v>5</v>
      </c>
    </row>
    <row r="29" spans="1:37" x14ac:dyDescent="0.2">
      <c r="A29" s="62" t="s">
        <v>52</v>
      </c>
      <c r="B29" s="62" t="s">
        <v>72</v>
      </c>
      <c r="C29" s="62" t="s">
        <v>201</v>
      </c>
      <c r="D29" s="62"/>
      <c r="E29" s="62">
        <f t="shared" si="2"/>
        <v>4</v>
      </c>
      <c r="F29" s="128">
        <v>59</v>
      </c>
      <c r="G29" s="129">
        <v>1.3525905547913799</v>
      </c>
      <c r="H29" s="129">
        <v>1.0500899707192199</v>
      </c>
      <c r="I29" s="129">
        <v>1.7406998454003499</v>
      </c>
      <c r="J29" s="129"/>
      <c r="K29" s="129"/>
      <c r="L29" s="129"/>
      <c r="M29" s="60">
        <f t="shared" si="0"/>
        <v>2</v>
      </c>
      <c r="N29" s="61">
        <f t="shared" si="3"/>
        <v>0.151302280341511</v>
      </c>
      <c r="O29" s="61">
        <f t="shared" si="16"/>
        <v>1.87463386057411</v>
      </c>
      <c r="P29" s="129">
        <f t="shared" si="4"/>
        <v>2.2549679381008301</v>
      </c>
      <c r="Q29" s="129">
        <f t="shared" si="5"/>
        <v>2.2012684724831799</v>
      </c>
      <c r="R29" s="129">
        <f t="shared" si="6"/>
        <v>2.3099464494131201</v>
      </c>
      <c r="S29" s="61">
        <f t="shared" si="7"/>
        <v>2.8996646171045302</v>
      </c>
      <c r="T29" s="61">
        <f t="shared" si="1"/>
        <v>3.6466026587887699</v>
      </c>
      <c r="U29" s="61">
        <f t="shared" si="17"/>
        <v>1.4177391708550013</v>
      </c>
      <c r="V29" s="61"/>
      <c r="Y29" s="163" t="s">
        <v>44</v>
      </c>
      <c r="Z29" s="163" t="s">
        <v>66</v>
      </c>
      <c r="AA29" s="163" t="s">
        <v>200</v>
      </c>
      <c r="AB29" s="163">
        <f t="shared" si="22"/>
        <v>4</v>
      </c>
      <c r="AC29" s="166">
        <f t="shared" si="23"/>
        <v>1.82663566921289</v>
      </c>
      <c r="AD29" s="166">
        <f t="shared" si="24"/>
        <v>3.42797225358929</v>
      </c>
      <c r="AE29" s="163"/>
      <c r="AF29" s="163">
        <f t="shared" si="10"/>
        <v>12</v>
      </c>
      <c r="AG29" s="168">
        <f t="shared" si="11"/>
        <v>101</v>
      </c>
      <c r="AH29" s="166">
        <f t="shared" si="12"/>
        <v>2.3395876766272901</v>
      </c>
      <c r="AI29" s="166">
        <f t="shared" si="13"/>
        <v>1.92926739099087</v>
      </c>
      <c r="AJ29" s="166">
        <f t="shared" si="14"/>
        <v>2.8346532661876802</v>
      </c>
      <c r="AK29" s="168">
        <f t="shared" si="15"/>
        <v>5</v>
      </c>
    </row>
    <row r="30" spans="1:37" x14ac:dyDescent="0.2">
      <c r="A30" s="62" t="s">
        <v>53</v>
      </c>
      <c r="B30" s="62" t="s">
        <v>162</v>
      </c>
      <c r="C30" s="62" t="s">
        <v>163</v>
      </c>
      <c r="D30" s="62"/>
      <c r="E30" s="62">
        <f t="shared" si="2"/>
        <v>19</v>
      </c>
      <c r="F30" s="128">
        <v>788</v>
      </c>
      <c r="G30" s="129">
        <v>2.7554374431778399</v>
      </c>
      <c r="H30" s="129">
        <v>2.5719715672029699</v>
      </c>
      <c r="I30" s="129">
        <v>2.9515939734817498</v>
      </c>
      <c r="J30" s="129"/>
      <c r="K30" s="129"/>
      <c r="L30" s="129"/>
      <c r="M30" s="60">
        <f t="shared" si="0"/>
        <v>1</v>
      </c>
      <c r="N30" s="61">
        <f t="shared" si="3"/>
        <v>0.151302280341511</v>
      </c>
      <c r="O30" s="61">
        <f t="shared" si="16"/>
        <v>1.87463386057411</v>
      </c>
      <c r="P30" s="129">
        <f>$G$32</f>
        <v>2.2549679381008301</v>
      </c>
      <c r="Q30" s="129">
        <f t="shared" si="5"/>
        <v>2.2012684724831799</v>
      </c>
      <c r="R30" s="129">
        <f t="shared" si="6"/>
        <v>2.3099464494131201</v>
      </c>
      <c r="S30" s="61">
        <f t="shared" si="7"/>
        <v>2.8996646171045302</v>
      </c>
      <c r="T30" s="61">
        <f t="shared" si="1"/>
        <v>3.6466026587887699</v>
      </c>
      <c r="U30" s="61">
        <f t="shared" si="17"/>
        <v>2.8097679244701506</v>
      </c>
      <c r="V30" s="61"/>
      <c r="Y30" s="163" t="s">
        <v>49</v>
      </c>
      <c r="Z30" s="163" t="s">
        <v>70</v>
      </c>
      <c r="AA30" s="163" t="s">
        <v>200</v>
      </c>
      <c r="AB30" s="163">
        <f t="shared" si="22"/>
        <v>1</v>
      </c>
      <c r="AC30" s="166">
        <f t="shared" si="23"/>
        <v>1.82663566921289</v>
      </c>
      <c r="AD30" s="166">
        <f t="shared" si="24"/>
        <v>3.42797225358929</v>
      </c>
      <c r="AE30" s="163"/>
      <c r="AF30" s="163">
        <f t="shared" si="10"/>
        <v>6</v>
      </c>
      <c r="AG30" s="168">
        <f t="shared" si="11"/>
        <v>165</v>
      </c>
      <c r="AH30" s="166">
        <f t="shared" si="12"/>
        <v>1.82663566921289</v>
      </c>
      <c r="AI30" s="166">
        <f t="shared" si="13"/>
        <v>1.57025768761846</v>
      </c>
      <c r="AJ30" s="166">
        <f t="shared" si="14"/>
        <v>2.1239695525290099</v>
      </c>
      <c r="AK30" s="168">
        <f t="shared" si="15"/>
        <v>2</v>
      </c>
    </row>
    <row r="31" spans="1:37" x14ac:dyDescent="0.2">
      <c r="A31" s="62" t="s">
        <v>54</v>
      </c>
      <c r="B31" s="62" t="s">
        <v>73</v>
      </c>
      <c r="C31" s="62" t="s">
        <v>201</v>
      </c>
      <c r="D31" s="62"/>
      <c r="E31" s="62">
        <f t="shared" si="2"/>
        <v>2</v>
      </c>
      <c r="F31" s="128">
        <v>33</v>
      </c>
      <c r="G31" s="129">
        <v>0.55546204342703298</v>
      </c>
      <c r="H31" s="129">
        <v>0.39580203507359601</v>
      </c>
      <c r="I31" s="129">
        <v>0.77902254695232898</v>
      </c>
      <c r="J31" s="129"/>
      <c r="K31" s="129"/>
      <c r="L31" s="129"/>
      <c r="M31" s="60">
        <f t="shared" si="0"/>
        <v>2</v>
      </c>
      <c r="N31" s="61">
        <f t="shared" si="3"/>
        <v>0.151302280341511</v>
      </c>
      <c r="O31" s="61">
        <f t="shared" si="16"/>
        <v>1.87463386057411</v>
      </c>
      <c r="P31" s="129">
        <f t="shared" si="4"/>
        <v>2.2549679381008301</v>
      </c>
      <c r="Q31" s="129">
        <f t="shared" si="5"/>
        <v>2.2012684724831799</v>
      </c>
      <c r="R31" s="129">
        <f t="shared" si="6"/>
        <v>2.3099464494131201</v>
      </c>
      <c r="S31" s="61">
        <f t="shared" si="7"/>
        <v>2.8996646171045302</v>
      </c>
      <c r="T31" s="61">
        <f t="shared" si="1"/>
        <v>3.6466026587887699</v>
      </c>
      <c r="U31" s="61">
        <f t="shared" si="17"/>
        <v>1.4177391708550013</v>
      </c>
      <c r="V31" s="61"/>
      <c r="Y31" s="163" t="s">
        <v>51</v>
      </c>
      <c r="Z31" s="163" t="s">
        <v>71</v>
      </c>
      <c r="AA31" s="163" t="s">
        <v>200</v>
      </c>
      <c r="AB31" s="163">
        <f t="shared" si="22"/>
        <v>3</v>
      </c>
      <c r="AC31" s="166">
        <f t="shared" si="23"/>
        <v>1.82663566921289</v>
      </c>
      <c r="AD31" s="166">
        <f t="shared" si="24"/>
        <v>3.42797225358929</v>
      </c>
      <c r="AE31" s="163"/>
      <c r="AF31" s="163">
        <f t="shared" si="10"/>
        <v>10</v>
      </c>
      <c r="AG31" s="168">
        <f t="shared" si="11"/>
        <v>121</v>
      </c>
      <c r="AH31" s="166">
        <f t="shared" si="12"/>
        <v>2.2259013980868301</v>
      </c>
      <c r="AI31" s="166">
        <f t="shared" si="13"/>
        <v>1.86615865018615</v>
      </c>
      <c r="AJ31" s="166">
        <f t="shared" si="14"/>
        <v>2.6531175214026899</v>
      </c>
      <c r="AK31" s="168">
        <f t="shared" si="15"/>
        <v>5</v>
      </c>
    </row>
    <row r="32" spans="1:37" x14ac:dyDescent="0.2">
      <c r="A32" s="62"/>
      <c r="B32" s="62" t="s">
        <v>171</v>
      </c>
      <c r="C32" s="62"/>
      <c r="D32" s="62"/>
      <c r="E32" s="62"/>
      <c r="F32" s="128">
        <v>6467</v>
      </c>
      <c r="G32" s="129">
        <v>2.2549679381008301</v>
      </c>
      <c r="H32" s="129">
        <v>2.2012684724831799</v>
      </c>
      <c r="I32" s="129">
        <v>2.3099464494131201</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2735</v>
      </c>
      <c r="G44" s="129">
        <v>2.8097679244701506</v>
      </c>
      <c r="H44" s="129">
        <v>2.7078026802543178</v>
      </c>
      <c r="I44" s="129">
        <v>2.9154577226550362</v>
      </c>
      <c r="J44" s="129">
        <f>VLOOKUP($C44,$AA$6:$AD$13,3,FALSE)</f>
        <v>2.1015625</v>
      </c>
      <c r="K44" s="129">
        <f>VLOOKUP($C44,$AA$6:$AD$13,4,FALSE)</f>
        <v>3.6466026587887699</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1</v>
      </c>
      <c r="N44" s="61">
        <f>MIN($G$6:$G$31)</f>
        <v>0.151302280341511</v>
      </c>
      <c r="O44" s="61">
        <f>VLOOKUP(7,$E$5:$G$39,3,FALSE)</f>
        <v>1.87463386057411</v>
      </c>
      <c r="P44" s="129">
        <f>$G$32</f>
        <v>2.2549679381008301</v>
      </c>
      <c r="Q44" s="129">
        <f>$H$32</f>
        <v>2.2012684724831799</v>
      </c>
      <c r="R44" s="129">
        <f>$I$32</f>
        <v>2.3099464494131201</v>
      </c>
      <c r="S44" s="61">
        <f>VLOOKUP(20,$E$5:$G$39,3,FALSE)</f>
        <v>2.8996646171045302</v>
      </c>
      <c r="T44" s="61">
        <f>MAX($G$6:$G$31)</f>
        <v>3.6466026587887699</v>
      </c>
    </row>
    <row r="45" spans="1:22" x14ac:dyDescent="0.2">
      <c r="C45" s="62" t="s">
        <v>201</v>
      </c>
      <c r="D45" s="62"/>
      <c r="E45" s="62"/>
      <c r="F45" s="128">
        <v>1464</v>
      </c>
      <c r="G45" s="129">
        <v>1.4177391708550013</v>
      </c>
      <c r="H45" s="129">
        <v>1.3474187846437957</v>
      </c>
      <c r="I45" s="129">
        <v>1.4916740135898106</v>
      </c>
      <c r="J45" s="129">
        <f>VLOOKUP($C45,$AA$14:$AD$22,3,FALSE)</f>
        <v>0.151302280341511</v>
      </c>
      <c r="K45" s="129">
        <f>VLOOKUP($C45,$AA$14:$AD$22,4,FALSE)</f>
        <v>3.06593868122637</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2</v>
      </c>
      <c r="N45" s="61">
        <f>MIN($G$6:$G$31)</f>
        <v>0.151302280341511</v>
      </c>
      <c r="O45" s="61">
        <f>VLOOKUP(7,$E$5:$G$39,3,FALSE)</f>
        <v>1.87463386057411</v>
      </c>
      <c r="P45" s="129">
        <f>$G$32</f>
        <v>2.2549679381008301</v>
      </c>
      <c r="Q45" s="129">
        <f t="shared" ref="Q45:Q46" si="25">$H$32</f>
        <v>2.2012684724831799</v>
      </c>
      <c r="R45" s="129">
        <f t="shared" ref="R45:R46" si="26">$I$32</f>
        <v>2.3099464494131201</v>
      </c>
      <c r="S45" s="61">
        <f>VLOOKUP(20,$E$5:$G$39,3,FALSE)</f>
        <v>2.8996646171045302</v>
      </c>
      <c r="T45" s="61">
        <f t="shared" ref="T45:T46" si="27">MAX($G$6:$G$31)</f>
        <v>3.6466026587887699</v>
      </c>
    </row>
    <row r="46" spans="1:22" x14ac:dyDescent="0.2">
      <c r="C46" s="62" t="s">
        <v>200</v>
      </c>
      <c r="D46" s="62"/>
      <c r="E46" s="62"/>
      <c r="F46" s="128">
        <v>2268</v>
      </c>
      <c r="G46" s="129">
        <v>2.6314873472797524</v>
      </c>
      <c r="H46" s="129">
        <v>2.5267146533665374</v>
      </c>
      <c r="I46" s="129">
        <v>2.7404823967860468</v>
      </c>
      <c r="J46" s="129">
        <f>VLOOKUP($C46,$AA$23:$AD$31,3,FALSE)</f>
        <v>1.82663566921289</v>
      </c>
      <c r="K46" s="129">
        <f>VLOOKUP($C46,$AA$23:$AD$31,4,FALSE)</f>
        <v>3.42797225358929</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1</v>
      </c>
      <c r="N46" s="61">
        <f>MIN($G$6:$G$31)</f>
        <v>0.151302280341511</v>
      </c>
      <c r="O46" s="61">
        <f>VLOOKUP(7,$E$5:$G$39,3,FALSE)</f>
        <v>1.87463386057411</v>
      </c>
      <c r="P46" s="129">
        <f t="shared" ref="P46" si="28">$G$32</f>
        <v>2.2549679381008301</v>
      </c>
      <c r="Q46" s="129">
        <f t="shared" si="25"/>
        <v>2.2012684724831799</v>
      </c>
      <c r="R46" s="129">
        <f t="shared" si="26"/>
        <v>2.3099464494131201</v>
      </c>
      <c r="S46" s="61">
        <f>VLOOKUP(20,$E$5:$G$39,3,FALSE)</f>
        <v>2.8996646171045302</v>
      </c>
      <c r="T46" s="61">
        <f t="shared" si="27"/>
        <v>3.6466026587887699</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K2:N2" xr:uid="{00000000-0002-0000-1900-000000000000}">
      <formula1>"High = Worst,Low = Worst"</formula1>
    </dataValidation>
    <dataValidation type="list" allowBlank="1" showInputMessage="1" showErrorMessage="1" sqref="C2:D2" xr:uid="{00000000-0002-0000-1900-000001000000}">
      <formula1>"Better / Worse,Higher / Lower,Significance not measured"</formula1>
    </dataValidation>
  </dataValidations>
  <pageMargins left="0.75" right="0.75" top="1" bottom="1" header="0.5" footer="0.5"/>
  <pageSetup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2">
    <tabColor theme="6" tint="0.39997558519241921"/>
  </sheetPr>
  <dimension ref="A1:AK55"/>
  <sheetViews>
    <sheetView workbookViewId="0">
      <selection activeCell="A46" sqref="A46:XFD46"/>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8" width="7.33203125" style="21" customWidth="1"/>
    <col min="9" max="9" width="6.886718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5.554687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7</v>
      </c>
      <c r="F6" s="128">
        <v>878</v>
      </c>
      <c r="G6" s="129">
        <v>9.1677978490132599</v>
      </c>
      <c r="H6" s="129">
        <v>8.6061095652210806</v>
      </c>
      <c r="I6" s="129">
        <v>9.7622296499162093</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2</v>
      </c>
      <c r="N6" s="61">
        <f>MIN($G$6:$G$32)</f>
        <v>1.24824381281747</v>
      </c>
      <c r="O6" s="61">
        <f>VLOOKUP(7,$E$5:$G$39,3,FALSE)</f>
        <v>9.1677978490132599</v>
      </c>
      <c r="P6" s="129">
        <f>$G$32</f>
        <v>10.5262056773447</v>
      </c>
      <c r="Q6" s="129">
        <f>$H$32</f>
        <v>10.414415572461699</v>
      </c>
      <c r="R6" s="129">
        <f>$I$32</f>
        <v>10.6390532490362</v>
      </c>
      <c r="S6" s="61">
        <f>VLOOKUP(20,$E$5:$G$39,3,FALSE)</f>
        <v>12.7735135754382</v>
      </c>
      <c r="T6" s="61">
        <f t="shared" ref="T6:T31" si="1">MAX($G$6:$G$31)</f>
        <v>14.9874231414198</v>
      </c>
      <c r="U6" s="61">
        <f>VLOOKUP(C6,$C$43:$I$46,5,FALSE)</f>
        <v>6.9395620890347951</v>
      </c>
      <c r="V6" s="61"/>
      <c r="Y6" s="159" t="s">
        <v>33</v>
      </c>
      <c r="Z6" s="159" t="s">
        <v>58</v>
      </c>
      <c r="AA6" s="159" t="s">
        <v>163</v>
      </c>
      <c r="AB6" s="159">
        <f>RANK(AH6,$AH$6:$AH$13,1)</f>
        <v>1</v>
      </c>
      <c r="AC6" s="164">
        <f>MIN($AH$6:$AH$13)</f>
        <v>10.3359375</v>
      </c>
      <c r="AD6" s="164">
        <f>MAX($AH$6:$AH$13)</f>
        <v>14.9874231414198</v>
      </c>
      <c r="AE6" s="159"/>
      <c r="AF6" s="159">
        <f>VLOOKUP($Y6,$A$6:$I$31,5,FALSE)</f>
        <v>8</v>
      </c>
      <c r="AG6" s="160">
        <f>VLOOKUP($Y6,$A$6:$I$31,6,FALSE)</f>
        <v>1323</v>
      </c>
      <c r="AH6" s="161">
        <f>VLOOKUP($Y6,$A$6:$I$31,7,FALSE)</f>
        <v>10.3359375</v>
      </c>
      <c r="AI6" s="161">
        <f>VLOOKUP($Y6,$A$6:$I$31,8,FALSE)</f>
        <v>9.8203981601736103</v>
      </c>
      <c r="AJ6" s="161">
        <f>VLOOKUP($Y6,$A$6:$I$31,9,FALSE)</f>
        <v>10.8752771755686</v>
      </c>
      <c r="AK6" s="160">
        <f>VLOOKUP($Y6,$A$6:$M$31,13,FALSE)</f>
        <v>5</v>
      </c>
    </row>
    <row r="7" spans="1:37" x14ac:dyDescent="0.2">
      <c r="A7" s="62" t="s">
        <v>30</v>
      </c>
      <c r="B7" s="62" t="s">
        <v>56</v>
      </c>
      <c r="C7" s="62" t="s">
        <v>200</v>
      </c>
      <c r="D7" s="62"/>
      <c r="E7" s="62">
        <f t="shared" ref="E7:E31" si="2">RANK(G7,$G$6:$G$31,1)</f>
        <v>23</v>
      </c>
      <c r="F7" s="128">
        <v>1503</v>
      </c>
      <c r="G7" s="129">
        <v>13.3659404179635</v>
      </c>
      <c r="H7" s="129">
        <v>12.7494891611498</v>
      </c>
      <c r="I7" s="129">
        <v>14.0074126037031</v>
      </c>
      <c r="J7" s="129"/>
      <c r="K7" s="129"/>
      <c r="L7" s="129"/>
      <c r="M7" s="60">
        <f t="shared" si="0"/>
        <v>1</v>
      </c>
      <c r="N7" s="61">
        <f t="shared" ref="N7:N31" si="3">MIN($G$6:$G$32)</f>
        <v>1.24824381281747</v>
      </c>
      <c r="O7" s="61">
        <f>VLOOKUP(7,$E$5:$G$39,3,FALSE)</f>
        <v>9.1677978490132599</v>
      </c>
      <c r="P7" s="129">
        <f t="shared" ref="P7:P31" si="4">$G$32</f>
        <v>10.5262056773447</v>
      </c>
      <c r="Q7" s="129">
        <f t="shared" ref="Q7:Q31" si="5">$H$32</f>
        <v>10.414415572461699</v>
      </c>
      <c r="R7" s="129">
        <f t="shared" ref="R7:R31" si="6">$I$32</f>
        <v>10.6390532490362</v>
      </c>
      <c r="S7" s="61">
        <f t="shared" ref="S7:S31" si="7">VLOOKUP(20,$E$5:$G$39,3,FALSE)</f>
        <v>12.7735135754382</v>
      </c>
      <c r="T7" s="61">
        <f t="shared" si="1"/>
        <v>14.9874231414198</v>
      </c>
      <c r="U7" s="61">
        <f>VLOOKUP(C7,$C$43:$I$46,5,FALSE)</f>
        <v>12.243145718031721</v>
      </c>
      <c r="V7" s="61"/>
      <c r="Y7" s="159" t="s">
        <v>35</v>
      </c>
      <c r="Z7" s="159" t="s">
        <v>60</v>
      </c>
      <c r="AA7" s="159" t="s">
        <v>163</v>
      </c>
      <c r="AB7" s="159">
        <f t="shared" ref="AB7:AB12" si="8">RANK(AH7,$AH$6:$AH$13,1)</f>
        <v>8</v>
      </c>
      <c r="AC7" s="164">
        <f>MIN($AH$6:$AH$13)</f>
        <v>10.3359375</v>
      </c>
      <c r="AD7" s="164">
        <f t="shared" ref="AD7:AD13" si="9">MAX($AH$6:$AH$13)</f>
        <v>14.9874231414198</v>
      </c>
      <c r="AE7" s="159"/>
      <c r="AF7" s="159">
        <f t="shared" ref="AF7:AF31" si="10">VLOOKUP($Y7,$A$6:$I$31,5,FALSE)</f>
        <v>26</v>
      </c>
      <c r="AG7" s="160">
        <f t="shared" ref="AG7:AG31" si="11">VLOOKUP($Y7,$A$6:$I$31,6,FALSE)</f>
        <v>2145</v>
      </c>
      <c r="AH7" s="161">
        <f t="shared" ref="AH7:AH31" si="12">VLOOKUP($Y7,$A$6:$I$31,7,FALSE)</f>
        <v>14.9874231414198</v>
      </c>
      <c r="AI7" s="161">
        <f t="shared" ref="AI7:AI31" si="13">VLOOKUP($Y7,$A$6:$I$31,8,FALSE)</f>
        <v>14.4120271484773</v>
      </c>
      <c r="AJ7" s="161">
        <f t="shared" ref="AJ7:AJ31" si="14">VLOOKUP($Y7,$A$6:$I$31,9,FALSE)</f>
        <v>15.581609419599101</v>
      </c>
      <c r="AK7" s="160">
        <f t="shared" ref="AK7:AK31" si="15">VLOOKUP($Y7,$A$6:$M$31,13,FALSE)</f>
        <v>1</v>
      </c>
    </row>
    <row r="8" spans="1:37" x14ac:dyDescent="0.2">
      <c r="A8" s="62" t="s">
        <v>31</v>
      </c>
      <c r="B8" s="62" t="s">
        <v>57</v>
      </c>
      <c r="C8" s="62" t="s">
        <v>200</v>
      </c>
      <c r="D8" s="62"/>
      <c r="E8" s="62">
        <f t="shared" si="2"/>
        <v>24</v>
      </c>
      <c r="F8" s="128">
        <v>1746</v>
      </c>
      <c r="G8" s="129">
        <v>14.082916599451501</v>
      </c>
      <c r="H8" s="129">
        <v>13.481743981643399</v>
      </c>
      <c r="I8" s="129">
        <v>14.7063397834035</v>
      </c>
      <c r="J8" s="129"/>
      <c r="K8" s="129"/>
      <c r="L8" s="129"/>
      <c r="M8" s="60">
        <f t="shared" si="0"/>
        <v>1</v>
      </c>
      <c r="N8" s="61">
        <f t="shared" si="3"/>
        <v>1.24824381281747</v>
      </c>
      <c r="O8" s="61">
        <f t="shared" ref="O8:O31" si="16">VLOOKUP(7,$E$5:$G$39,3,FALSE)</f>
        <v>9.1677978490132599</v>
      </c>
      <c r="P8" s="129">
        <f t="shared" si="4"/>
        <v>10.5262056773447</v>
      </c>
      <c r="Q8" s="129">
        <f t="shared" si="5"/>
        <v>10.414415572461699</v>
      </c>
      <c r="R8" s="129">
        <f t="shared" si="6"/>
        <v>10.6390532490362</v>
      </c>
      <c r="S8" s="61">
        <f t="shared" si="7"/>
        <v>12.7735135754382</v>
      </c>
      <c r="T8" s="61">
        <f t="shared" si="1"/>
        <v>14.9874231414198</v>
      </c>
      <c r="U8" s="61">
        <f t="shared" ref="U8:U31" si="17">VLOOKUP(C8,$C$43:$I$46,5,FALSE)</f>
        <v>12.243145718031721</v>
      </c>
      <c r="V8" s="61"/>
      <c r="Y8" s="159" t="s">
        <v>41</v>
      </c>
      <c r="Z8" s="159" t="s">
        <v>64</v>
      </c>
      <c r="AA8" s="159" t="s">
        <v>163</v>
      </c>
      <c r="AB8" s="159">
        <f t="shared" si="8"/>
        <v>6</v>
      </c>
      <c r="AC8" s="164">
        <f t="shared" ref="AC8:AC13" si="18">MIN($AH$6:$AH$13)</f>
        <v>10.3359375</v>
      </c>
      <c r="AD8" s="164">
        <f>MAX($AH$6:$AH$13)</f>
        <v>14.9874231414198</v>
      </c>
      <c r="AE8" s="159"/>
      <c r="AF8" s="159">
        <f t="shared" si="10"/>
        <v>22</v>
      </c>
      <c r="AG8" s="160">
        <f t="shared" si="11"/>
        <v>1429</v>
      </c>
      <c r="AH8" s="161">
        <f t="shared" si="12"/>
        <v>13.192392909896601</v>
      </c>
      <c r="AI8" s="161">
        <f t="shared" si="13"/>
        <v>12.568134998463</v>
      </c>
      <c r="AJ8" s="161">
        <f t="shared" si="14"/>
        <v>13.842748454349699</v>
      </c>
      <c r="AK8" s="160">
        <f t="shared" si="15"/>
        <v>1</v>
      </c>
    </row>
    <row r="9" spans="1:37" x14ac:dyDescent="0.2">
      <c r="A9" s="62" t="s">
        <v>32</v>
      </c>
      <c r="B9" s="62" t="s">
        <v>156</v>
      </c>
      <c r="C9" s="62" t="s">
        <v>201</v>
      </c>
      <c r="D9" s="62"/>
      <c r="E9" s="62">
        <f t="shared" si="2"/>
        <v>5</v>
      </c>
      <c r="F9" s="128">
        <v>1400</v>
      </c>
      <c r="G9" s="129">
        <v>8.0733521711550704</v>
      </c>
      <c r="H9" s="129">
        <v>7.6771065200636199</v>
      </c>
      <c r="I9" s="129">
        <v>8.4881692795304104</v>
      </c>
      <c r="J9" s="129"/>
      <c r="K9" s="129"/>
      <c r="L9" s="129"/>
      <c r="M9" s="60">
        <f t="shared" si="0"/>
        <v>2</v>
      </c>
      <c r="N9" s="61">
        <f t="shared" si="3"/>
        <v>1.24824381281747</v>
      </c>
      <c r="O9" s="61">
        <f t="shared" si="16"/>
        <v>9.1677978490132599</v>
      </c>
      <c r="P9" s="129">
        <f t="shared" si="4"/>
        <v>10.5262056773447</v>
      </c>
      <c r="Q9" s="129">
        <f t="shared" si="5"/>
        <v>10.414415572461699</v>
      </c>
      <c r="R9" s="129">
        <f t="shared" si="6"/>
        <v>10.6390532490362</v>
      </c>
      <c r="S9" s="61">
        <f t="shared" si="7"/>
        <v>12.7735135754382</v>
      </c>
      <c r="T9" s="61">
        <f t="shared" si="1"/>
        <v>14.9874231414198</v>
      </c>
      <c r="U9" s="61">
        <f t="shared" si="17"/>
        <v>6.9395620890347951</v>
      </c>
      <c r="V9" s="61"/>
      <c r="X9" s="63"/>
      <c r="Y9" s="159" t="s">
        <v>45</v>
      </c>
      <c r="Z9" s="159" t="s">
        <v>67</v>
      </c>
      <c r="AA9" s="159" t="s">
        <v>163</v>
      </c>
      <c r="AB9" s="159">
        <f t="shared" si="8"/>
        <v>5</v>
      </c>
      <c r="AC9" s="164">
        <f t="shared" si="18"/>
        <v>10.3359375</v>
      </c>
      <c r="AD9" s="164">
        <f t="shared" si="9"/>
        <v>14.9874231414198</v>
      </c>
      <c r="AE9" s="159"/>
      <c r="AF9" s="159">
        <f t="shared" si="10"/>
        <v>20</v>
      </c>
      <c r="AG9" s="160">
        <f t="shared" si="11"/>
        <v>1115</v>
      </c>
      <c r="AH9" s="161">
        <f t="shared" si="12"/>
        <v>12.7735135754382</v>
      </c>
      <c r="AI9" s="161">
        <f t="shared" si="13"/>
        <v>12.089614275089501</v>
      </c>
      <c r="AJ9" s="161">
        <f t="shared" si="14"/>
        <v>13.4901637313506</v>
      </c>
      <c r="AK9" s="160">
        <f t="shared" si="15"/>
        <v>1</v>
      </c>
    </row>
    <row r="10" spans="1:37" x14ac:dyDescent="0.2">
      <c r="A10" s="62" t="s">
        <v>33</v>
      </c>
      <c r="B10" s="62" t="s">
        <v>58</v>
      </c>
      <c r="C10" s="62" t="s">
        <v>163</v>
      </c>
      <c r="D10" s="62"/>
      <c r="E10" s="62">
        <f t="shared" si="2"/>
        <v>8</v>
      </c>
      <c r="F10" s="128">
        <v>1323</v>
      </c>
      <c r="G10" s="129">
        <v>10.3359375</v>
      </c>
      <c r="H10" s="129">
        <v>9.8203981601736103</v>
      </c>
      <c r="I10" s="129">
        <v>10.8752771755686</v>
      </c>
      <c r="J10" s="129"/>
      <c r="K10" s="129"/>
      <c r="L10" s="129"/>
      <c r="M10" s="60">
        <f t="shared" si="0"/>
        <v>5</v>
      </c>
      <c r="N10" s="61">
        <f t="shared" si="3"/>
        <v>1.24824381281747</v>
      </c>
      <c r="O10" s="61">
        <f t="shared" si="16"/>
        <v>9.1677978490132599</v>
      </c>
      <c r="P10" s="129">
        <f t="shared" si="4"/>
        <v>10.5262056773447</v>
      </c>
      <c r="Q10" s="129">
        <f t="shared" si="5"/>
        <v>10.414415572461699</v>
      </c>
      <c r="R10" s="129">
        <f t="shared" si="6"/>
        <v>10.6390532490362</v>
      </c>
      <c r="S10" s="61">
        <f t="shared" si="7"/>
        <v>12.7735135754382</v>
      </c>
      <c r="T10" s="61">
        <f t="shared" si="1"/>
        <v>14.9874231414198</v>
      </c>
      <c r="U10" s="61">
        <f t="shared" si="17"/>
        <v>12.810897995664636</v>
      </c>
      <c r="V10" s="61"/>
      <c r="Y10" s="159" t="s">
        <v>46</v>
      </c>
      <c r="Z10" s="159" t="s">
        <v>68</v>
      </c>
      <c r="AA10" s="159" t="s">
        <v>163</v>
      </c>
      <c r="AB10" s="159">
        <f t="shared" si="8"/>
        <v>7</v>
      </c>
      <c r="AC10" s="164">
        <f t="shared" si="18"/>
        <v>10.3359375</v>
      </c>
      <c r="AD10" s="164">
        <f t="shared" si="9"/>
        <v>14.9874231414198</v>
      </c>
      <c r="AE10" s="159"/>
      <c r="AF10" s="159">
        <f t="shared" si="10"/>
        <v>25</v>
      </c>
      <c r="AG10" s="160">
        <f t="shared" si="11"/>
        <v>1624</v>
      </c>
      <c r="AH10" s="161">
        <f t="shared" si="12"/>
        <v>14.862267777066</v>
      </c>
      <c r="AI10" s="161">
        <f t="shared" si="13"/>
        <v>14.207657052105301</v>
      </c>
      <c r="AJ10" s="161">
        <f t="shared" si="14"/>
        <v>15.541575621986899</v>
      </c>
      <c r="AK10" s="160">
        <f t="shared" si="15"/>
        <v>1</v>
      </c>
    </row>
    <row r="11" spans="1:37" x14ac:dyDescent="0.2">
      <c r="A11" s="62" t="s">
        <v>34</v>
      </c>
      <c r="B11" s="62" t="s">
        <v>59</v>
      </c>
      <c r="C11" s="62" t="s">
        <v>200</v>
      </c>
      <c r="D11" s="62"/>
      <c r="E11" s="62">
        <f t="shared" si="2"/>
        <v>18</v>
      </c>
      <c r="F11" s="128">
        <v>1958</v>
      </c>
      <c r="G11" s="129">
        <v>12.6903882299566</v>
      </c>
      <c r="H11" s="129">
        <v>12.174430624996001</v>
      </c>
      <c r="I11" s="129">
        <v>13.2249196455291</v>
      </c>
      <c r="J11" s="129"/>
      <c r="K11" s="129"/>
      <c r="L11" s="129"/>
      <c r="M11" s="60">
        <f t="shared" si="0"/>
        <v>1</v>
      </c>
      <c r="N11" s="61">
        <f t="shared" si="3"/>
        <v>1.24824381281747</v>
      </c>
      <c r="O11" s="61">
        <f t="shared" si="16"/>
        <v>9.1677978490132599</v>
      </c>
      <c r="P11" s="129">
        <f t="shared" si="4"/>
        <v>10.5262056773447</v>
      </c>
      <c r="Q11" s="129">
        <f t="shared" si="5"/>
        <v>10.414415572461699</v>
      </c>
      <c r="R11" s="129">
        <f t="shared" si="6"/>
        <v>10.6390532490362</v>
      </c>
      <c r="S11" s="61">
        <f t="shared" si="7"/>
        <v>12.7735135754382</v>
      </c>
      <c r="T11" s="61">
        <f t="shared" si="1"/>
        <v>14.9874231414198</v>
      </c>
      <c r="U11" s="61">
        <f t="shared" si="17"/>
        <v>12.243145718031721</v>
      </c>
      <c r="V11" s="61"/>
      <c r="Y11" s="159" t="s">
        <v>47</v>
      </c>
      <c r="Z11" s="159" t="s">
        <v>69</v>
      </c>
      <c r="AA11" s="159" t="s">
        <v>163</v>
      </c>
      <c r="AB11" s="159">
        <f t="shared" si="8"/>
        <v>2</v>
      </c>
      <c r="AC11" s="164">
        <f t="shared" si="18"/>
        <v>10.3359375</v>
      </c>
      <c r="AD11" s="164">
        <f t="shared" si="9"/>
        <v>14.9874231414198</v>
      </c>
      <c r="AE11" s="159"/>
      <c r="AF11" s="159">
        <f t="shared" si="10"/>
        <v>14</v>
      </c>
      <c r="AG11" s="160">
        <f t="shared" si="11"/>
        <v>662</v>
      </c>
      <c r="AH11" s="161">
        <f t="shared" si="12"/>
        <v>12.021064100236099</v>
      </c>
      <c r="AI11" s="161">
        <f t="shared" si="13"/>
        <v>11.1885122388897</v>
      </c>
      <c r="AJ11" s="161">
        <f t="shared" si="14"/>
        <v>12.9065641435988</v>
      </c>
      <c r="AK11" s="160">
        <f t="shared" si="15"/>
        <v>1</v>
      </c>
    </row>
    <row r="12" spans="1:37" x14ac:dyDescent="0.2">
      <c r="A12" s="62" t="s">
        <v>35</v>
      </c>
      <c r="B12" s="62" t="s">
        <v>60</v>
      </c>
      <c r="C12" s="62" t="s">
        <v>163</v>
      </c>
      <c r="D12" s="62"/>
      <c r="E12" s="62">
        <f t="shared" si="2"/>
        <v>26</v>
      </c>
      <c r="F12" s="128">
        <v>2145</v>
      </c>
      <c r="G12" s="129">
        <v>14.9874231414198</v>
      </c>
      <c r="H12" s="129">
        <v>14.4120271484773</v>
      </c>
      <c r="I12" s="129">
        <v>15.581609419599101</v>
      </c>
      <c r="J12" s="129"/>
      <c r="K12" s="129"/>
      <c r="L12" s="129"/>
      <c r="M12" s="60">
        <f t="shared" si="0"/>
        <v>1</v>
      </c>
      <c r="N12" s="61">
        <f t="shared" si="3"/>
        <v>1.24824381281747</v>
      </c>
      <c r="O12" s="61">
        <f t="shared" si="16"/>
        <v>9.1677978490132599</v>
      </c>
      <c r="P12" s="129">
        <f t="shared" si="4"/>
        <v>10.5262056773447</v>
      </c>
      <c r="Q12" s="129">
        <f t="shared" si="5"/>
        <v>10.414415572461699</v>
      </c>
      <c r="R12" s="129">
        <f t="shared" si="6"/>
        <v>10.6390532490362</v>
      </c>
      <c r="S12" s="61">
        <f t="shared" si="7"/>
        <v>12.7735135754382</v>
      </c>
      <c r="T12" s="61">
        <f t="shared" si="1"/>
        <v>14.9874231414198</v>
      </c>
      <c r="U12" s="61">
        <f t="shared" si="17"/>
        <v>12.810897995664636</v>
      </c>
      <c r="V12" s="61"/>
      <c r="Y12" s="159" t="s">
        <v>50</v>
      </c>
      <c r="Z12" s="159" t="s">
        <v>161</v>
      </c>
      <c r="AA12" s="159" t="s">
        <v>163</v>
      </c>
      <c r="AB12" s="159">
        <f t="shared" si="8"/>
        <v>4</v>
      </c>
      <c r="AC12" s="164">
        <f t="shared" si="18"/>
        <v>10.3359375</v>
      </c>
      <c r="AD12" s="164">
        <f t="shared" si="9"/>
        <v>14.9874231414198</v>
      </c>
      <c r="AE12" s="159"/>
      <c r="AF12" s="159">
        <f t="shared" si="10"/>
        <v>17</v>
      </c>
      <c r="AG12" s="160">
        <f t="shared" si="11"/>
        <v>704</v>
      </c>
      <c r="AH12" s="161">
        <f t="shared" si="12"/>
        <v>12.495562655307101</v>
      </c>
      <c r="AI12" s="161">
        <f t="shared" si="13"/>
        <v>11.6575921843685</v>
      </c>
      <c r="AJ12" s="161">
        <f t="shared" si="14"/>
        <v>13.384641960257801</v>
      </c>
      <c r="AK12" s="160">
        <f t="shared" si="15"/>
        <v>1</v>
      </c>
    </row>
    <row r="13" spans="1:37" x14ac:dyDescent="0.2">
      <c r="A13" s="62" t="s">
        <v>36</v>
      </c>
      <c r="B13" s="62" t="s">
        <v>61</v>
      </c>
      <c r="C13" s="62" t="s">
        <v>201</v>
      </c>
      <c r="D13" s="62"/>
      <c r="E13" s="62">
        <f t="shared" si="2"/>
        <v>1</v>
      </c>
      <c r="F13" s="128">
        <v>231</v>
      </c>
      <c r="G13" s="129">
        <v>1.24824381281747</v>
      </c>
      <c r="H13" s="129">
        <v>1.0980975275718501</v>
      </c>
      <c r="I13" s="129">
        <v>1.4186255889230299</v>
      </c>
      <c r="J13" s="129"/>
      <c r="K13" s="129"/>
      <c r="L13" s="129"/>
      <c r="M13" s="60">
        <f t="shared" si="0"/>
        <v>2</v>
      </c>
      <c r="N13" s="61">
        <f t="shared" si="3"/>
        <v>1.24824381281747</v>
      </c>
      <c r="O13" s="61">
        <f t="shared" si="16"/>
        <v>9.1677978490132599</v>
      </c>
      <c r="P13" s="129">
        <f t="shared" si="4"/>
        <v>10.5262056773447</v>
      </c>
      <c r="Q13" s="129">
        <f t="shared" si="5"/>
        <v>10.414415572461699</v>
      </c>
      <c r="R13" s="129">
        <f t="shared" si="6"/>
        <v>10.6390532490362</v>
      </c>
      <c r="S13" s="61">
        <f t="shared" si="7"/>
        <v>12.7735135754382</v>
      </c>
      <c r="T13" s="61">
        <f t="shared" si="1"/>
        <v>14.9874231414198</v>
      </c>
      <c r="U13" s="61">
        <f t="shared" si="17"/>
        <v>6.9395620890347951</v>
      </c>
      <c r="V13" s="61"/>
      <c r="Y13" s="159" t="s">
        <v>53</v>
      </c>
      <c r="Z13" s="159" t="s">
        <v>162</v>
      </c>
      <c r="AA13" s="159" t="s">
        <v>163</v>
      </c>
      <c r="AB13" s="159">
        <f>RANK(AH13,$AH$6:$AH$13,1)</f>
        <v>3</v>
      </c>
      <c r="AC13" s="164">
        <f t="shared" si="18"/>
        <v>10.3359375</v>
      </c>
      <c r="AD13" s="164">
        <f t="shared" si="9"/>
        <v>14.9874231414198</v>
      </c>
      <c r="AE13" s="159"/>
      <c r="AF13" s="159">
        <f t="shared" si="10"/>
        <v>15</v>
      </c>
      <c r="AG13" s="160">
        <f t="shared" si="11"/>
        <v>3468</v>
      </c>
      <c r="AH13" s="161">
        <f t="shared" si="12"/>
        <v>12.126722148401999</v>
      </c>
      <c r="AI13" s="161">
        <f t="shared" si="13"/>
        <v>11.753461679719299</v>
      </c>
      <c r="AJ13" s="161">
        <f t="shared" si="14"/>
        <v>12.510155992633299</v>
      </c>
      <c r="AK13" s="160">
        <f t="shared" si="15"/>
        <v>1</v>
      </c>
    </row>
    <row r="14" spans="1:37" x14ac:dyDescent="0.2">
      <c r="A14" s="62" t="s">
        <v>37</v>
      </c>
      <c r="B14" s="62" t="s">
        <v>157</v>
      </c>
      <c r="C14" s="62" t="s">
        <v>201</v>
      </c>
      <c r="D14" s="62"/>
      <c r="E14" s="62">
        <f t="shared" si="2"/>
        <v>3</v>
      </c>
      <c r="F14" s="128">
        <v>1334</v>
      </c>
      <c r="G14" s="129">
        <v>5.5472388556220897</v>
      </c>
      <c r="H14" s="129">
        <v>5.2649706999467103</v>
      </c>
      <c r="I14" s="129">
        <v>5.8437066268815503</v>
      </c>
      <c r="J14" s="129"/>
      <c r="K14" s="129"/>
      <c r="L14" s="129"/>
      <c r="M14" s="60">
        <f t="shared" si="0"/>
        <v>2</v>
      </c>
      <c r="N14" s="61">
        <f t="shared" si="3"/>
        <v>1.24824381281747</v>
      </c>
      <c r="O14" s="61">
        <f t="shared" si="16"/>
        <v>9.1677978490132599</v>
      </c>
      <c r="P14" s="129">
        <f t="shared" si="4"/>
        <v>10.5262056773447</v>
      </c>
      <c r="Q14" s="129">
        <f t="shared" si="5"/>
        <v>10.414415572461699</v>
      </c>
      <c r="R14" s="129">
        <f t="shared" si="6"/>
        <v>10.6390532490362</v>
      </c>
      <c r="S14" s="61">
        <f t="shared" si="7"/>
        <v>12.7735135754382</v>
      </c>
      <c r="T14" s="61">
        <f t="shared" si="1"/>
        <v>14.9874231414198</v>
      </c>
      <c r="U14" s="61">
        <f t="shared" si="17"/>
        <v>6.9395620890347951</v>
      </c>
      <c r="V14" s="61"/>
      <c r="Y14" s="162" t="s">
        <v>29</v>
      </c>
      <c r="Z14" s="162" t="s">
        <v>55</v>
      </c>
      <c r="AA14" s="162" t="s">
        <v>201</v>
      </c>
      <c r="AB14" s="162">
        <f>RANK(AH14,$AH$14:$AH$22,1)</f>
        <v>6</v>
      </c>
      <c r="AC14" s="165">
        <f t="shared" ref="AC14:AC22" si="19">MIN($AH$14:$AH$22)</f>
        <v>1.24824381281747</v>
      </c>
      <c r="AD14" s="165">
        <f>MAX($AH$14:$AH$22)</f>
        <v>12.7537449251015</v>
      </c>
      <c r="AE14" s="162"/>
      <c r="AF14" s="162">
        <f t="shared" si="10"/>
        <v>7</v>
      </c>
      <c r="AG14" s="167">
        <f t="shared" si="11"/>
        <v>878</v>
      </c>
      <c r="AH14" s="165">
        <f t="shared" si="12"/>
        <v>9.1677978490132599</v>
      </c>
      <c r="AI14" s="165">
        <f t="shared" si="13"/>
        <v>8.6061095652210806</v>
      </c>
      <c r="AJ14" s="165">
        <f t="shared" si="14"/>
        <v>9.7622296499162093</v>
      </c>
      <c r="AK14" s="167">
        <f t="shared" si="15"/>
        <v>2</v>
      </c>
    </row>
    <row r="15" spans="1:37" x14ac:dyDescent="0.2">
      <c r="A15" s="62" t="s">
        <v>38</v>
      </c>
      <c r="B15" s="62" t="s">
        <v>62</v>
      </c>
      <c r="C15" s="62" t="s">
        <v>201</v>
      </c>
      <c r="D15" s="62"/>
      <c r="E15" s="62">
        <f t="shared" si="2"/>
        <v>19</v>
      </c>
      <c r="F15" s="128">
        <v>911</v>
      </c>
      <c r="G15" s="129">
        <v>12.7537449251015</v>
      </c>
      <c r="H15" s="129">
        <v>12.0001430664922</v>
      </c>
      <c r="I15" s="129">
        <v>13.5473868366264</v>
      </c>
      <c r="J15" s="129"/>
      <c r="K15" s="129"/>
      <c r="L15" s="129"/>
      <c r="M15" s="60">
        <f t="shared" si="0"/>
        <v>1</v>
      </c>
      <c r="N15" s="61">
        <f t="shared" si="3"/>
        <v>1.24824381281747</v>
      </c>
      <c r="O15" s="61">
        <f t="shared" si="16"/>
        <v>9.1677978490132599</v>
      </c>
      <c r="P15" s="129">
        <f t="shared" si="4"/>
        <v>10.5262056773447</v>
      </c>
      <c r="Q15" s="129">
        <f t="shared" si="5"/>
        <v>10.414415572461699</v>
      </c>
      <c r="R15" s="129">
        <f t="shared" si="6"/>
        <v>10.6390532490362</v>
      </c>
      <c r="S15" s="61">
        <f t="shared" si="7"/>
        <v>12.7735135754382</v>
      </c>
      <c r="T15" s="61">
        <f t="shared" si="1"/>
        <v>14.9874231414198</v>
      </c>
      <c r="U15" s="61">
        <f t="shared" si="17"/>
        <v>6.9395620890347951</v>
      </c>
      <c r="V15" s="61"/>
      <c r="Y15" s="162" t="s">
        <v>32</v>
      </c>
      <c r="Z15" s="162" t="s">
        <v>156</v>
      </c>
      <c r="AA15" s="162" t="s">
        <v>201</v>
      </c>
      <c r="AB15" s="162">
        <f>RANK(AH15,$AH$14:$AH$22,1)</f>
        <v>5</v>
      </c>
      <c r="AC15" s="165">
        <f t="shared" si="19"/>
        <v>1.24824381281747</v>
      </c>
      <c r="AD15" s="165">
        <f t="shared" ref="AD15:AD22" si="20">MAX($AH$14:$AH$22)</f>
        <v>12.7537449251015</v>
      </c>
      <c r="AE15" s="162"/>
      <c r="AF15" s="162">
        <f t="shared" si="10"/>
        <v>5</v>
      </c>
      <c r="AG15" s="167">
        <f t="shared" si="11"/>
        <v>1400</v>
      </c>
      <c r="AH15" s="165">
        <f t="shared" si="12"/>
        <v>8.0733521711550704</v>
      </c>
      <c r="AI15" s="165">
        <f t="shared" si="13"/>
        <v>7.6771065200636199</v>
      </c>
      <c r="AJ15" s="165">
        <f t="shared" si="14"/>
        <v>8.4881692795304104</v>
      </c>
      <c r="AK15" s="167">
        <f t="shared" si="15"/>
        <v>2</v>
      </c>
    </row>
    <row r="16" spans="1:37" x14ac:dyDescent="0.2">
      <c r="A16" s="62" t="s">
        <v>39</v>
      </c>
      <c r="B16" s="62" t="s">
        <v>158</v>
      </c>
      <c r="C16" s="62" t="s">
        <v>200</v>
      </c>
      <c r="D16" s="62"/>
      <c r="E16" s="62">
        <f t="shared" si="2"/>
        <v>13</v>
      </c>
      <c r="F16" s="128">
        <v>1780</v>
      </c>
      <c r="G16" s="129">
        <v>11.842192801543501</v>
      </c>
      <c r="H16" s="129">
        <v>11.335380231369999</v>
      </c>
      <c r="I16" s="129">
        <v>12.3685042996494</v>
      </c>
      <c r="J16" s="129"/>
      <c r="K16" s="129"/>
      <c r="L16" s="129"/>
      <c r="M16" s="60">
        <f t="shared" si="0"/>
        <v>1</v>
      </c>
      <c r="N16" s="61">
        <f t="shared" si="3"/>
        <v>1.24824381281747</v>
      </c>
      <c r="O16" s="61">
        <f t="shared" si="16"/>
        <v>9.1677978490132599</v>
      </c>
      <c r="P16" s="129">
        <f t="shared" si="4"/>
        <v>10.5262056773447</v>
      </c>
      <c r="Q16" s="129">
        <f t="shared" si="5"/>
        <v>10.414415572461699</v>
      </c>
      <c r="R16" s="129">
        <f t="shared" si="6"/>
        <v>10.6390532490362</v>
      </c>
      <c r="S16" s="61">
        <f t="shared" si="7"/>
        <v>12.7735135754382</v>
      </c>
      <c r="T16" s="61">
        <f t="shared" si="1"/>
        <v>14.9874231414198</v>
      </c>
      <c r="U16" s="61">
        <f t="shared" si="17"/>
        <v>12.243145718031721</v>
      </c>
      <c r="V16" s="61"/>
      <c r="Y16" s="162" t="s">
        <v>36</v>
      </c>
      <c r="Z16" s="162" t="s">
        <v>61</v>
      </c>
      <c r="AA16" s="162" t="s">
        <v>201</v>
      </c>
      <c r="AB16" s="162">
        <f>RANK(AH16,$AH$14:$AH$22,1)</f>
        <v>1</v>
      </c>
      <c r="AC16" s="165">
        <f t="shared" si="19"/>
        <v>1.24824381281747</v>
      </c>
      <c r="AD16" s="165">
        <f t="shared" si="20"/>
        <v>12.7537449251015</v>
      </c>
      <c r="AE16" s="162"/>
      <c r="AF16" s="162">
        <f t="shared" si="10"/>
        <v>1</v>
      </c>
      <c r="AG16" s="167">
        <f t="shared" si="11"/>
        <v>231</v>
      </c>
      <c r="AH16" s="165">
        <f t="shared" si="12"/>
        <v>1.24824381281747</v>
      </c>
      <c r="AI16" s="165">
        <f t="shared" si="13"/>
        <v>1.0980975275718501</v>
      </c>
      <c r="AJ16" s="165">
        <f t="shared" si="14"/>
        <v>1.4186255889230299</v>
      </c>
      <c r="AK16" s="167">
        <f t="shared" si="15"/>
        <v>2</v>
      </c>
    </row>
    <row r="17" spans="1:37" x14ac:dyDescent="0.2">
      <c r="A17" s="62" t="s">
        <v>40</v>
      </c>
      <c r="B17" s="62" t="s">
        <v>63</v>
      </c>
      <c r="C17" s="62" t="s">
        <v>200</v>
      </c>
      <c r="D17" s="62"/>
      <c r="E17" s="62">
        <f t="shared" si="2"/>
        <v>21</v>
      </c>
      <c r="F17" s="128">
        <v>1072</v>
      </c>
      <c r="G17" s="129">
        <v>13.1099425217072</v>
      </c>
      <c r="H17" s="129">
        <v>12.395694173236899</v>
      </c>
      <c r="I17" s="129">
        <v>13.858835628277101</v>
      </c>
      <c r="J17" s="129"/>
      <c r="K17" s="129"/>
      <c r="L17" s="129"/>
      <c r="M17" s="60">
        <f t="shared" si="0"/>
        <v>1</v>
      </c>
      <c r="N17" s="61">
        <f t="shared" si="3"/>
        <v>1.24824381281747</v>
      </c>
      <c r="O17" s="61">
        <f t="shared" si="16"/>
        <v>9.1677978490132599</v>
      </c>
      <c r="P17" s="129">
        <f t="shared" si="4"/>
        <v>10.5262056773447</v>
      </c>
      <c r="Q17" s="129">
        <f t="shared" si="5"/>
        <v>10.414415572461699</v>
      </c>
      <c r="R17" s="129">
        <f t="shared" si="6"/>
        <v>10.6390532490362</v>
      </c>
      <c r="S17" s="61">
        <f t="shared" si="7"/>
        <v>12.7735135754382</v>
      </c>
      <c r="T17" s="61">
        <f t="shared" si="1"/>
        <v>14.9874231414198</v>
      </c>
      <c r="U17" s="61">
        <f t="shared" si="17"/>
        <v>12.243145718031721</v>
      </c>
      <c r="V17" s="61"/>
      <c r="Y17" s="162" t="s">
        <v>37</v>
      </c>
      <c r="Z17" s="162" t="s">
        <v>157</v>
      </c>
      <c r="AA17" s="162" t="s">
        <v>201</v>
      </c>
      <c r="AB17" s="162">
        <f t="shared" ref="AB17:AB22" si="21">RANK(AH17,$AH$14:$AH$22,1)</f>
        <v>3</v>
      </c>
      <c r="AC17" s="165">
        <f t="shared" si="19"/>
        <v>1.24824381281747</v>
      </c>
      <c r="AD17" s="165">
        <f>MAX($AH$14:$AH$22)</f>
        <v>12.7537449251015</v>
      </c>
      <c r="AE17" s="162"/>
      <c r="AF17" s="162">
        <f t="shared" si="10"/>
        <v>3</v>
      </c>
      <c r="AG17" s="167">
        <f t="shared" si="11"/>
        <v>1334</v>
      </c>
      <c r="AH17" s="165">
        <f t="shared" si="12"/>
        <v>5.5472388556220897</v>
      </c>
      <c r="AI17" s="165">
        <f t="shared" si="13"/>
        <v>5.2649706999467103</v>
      </c>
      <c r="AJ17" s="165">
        <f t="shared" si="14"/>
        <v>5.8437066268815503</v>
      </c>
      <c r="AK17" s="167">
        <f t="shared" si="15"/>
        <v>2</v>
      </c>
    </row>
    <row r="18" spans="1:37" x14ac:dyDescent="0.2">
      <c r="A18" s="62" t="s">
        <v>41</v>
      </c>
      <c r="B18" s="62" t="s">
        <v>64</v>
      </c>
      <c r="C18" s="62" t="s">
        <v>163</v>
      </c>
      <c r="D18" s="62"/>
      <c r="E18" s="62">
        <f t="shared" si="2"/>
        <v>22</v>
      </c>
      <c r="F18" s="128">
        <v>1429</v>
      </c>
      <c r="G18" s="129">
        <v>13.192392909896601</v>
      </c>
      <c r="H18" s="129">
        <v>12.568134998463</v>
      </c>
      <c r="I18" s="129">
        <v>13.842748454349699</v>
      </c>
      <c r="J18" s="129"/>
      <c r="K18" s="129"/>
      <c r="L18" s="129"/>
      <c r="M18" s="60">
        <f t="shared" si="0"/>
        <v>1</v>
      </c>
      <c r="N18" s="61">
        <f t="shared" si="3"/>
        <v>1.24824381281747</v>
      </c>
      <c r="O18" s="61">
        <f t="shared" si="16"/>
        <v>9.1677978490132599</v>
      </c>
      <c r="P18" s="129">
        <f t="shared" si="4"/>
        <v>10.5262056773447</v>
      </c>
      <c r="Q18" s="129">
        <f t="shared" si="5"/>
        <v>10.414415572461699</v>
      </c>
      <c r="R18" s="129">
        <f t="shared" si="6"/>
        <v>10.6390532490362</v>
      </c>
      <c r="S18" s="61">
        <f t="shared" si="7"/>
        <v>12.7735135754382</v>
      </c>
      <c r="T18" s="61">
        <f t="shared" si="1"/>
        <v>14.9874231414198</v>
      </c>
      <c r="U18" s="61">
        <f t="shared" si="17"/>
        <v>12.810897995664636</v>
      </c>
      <c r="V18" s="61"/>
      <c r="Y18" s="162" t="s">
        <v>38</v>
      </c>
      <c r="Z18" s="162" t="s">
        <v>62</v>
      </c>
      <c r="AA18" s="162" t="s">
        <v>201</v>
      </c>
      <c r="AB18" s="162">
        <f t="shared" si="21"/>
        <v>9</v>
      </c>
      <c r="AC18" s="165">
        <f t="shared" si="19"/>
        <v>1.24824381281747</v>
      </c>
      <c r="AD18" s="165">
        <f t="shared" si="20"/>
        <v>12.7537449251015</v>
      </c>
      <c r="AE18" s="162"/>
      <c r="AF18" s="162">
        <f t="shared" si="10"/>
        <v>19</v>
      </c>
      <c r="AG18" s="167">
        <f t="shared" si="11"/>
        <v>911</v>
      </c>
      <c r="AH18" s="165">
        <f t="shared" si="12"/>
        <v>12.7537449251015</v>
      </c>
      <c r="AI18" s="165">
        <f t="shared" si="13"/>
        <v>12.0001430664922</v>
      </c>
      <c r="AJ18" s="165">
        <f t="shared" si="14"/>
        <v>13.5473868366264</v>
      </c>
      <c r="AK18" s="167">
        <f t="shared" si="15"/>
        <v>1</v>
      </c>
    </row>
    <row r="19" spans="1:37" x14ac:dyDescent="0.2">
      <c r="A19" s="62" t="s">
        <v>42</v>
      </c>
      <c r="B19" s="62" t="s">
        <v>65</v>
      </c>
      <c r="C19" s="62" t="s">
        <v>200</v>
      </c>
      <c r="D19" s="62"/>
      <c r="E19" s="62">
        <f t="shared" si="2"/>
        <v>6</v>
      </c>
      <c r="F19" s="128">
        <v>435</v>
      </c>
      <c r="G19" s="129">
        <v>8.4944346807264193</v>
      </c>
      <c r="H19" s="129">
        <v>7.7616061488673296</v>
      </c>
      <c r="I19" s="129">
        <v>9.2894863745251595</v>
      </c>
      <c r="J19" s="129"/>
      <c r="K19" s="129"/>
      <c r="L19" s="129"/>
      <c r="M19" s="60">
        <f t="shared" si="0"/>
        <v>2</v>
      </c>
      <c r="N19" s="61">
        <f t="shared" si="3"/>
        <v>1.24824381281747</v>
      </c>
      <c r="O19" s="61">
        <f t="shared" si="16"/>
        <v>9.1677978490132599</v>
      </c>
      <c r="P19" s="129">
        <f t="shared" si="4"/>
        <v>10.5262056773447</v>
      </c>
      <c r="Q19" s="129">
        <f t="shared" si="5"/>
        <v>10.414415572461699</v>
      </c>
      <c r="R19" s="129">
        <f t="shared" si="6"/>
        <v>10.6390532490362</v>
      </c>
      <c r="S19" s="61">
        <f t="shared" si="7"/>
        <v>12.7735135754382</v>
      </c>
      <c r="T19" s="61">
        <f t="shared" si="1"/>
        <v>14.9874231414198</v>
      </c>
      <c r="U19" s="61">
        <f t="shared" si="17"/>
        <v>12.243145718031721</v>
      </c>
      <c r="V19" s="61"/>
      <c r="Y19" s="162" t="s">
        <v>43</v>
      </c>
      <c r="Z19" s="162" t="s">
        <v>159</v>
      </c>
      <c r="AA19" s="162" t="s">
        <v>201</v>
      </c>
      <c r="AB19" s="162">
        <f t="shared" si="21"/>
        <v>8</v>
      </c>
      <c r="AC19" s="165">
        <f t="shared" si="19"/>
        <v>1.24824381281747</v>
      </c>
      <c r="AD19" s="165">
        <f t="shared" si="20"/>
        <v>12.7537449251015</v>
      </c>
      <c r="AE19" s="162"/>
      <c r="AF19" s="162">
        <f t="shared" si="10"/>
        <v>16</v>
      </c>
      <c r="AG19" s="167">
        <f t="shared" si="11"/>
        <v>1196</v>
      </c>
      <c r="AH19" s="165">
        <f t="shared" si="12"/>
        <v>12.3108594956253</v>
      </c>
      <c r="AI19" s="165">
        <f t="shared" si="13"/>
        <v>11.6723689322019</v>
      </c>
      <c r="AJ19" s="165">
        <f t="shared" si="14"/>
        <v>12.979143997317699</v>
      </c>
      <c r="AK19" s="167">
        <f t="shared" si="15"/>
        <v>1</v>
      </c>
    </row>
    <row r="20" spans="1:37" x14ac:dyDescent="0.2">
      <c r="A20" s="62" t="s">
        <v>43</v>
      </c>
      <c r="B20" s="62" t="s">
        <v>159</v>
      </c>
      <c r="C20" s="62" t="s">
        <v>201</v>
      </c>
      <c r="D20" s="62"/>
      <c r="E20" s="62">
        <f t="shared" si="2"/>
        <v>16</v>
      </c>
      <c r="F20" s="128">
        <v>1196</v>
      </c>
      <c r="G20" s="129">
        <v>12.3108594956253</v>
      </c>
      <c r="H20" s="129">
        <v>11.6723689322019</v>
      </c>
      <c r="I20" s="129">
        <v>12.979143997317699</v>
      </c>
      <c r="J20" s="129"/>
      <c r="K20" s="129"/>
      <c r="L20" s="129"/>
      <c r="M20" s="60">
        <f t="shared" si="0"/>
        <v>1</v>
      </c>
      <c r="N20" s="61">
        <f t="shared" si="3"/>
        <v>1.24824381281747</v>
      </c>
      <c r="O20" s="61">
        <f t="shared" si="16"/>
        <v>9.1677978490132599</v>
      </c>
      <c r="P20" s="129">
        <f t="shared" si="4"/>
        <v>10.5262056773447</v>
      </c>
      <c r="Q20" s="129">
        <f t="shared" si="5"/>
        <v>10.414415572461699</v>
      </c>
      <c r="R20" s="129">
        <f t="shared" si="6"/>
        <v>10.6390532490362</v>
      </c>
      <c r="S20" s="61">
        <f t="shared" si="7"/>
        <v>12.7735135754382</v>
      </c>
      <c r="T20" s="61">
        <f t="shared" si="1"/>
        <v>14.9874231414198</v>
      </c>
      <c r="U20" s="61">
        <f t="shared" si="17"/>
        <v>6.9395620890347951</v>
      </c>
      <c r="V20" s="61"/>
      <c r="Y20" s="162" t="s">
        <v>48</v>
      </c>
      <c r="Z20" s="162" t="s">
        <v>160</v>
      </c>
      <c r="AA20" s="162" t="s">
        <v>201</v>
      </c>
      <c r="AB20" s="162">
        <f t="shared" si="21"/>
        <v>7</v>
      </c>
      <c r="AC20" s="165">
        <f t="shared" si="19"/>
        <v>1.24824381281747</v>
      </c>
      <c r="AD20" s="165">
        <f t="shared" si="20"/>
        <v>12.7537449251015</v>
      </c>
      <c r="AE20" s="162"/>
      <c r="AF20" s="162">
        <f t="shared" si="10"/>
        <v>10</v>
      </c>
      <c r="AG20" s="167">
        <f t="shared" si="11"/>
        <v>684</v>
      </c>
      <c r="AH20" s="165">
        <f t="shared" si="12"/>
        <v>11.134624776168</v>
      </c>
      <c r="AI20" s="165">
        <f t="shared" si="13"/>
        <v>10.372170003258001</v>
      </c>
      <c r="AJ20" s="165">
        <f t="shared" si="14"/>
        <v>11.945657258288</v>
      </c>
      <c r="AK20" s="167">
        <f t="shared" si="15"/>
        <v>5</v>
      </c>
    </row>
    <row r="21" spans="1:37" x14ac:dyDescent="0.2">
      <c r="A21" s="62" t="s">
        <v>44</v>
      </c>
      <c r="B21" s="62" t="s">
        <v>66</v>
      </c>
      <c r="C21" s="62" t="s">
        <v>200</v>
      </c>
      <c r="D21" s="62"/>
      <c r="E21" s="62">
        <f t="shared" si="2"/>
        <v>12</v>
      </c>
      <c r="F21" s="128">
        <v>499</v>
      </c>
      <c r="G21" s="129">
        <v>11.5589529766041</v>
      </c>
      <c r="H21" s="129">
        <v>10.639171692345</v>
      </c>
      <c r="I21" s="129">
        <v>12.5470865485239</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1</v>
      </c>
      <c r="N21" s="61">
        <f t="shared" si="3"/>
        <v>1.24824381281747</v>
      </c>
      <c r="O21" s="61">
        <f t="shared" si="16"/>
        <v>9.1677978490132599</v>
      </c>
      <c r="P21" s="129">
        <f t="shared" si="4"/>
        <v>10.5262056773447</v>
      </c>
      <c r="Q21" s="129">
        <f t="shared" si="5"/>
        <v>10.414415572461699</v>
      </c>
      <c r="R21" s="129">
        <f t="shared" si="6"/>
        <v>10.6390532490362</v>
      </c>
      <c r="S21" s="61">
        <f t="shared" si="7"/>
        <v>12.7735135754382</v>
      </c>
      <c r="T21" s="61">
        <f t="shared" si="1"/>
        <v>14.9874231414198</v>
      </c>
      <c r="U21" s="61">
        <f t="shared" si="17"/>
        <v>12.243145718031721</v>
      </c>
      <c r="V21" s="61"/>
      <c r="Y21" s="162" t="s">
        <v>52</v>
      </c>
      <c r="Z21" s="162" t="s">
        <v>72</v>
      </c>
      <c r="AA21" s="162" t="s">
        <v>201</v>
      </c>
      <c r="AB21" s="162">
        <f t="shared" si="21"/>
        <v>4</v>
      </c>
      <c r="AC21" s="165">
        <f t="shared" si="19"/>
        <v>1.24824381281747</v>
      </c>
      <c r="AD21" s="165">
        <f t="shared" si="20"/>
        <v>12.7537449251015</v>
      </c>
      <c r="AE21" s="162"/>
      <c r="AF21" s="162">
        <f t="shared" si="10"/>
        <v>4</v>
      </c>
      <c r="AG21" s="167">
        <f t="shared" si="11"/>
        <v>275</v>
      </c>
      <c r="AH21" s="165">
        <f t="shared" si="12"/>
        <v>6.3044475011462602</v>
      </c>
      <c r="AI21" s="165">
        <f t="shared" si="13"/>
        <v>5.6209336374885899</v>
      </c>
      <c r="AJ21" s="165">
        <f t="shared" si="14"/>
        <v>7.0648558957460503</v>
      </c>
      <c r="AK21" s="167">
        <f t="shared" si="15"/>
        <v>2</v>
      </c>
    </row>
    <row r="22" spans="1:37" x14ac:dyDescent="0.2">
      <c r="A22" s="62" t="s">
        <v>45</v>
      </c>
      <c r="B22" s="62" t="s">
        <v>67</v>
      </c>
      <c r="C22" s="62" t="s">
        <v>163</v>
      </c>
      <c r="D22" s="62"/>
      <c r="E22" s="62">
        <f t="shared" si="2"/>
        <v>20</v>
      </c>
      <c r="F22" s="128">
        <v>1115</v>
      </c>
      <c r="G22" s="129">
        <v>12.7735135754382</v>
      </c>
      <c r="H22" s="129">
        <v>12.089614275089501</v>
      </c>
      <c r="I22" s="129">
        <v>13.4901637313506</v>
      </c>
      <c r="J22" s="129"/>
      <c r="K22" s="129"/>
      <c r="L22" s="129"/>
      <c r="M22" s="60">
        <f t="shared" si="0"/>
        <v>1</v>
      </c>
      <c r="N22" s="61">
        <f t="shared" si="3"/>
        <v>1.24824381281747</v>
      </c>
      <c r="O22" s="61">
        <f t="shared" si="16"/>
        <v>9.1677978490132599</v>
      </c>
      <c r="P22" s="129">
        <f t="shared" si="4"/>
        <v>10.5262056773447</v>
      </c>
      <c r="Q22" s="129">
        <f t="shared" si="5"/>
        <v>10.414415572461699</v>
      </c>
      <c r="R22" s="129">
        <f t="shared" si="6"/>
        <v>10.6390532490362</v>
      </c>
      <c r="S22" s="61">
        <f t="shared" si="7"/>
        <v>12.7735135754382</v>
      </c>
      <c r="T22" s="61">
        <f t="shared" si="1"/>
        <v>14.9874231414198</v>
      </c>
      <c r="U22" s="61">
        <f>VLOOKUP(C22,$C$43:$I$46,5,FALSE)</f>
        <v>12.810897995664636</v>
      </c>
      <c r="V22" s="61"/>
      <c r="Y22" s="162" t="s">
        <v>54</v>
      </c>
      <c r="Z22" s="162" t="s">
        <v>73</v>
      </c>
      <c r="AA22" s="162" t="s">
        <v>201</v>
      </c>
      <c r="AB22" s="162">
        <f t="shared" si="21"/>
        <v>2</v>
      </c>
      <c r="AC22" s="165">
        <f t="shared" si="19"/>
        <v>1.24824381281747</v>
      </c>
      <c r="AD22" s="165">
        <f t="shared" si="20"/>
        <v>12.7537449251015</v>
      </c>
      <c r="AE22" s="162"/>
      <c r="AF22" s="162">
        <f t="shared" si="10"/>
        <v>2</v>
      </c>
      <c r="AG22" s="167">
        <f t="shared" si="11"/>
        <v>242</v>
      </c>
      <c r="AH22" s="165">
        <f t="shared" si="12"/>
        <v>4.07338831846491</v>
      </c>
      <c r="AI22" s="165">
        <f t="shared" si="13"/>
        <v>3.5997020650447098</v>
      </c>
      <c r="AJ22" s="165">
        <f t="shared" si="14"/>
        <v>4.60642861480473</v>
      </c>
      <c r="AK22" s="167">
        <f t="shared" si="15"/>
        <v>2</v>
      </c>
    </row>
    <row r="23" spans="1:37" x14ac:dyDescent="0.2">
      <c r="A23" s="62" t="s">
        <v>46</v>
      </c>
      <c r="B23" s="62" t="s">
        <v>68</v>
      </c>
      <c r="C23" s="62" t="s">
        <v>163</v>
      </c>
      <c r="D23" s="62"/>
      <c r="E23" s="62">
        <f t="shared" si="2"/>
        <v>25</v>
      </c>
      <c r="F23" s="128">
        <v>1624</v>
      </c>
      <c r="G23" s="129">
        <v>14.862267777066</v>
      </c>
      <c r="H23" s="129">
        <v>14.207657052105301</v>
      </c>
      <c r="I23" s="129">
        <v>15.541575621986899</v>
      </c>
      <c r="J23" s="129"/>
      <c r="K23" s="129"/>
      <c r="L23" s="129"/>
      <c r="M23" s="60">
        <f t="shared" si="0"/>
        <v>1</v>
      </c>
      <c r="N23" s="61">
        <f t="shared" si="3"/>
        <v>1.24824381281747</v>
      </c>
      <c r="O23" s="61">
        <f t="shared" si="16"/>
        <v>9.1677978490132599</v>
      </c>
      <c r="P23" s="129">
        <f t="shared" si="4"/>
        <v>10.5262056773447</v>
      </c>
      <c r="Q23" s="129">
        <f t="shared" si="5"/>
        <v>10.414415572461699</v>
      </c>
      <c r="R23" s="129">
        <f t="shared" si="6"/>
        <v>10.6390532490362</v>
      </c>
      <c r="S23" s="61">
        <f t="shared" si="7"/>
        <v>12.7735135754382</v>
      </c>
      <c r="T23" s="61">
        <f t="shared" si="1"/>
        <v>14.9874231414198</v>
      </c>
      <c r="U23" s="61">
        <f t="shared" si="17"/>
        <v>12.810897995664636</v>
      </c>
      <c r="V23" s="61"/>
      <c r="Y23" s="163" t="s">
        <v>30</v>
      </c>
      <c r="Z23" s="163" t="s">
        <v>56</v>
      </c>
      <c r="AA23" s="163" t="s">
        <v>200</v>
      </c>
      <c r="AB23" s="163">
        <f>RANK(AH23,$AH$23:$AH$31,1)</f>
        <v>8</v>
      </c>
      <c r="AC23" s="166">
        <f>MIN($AH$23:$AH$31)</f>
        <v>8.4944346807264193</v>
      </c>
      <c r="AD23" s="166">
        <f>MAX($AH$23:$AH$31)</f>
        <v>14.082916599451501</v>
      </c>
      <c r="AE23" s="163"/>
      <c r="AF23" s="163">
        <f t="shared" si="10"/>
        <v>23</v>
      </c>
      <c r="AG23" s="168">
        <f t="shared" si="11"/>
        <v>1503</v>
      </c>
      <c r="AH23" s="166">
        <f t="shared" si="12"/>
        <v>13.3659404179635</v>
      </c>
      <c r="AI23" s="166">
        <f t="shared" si="13"/>
        <v>12.7494891611498</v>
      </c>
      <c r="AJ23" s="166">
        <f t="shared" si="14"/>
        <v>14.0074126037031</v>
      </c>
      <c r="AK23" s="168">
        <f t="shared" si="15"/>
        <v>1</v>
      </c>
    </row>
    <row r="24" spans="1:37" x14ac:dyDescent="0.2">
      <c r="A24" s="62" t="s">
        <v>47</v>
      </c>
      <c r="B24" s="62" t="s">
        <v>69</v>
      </c>
      <c r="C24" s="62" t="s">
        <v>163</v>
      </c>
      <c r="D24" s="62"/>
      <c r="E24" s="62">
        <f t="shared" si="2"/>
        <v>14</v>
      </c>
      <c r="F24" s="128">
        <v>662</v>
      </c>
      <c r="G24" s="129">
        <v>12.021064100236099</v>
      </c>
      <c r="H24" s="129">
        <v>11.1885122388897</v>
      </c>
      <c r="I24" s="129">
        <v>12.9065641435988</v>
      </c>
      <c r="J24" s="129"/>
      <c r="K24" s="129"/>
      <c r="L24" s="129"/>
      <c r="M24" s="60">
        <f t="shared" si="0"/>
        <v>1</v>
      </c>
      <c r="N24" s="61">
        <f t="shared" si="3"/>
        <v>1.24824381281747</v>
      </c>
      <c r="O24" s="61">
        <f t="shared" si="16"/>
        <v>9.1677978490132599</v>
      </c>
      <c r="P24" s="129">
        <f t="shared" si="4"/>
        <v>10.5262056773447</v>
      </c>
      <c r="Q24" s="129">
        <f t="shared" si="5"/>
        <v>10.414415572461699</v>
      </c>
      <c r="R24" s="129">
        <f t="shared" si="6"/>
        <v>10.6390532490362</v>
      </c>
      <c r="S24" s="61">
        <f t="shared" si="7"/>
        <v>12.7735135754382</v>
      </c>
      <c r="T24" s="61">
        <f t="shared" si="1"/>
        <v>14.9874231414198</v>
      </c>
      <c r="U24" s="61">
        <f t="shared" si="17"/>
        <v>12.810897995664636</v>
      </c>
      <c r="V24" s="61"/>
      <c r="Y24" s="163" t="s">
        <v>31</v>
      </c>
      <c r="Z24" s="163" t="s">
        <v>57</v>
      </c>
      <c r="AA24" s="163" t="s">
        <v>200</v>
      </c>
      <c r="AB24" s="163">
        <f t="shared" ref="AB24:AB31" si="22">RANK(AH24,$AH$23:$AH$31,1)</f>
        <v>9</v>
      </c>
      <c r="AC24" s="166">
        <f t="shared" ref="AC24:AC31" si="23">MIN($AH$23:$AH$31)</f>
        <v>8.4944346807264193</v>
      </c>
      <c r="AD24" s="166">
        <f t="shared" ref="AD24:AD31" si="24">MAX($AH$23:$AH$31)</f>
        <v>14.082916599451501</v>
      </c>
      <c r="AE24" s="163"/>
      <c r="AF24" s="163">
        <f t="shared" si="10"/>
        <v>24</v>
      </c>
      <c r="AG24" s="168">
        <f t="shared" si="11"/>
        <v>1746</v>
      </c>
      <c r="AH24" s="166">
        <f t="shared" si="12"/>
        <v>14.082916599451501</v>
      </c>
      <c r="AI24" s="166">
        <f t="shared" si="13"/>
        <v>13.481743981643399</v>
      </c>
      <c r="AJ24" s="166">
        <f t="shared" si="14"/>
        <v>14.7063397834035</v>
      </c>
      <c r="AK24" s="168">
        <f t="shared" si="15"/>
        <v>1</v>
      </c>
    </row>
    <row r="25" spans="1:37" x14ac:dyDescent="0.2">
      <c r="A25" s="62" t="s">
        <v>48</v>
      </c>
      <c r="B25" s="62" t="s">
        <v>160</v>
      </c>
      <c r="C25" s="62" t="s">
        <v>201</v>
      </c>
      <c r="D25" s="62"/>
      <c r="E25" s="62">
        <f t="shared" si="2"/>
        <v>10</v>
      </c>
      <c r="F25" s="128">
        <v>684</v>
      </c>
      <c r="G25" s="129">
        <v>11.134624776168</v>
      </c>
      <c r="H25" s="129">
        <v>10.372170003258001</v>
      </c>
      <c r="I25" s="129">
        <v>11.945657258288</v>
      </c>
      <c r="J25" s="129"/>
      <c r="K25" s="129"/>
      <c r="L25" s="129"/>
      <c r="M25" s="60">
        <f t="shared" si="0"/>
        <v>5</v>
      </c>
      <c r="N25" s="61">
        <f t="shared" si="3"/>
        <v>1.24824381281747</v>
      </c>
      <c r="O25" s="61">
        <f t="shared" si="16"/>
        <v>9.1677978490132599</v>
      </c>
      <c r="P25" s="129">
        <f t="shared" si="4"/>
        <v>10.5262056773447</v>
      </c>
      <c r="Q25" s="129">
        <f t="shared" si="5"/>
        <v>10.414415572461699</v>
      </c>
      <c r="R25" s="129">
        <f t="shared" si="6"/>
        <v>10.6390532490362</v>
      </c>
      <c r="S25" s="61">
        <f t="shared" si="7"/>
        <v>12.7735135754382</v>
      </c>
      <c r="T25" s="61">
        <f t="shared" si="1"/>
        <v>14.9874231414198</v>
      </c>
      <c r="U25" s="61">
        <f t="shared" si="17"/>
        <v>6.9395620890347951</v>
      </c>
      <c r="V25" s="61"/>
      <c r="Y25" s="163" t="s">
        <v>34</v>
      </c>
      <c r="Z25" s="163" t="s">
        <v>59</v>
      </c>
      <c r="AA25" s="163" t="s">
        <v>200</v>
      </c>
      <c r="AB25" s="163">
        <f t="shared" si="22"/>
        <v>6</v>
      </c>
      <c r="AC25" s="166">
        <f t="shared" si="23"/>
        <v>8.4944346807264193</v>
      </c>
      <c r="AD25" s="166">
        <f t="shared" si="24"/>
        <v>14.082916599451501</v>
      </c>
      <c r="AE25" s="163"/>
      <c r="AF25" s="163">
        <f t="shared" si="10"/>
        <v>18</v>
      </c>
      <c r="AG25" s="168">
        <f t="shared" si="11"/>
        <v>1958</v>
      </c>
      <c r="AH25" s="166">
        <f t="shared" si="12"/>
        <v>12.6903882299566</v>
      </c>
      <c r="AI25" s="166">
        <f t="shared" si="13"/>
        <v>12.174430624996001</v>
      </c>
      <c r="AJ25" s="166">
        <f t="shared" si="14"/>
        <v>13.2249196455291</v>
      </c>
      <c r="AK25" s="168">
        <f t="shared" si="15"/>
        <v>1</v>
      </c>
    </row>
    <row r="26" spans="1:37" x14ac:dyDescent="0.2">
      <c r="A26" s="62" t="s">
        <v>49</v>
      </c>
      <c r="B26" s="62" t="s">
        <v>70</v>
      </c>
      <c r="C26" s="62" t="s">
        <v>200</v>
      </c>
      <c r="D26" s="62"/>
      <c r="E26" s="62">
        <f t="shared" si="2"/>
        <v>9</v>
      </c>
      <c r="F26" s="128">
        <v>945</v>
      </c>
      <c r="G26" s="129">
        <v>10.461640650946499</v>
      </c>
      <c r="H26" s="129">
        <v>9.8472025678898198</v>
      </c>
      <c r="I26" s="129">
        <v>11.1096933503422</v>
      </c>
      <c r="J26" s="129"/>
      <c r="K26" s="129"/>
      <c r="L26" s="129"/>
      <c r="M26" s="60">
        <f t="shared" si="0"/>
        <v>5</v>
      </c>
      <c r="N26" s="61">
        <f t="shared" si="3"/>
        <v>1.24824381281747</v>
      </c>
      <c r="O26" s="61">
        <f t="shared" si="16"/>
        <v>9.1677978490132599</v>
      </c>
      <c r="P26" s="129">
        <f t="shared" si="4"/>
        <v>10.5262056773447</v>
      </c>
      <c r="Q26" s="129">
        <f t="shared" si="5"/>
        <v>10.414415572461699</v>
      </c>
      <c r="R26" s="129">
        <f t="shared" si="6"/>
        <v>10.6390532490362</v>
      </c>
      <c r="S26" s="61">
        <f t="shared" si="7"/>
        <v>12.7735135754382</v>
      </c>
      <c r="T26" s="61">
        <f t="shared" si="1"/>
        <v>14.9874231414198</v>
      </c>
      <c r="U26" s="61">
        <f t="shared" si="17"/>
        <v>12.243145718031721</v>
      </c>
      <c r="V26" s="61"/>
      <c r="Y26" s="163" t="s">
        <v>39</v>
      </c>
      <c r="Z26" s="163" t="s">
        <v>158</v>
      </c>
      <c r="AA26" s="163" t="s">
        <v>200</v>
      </c>
      <c r="AB26" s="163">
        <f t="shared" si="22"/>
        <v>5</v>
      </c>
      <c r="AC26" s="166">
        <f t="shared" si="23"/>
        <v>8.4944346807264193</v>
      </c>
      <c r="AD26" s="166">
        <f t="shared" si="24"/>
        <v>14.082916599451501</v>
      </c>
      <c r="AE26" s="163"/>
      <c r="AF26" s="163">
        <f t="shared" si="10"/>
        <v>13</v>
      </c>
      <c r="AG26" s="168">
        <f t="shared" si="11"/>
        <v>1780</v>
      </c>
      <c r="AH26" s="166">
        <f t="shared" si="12"/>
        <v>11.842192801543501</v>
      </c>
      <c r="AI26" s="166">
        <f t="shared" si="13"/>
        <v>11.335380231369999</v>
      </c>
      <c r="AJ26" s="166">
        <f t="shared" si="14"/>
        <v>12.3685042996494</v>
      </c>
      <c r="AK26" s="168">
        <f t="shared" si="15"/>
        <v>1</v>
      </c>
    </row>
    <row r="27" spans="1:37" x14ac:dyDescent="0.2">
      <c r="A27" s="62" t="s">
        <v>50</v>
      </c>
      <c r="B27" s="62" t="s">
        <v>161</v>
      </c>
      <c r="C27" s="62" t="s">
        <v>163</v>
      </c>
      <c r="D27" s="62"/>
      <c r="E27" s="62">
        <f t="shared" si="2"/>
        <v>17</v>
      </c>
      <c r="F27" s="128">
        <v>704</v>
      </c>
      <c r="G27" s="129">
        <v>12.495562655307101</v>
      </c>
      <c r="H27" s="129">
        <v>11.6575921843685</v>
      </c>
      <c r="I27" s="129">
        <v>13.384641960257801</v>
      </c>
      <c r="J27" s="129"/>
      <c r="K27" s="129"/>
      <c r="L27" s="129"/>
      <c r="M27" s="60">
        <f t="shared" si="0"/>
        <v>1</v>
      </c>
      <c r="N27" s="61">
        <f t="shared" si="3"/>
        <v>1.24824381281747</v>
      </c>
      <c r="O27" s="61">
        <f t="shared" si="16"/>
        <v>9.1677978490132599</v>
      </c>
      <c r="P27" s="129">
        <f t="shared" si="4"/>
        <v>10.5262056773447</v>
      </c>
      <c r="Q27" s="129">
        <f t="shared" si="5"/>
        <v>10.414415572461699</v>
      </c>
      <c r="R27" s="129">
        <f t="shared" si="6"/>
        <v>10.6390532490362</v>
      </c>
      <c r="S27" s="61">
        <f t="shared" si="7"/>
        <v>12.7735135754382</v>
      </c>
      <c r="T27" s="61">
        <f t="shared" si="1"/>
        <v>14.9874231414198</v>
      </c>
      <c r="U27" s="61">
        <f t="shared" si="17"/>
        <v>12.810897995664636</v>
      </c>
      <c r="V27" s="61"/>
      <c r="Y27" s="163" t="s">
        <v>40</v>
      </c>
      <c r="Z27" s="163" t="s">
        <v>63</v>
      </c>
      <c r="AA27" s="163" t="s">
        <v>200</v>
      </c>
      <c r="AB27" s="163">
        <f t="shared" si="22"/>
        <v>7</v>
      </c>
      <c r="AC27" s="166">
        <f t="shared" si="23"/>
        <v>8.4944346807264193</v>
      </c>
      <c r="AD27" s="166">
        <f t="shared" si="24"/>
        <v>14.082916599451501</v>
      </c>
      <c r="AE27" s="163"/>
      <c r="AF27" s="163">
        <f t="shared" si="10"/>
        <v>21</v>
      </c>
      <c r="AG27" s="168">
        <f t="shared" si="11"/>
        <v>1072</v>
      </c>
      <c r="AH27" s="166">
        <f t="shared" si="12"/>
        <v>13.1099425217072</v>
      </c>
      <c r="AI27" s="166">
        <f t="shared" si="13"/>
        <v>12.395694173236899</v>
      </c>
      <c r="AJ27" s="166">
        <f t="shared" si="14"/>
        <v>13.858835628277101</v>
      </c>
      <c r="AK27" s="168">
        <f t="shared" si="15"/>
        <v>1</v>
      </c>
    </row>
    <row r="28" spans="1:37" x14ac:dyDescent="0.2">
      <c r="A28" s="62" t="s">
        <v>51</v>
      </c>
      <c r="B28" s="62" t="s">
        <v>71</v>
      </c>
      <c r="C28" s="62" t="s">
        <v>200</v>
      </c>
      <c r="D28" s="62"/>
      <c r="E28" s="62">
        <f t="shared" si="2"/>
        <v>11</v>
      </c>
      <c r="F28" s="128">
        <v>614</v>
      </c>
      <c r="G28" s="129">
        <v>11.2950699043414</v>
      </c>
      <c r="H28" s="129">
        <v>10.480808526102299</v>
      </c>
      <c r="I28" s="129">
        <v>12.1639958886158</v>
      </c>
      <c r="J28" s="129"/>
      <c r="K28" s="129"/>
      <c r="L28" s="129"/>
      <c r="M28" s="60">
        <f t="shared" si="0"/>
        <v>5</v>
      </c>
      <c r="N28" s="61">
        <f t="shared" si="3"/>
        <v>1.24824381281747</v>
      </c>
      <c r="O28" s="61">
        <f t="shared" si="16"/>
        <v>9.1677978490132599</v>
      </c>
      <c r="P28" s="129">
        <f t="shared" si="4"/>
        <v>10.5262056773447</v>
      </c>
      <c r="Q28" s="129">
        <f t="shared" si="5"/>
        <v>10.414415572461699</v>
      </c>
      <c r="R28" s="129">
        <f t="shared" si="6"/>
        <v>10.6390532490362</v>
      </c>
      <c r="S28" s="61">
        <f t="shared" si="7"/>
        <v>12.7735135754382</v>
      </c>
      <c r="T28" s="61">
        <f t="shared" si="1"/>
        <v>14.9874231414198</v>
      </c>
      <c r="U28" s="61">
        <f t="shared" si="17"/>
        <v>12.243145718031721</v>
      </c>
      <c r="V28" s="61"/>
      <c r="Y28" s="163" t="s">
        <v>42</v>
      </c>
      <c r="Z28" s="163" t="s">
        <v>65</v>
      </c>
      <c r="AA28" s="163" t="s">
        <v>200</v>
      </c>
      <c r="AB28" s="163">
        <f t="shared" si="22"/>
        <v>1</v>
      </c>
      <c r="AC28" s="166">
        <f t="shared" si="23"/>
        <v>8.4944346807264193</v>
      </c>
      <c r="AD28" s="166">
        <f t="shared" si="24"/>
        <v>14.082916599451501</v>
      </c>
      <c r="AE28" s="163"/>
      <c r="AF28" s="163">
        <f t="shared" si="10"/>
        <v>6</v>
      </c>
      <c r="AG28" s="168">
        <f t="shared" si="11"/>
        <v>435</v>
      </c>
      <c r="AH28" s="166">
        <f t="shared" si="12"/>
        <v>8.4944346807264193</v>
      </c>
      <c r="AI28" s="166">
        <f t="shared" si="13"/>
        <v>7.7616061488673296</v>
      </c>
      <c r="AJ28" s="166">
        <f t="shared" si="14"/>
        <v>9.2894863745251595</v>
      </c>
      <c r="AK28" s="168">
        <f t="shared" si="15"/>
        <v>2</v>
      </c>
    </row>
    <row r="29" spans="1:37" x14ac:dyDescent="0.2">
      <c r="A29" s="62" t="s">
        <v>52</v>
      </c>
      <c r="B29" s="62" t="s">
        <v>72</v>
      </c>
      <c r="C29" s="62" t="s">
        <v>201</v>
      </c>
      <c r="D29" s="62"/>
      <c r="E29" s="62">
        <f t="shared" si="2"/>
        <v>4</v>
      </c>
      <c r="F29" s="128">
        <v>275</v>
      </c>
      <c r="G29" s="129">
        <v>6.3044475011462602</v>
      </c>
      <c r="H29" s="129">
        <v>5.6209336374885899</v>
      </c>
      <c r="I29" s="129">
        <v>7.0648558957460503</v>
      </c>
      <c r="J29" s="129"/>
      <c r="K29" s="129"/>
      <c r="L29" s="129"/>
      <c r="M29" s="60">
        <f t="shared" si="0"/>
        <v>2</v>
      </c>
      <c r="N29" s="61">
        <f t="shared" si="3"/>
        <v>1.24824381281747</v>
      </c>
      <c r="O29" s="61">
        <f t="shared" si="16"/>
        <v>9.1677978490132599</v>
      </c>
      <c r="P29" s="129">
        <f t="shared" si="4"/>
        <v>10.5262056773447</v>
      </c>
      <c r="Q29" s="129">
        <f t="shared" si="5"/>
        <v>10.414415572461699</v>
      </c>
      <c r="R29" s="129">
        <f t="shared" si="6"/>
        <v>10.6390532490362</v>
      </c>
      <c r="S29" s="61">
        <f t="shared" si="7"/>
        <v>12.7735135754382</v>
      </c>
      <c r="T29" s="61">
        <f t="shared" si="1"/>
        <v>14.9874231414198</v>
      </c>
      <c r="U29" s="61">
        <f t="shared" si="17"/>
        <v>6.9395620890347951</v>
      </c>
      <c r="V29" s="61"/>
      <c r="Y29" s="163" t="s">
        <v>44</v>
      </c>
      <c r="Z29" s="163" t="s">
        <v>66</v>
      </c>
      <c r="AA29" s="163" t="s">
        <v>200</v>
      </c>
      <c r="AB29" s="163">
        <f t="shared" si="22"/>
        <v>4</v>
      </c>
      <c r="AC29" s="166">
        <f t="shared" si="23"/>
        <v>8.4944346807264193</v>
      </c>
      <c r="AD29" s="166">
        <f t="shared" si="24"/>
        <v>14.082916599451501</v>
      </c>
      <c r="AE29" s="163"/>
      <c r="AF29" s="163">
        <f t="shared" si="10"/>
        <v>12</v>
      </c>
      <c r="AG29" s="168">
        <f t="shared" si="11"/>
        <v>499</v>
      </c>
      <c r="AH29" s="166">
        <f t="shared" si="12"/>
        <v>11.5589529766041</v>
      </c>
      <c r="AI29" s="166">
        <f t="shared" si="13"/>
        <v>10.639171692345</v>
      </c>
      <c r="AJ29" s="166">
        <f t="shared" si="14"/>
        <v>12.5470865485239</v>
      </c>
      <c r="AK29" s="168">
        <f t="shared" si="15"/>
        <v>1</v>
      </c>
    </row>
    <row r="30" spans="1:37" x14ac:dyDescent="0.2">
      <c r="A30" s="62" t="s">
        <v>53</v>
      </c>
      <c r="B30" s="62" t="s">
        <v>162</v>
      </c>
      <c r="C30" s="62" t="s">
        <v>163</v>
      </c>
      <c r="D30" s="62"/>
      <c r="E30" s="62">
        <f t="shared" si="2"/>
        <v>15</v>
      </c>
      <c r="F30" s="128">
        <v>3468</v>
      </c>
      <c r="G30" s="129">
        <v>12.126722148401999</v>
      </c>
      <c r="H30" s="129">
        <v>11.753461679719299</v>
      </c>
      <c r="I30" s="129">
        <v>12.510155992633299</v>
      </c>
      <c r="J30" s="129"/>
      <c r="K30" s="129"/>
      <c r="L30" s="129"/>
      <c r="M30" s="60">
        <f t="shared" si="0"/>
        <v>1</v>
      </c>
      <c r="N30" s="61">
        <f t="shared" si="3"/>
        <v>1.24824381281747</v>
      </c>
      <c r="O30" s="61">
        <f t="shared" si="16"/>
        <v>9.1677978490132599</v>
      </c>
      <c r="P30" s="129">
        <f>$G$32</f>
        <v>10.5262056773447</v>
      </c>
      <c r="Q30" s="129">
        <f t="shared" si="5"/>
        <v>10.414415572461699</v>
      </c>
      <c r="R30" s="129">
        <f t="shared" si="6"/>
        <v>10.6390532490362</v>
      </c>
      <c r="S30" s="61">
        <f t="shared" si="7"/>
        <v>12.7735135754382</v>
      </c>
      <c r="T30" s="61">
        <f t="shared" si="1"/>
        <v>14.9874231414198</v>
      </c>
      <c r="U30" s="61">
        <f t="shared" si="17"/>
        <v>12.810897995664636</v>
      </c>
      <c r="V30" s="61"/>
      <c r="Y30" s="163" t="s">
        <v>49</v>
      </c>
      <c r="Z30" s="163" t="s">
        <v>70</v>
      </c>
      <c r="AA30" s="163" t="s">
        <v>200</v>
      </c>
      <c r="AB30" s="163">
        <f t="shared" si="22"/>
        <v>2</v>
      </c>
      <c r="AC30" s="166">
        <f t="shared" si="23"/>
        <v>8.4944346807264193</v>
      </c>
      <c r="AD30" s="166">
        <f t="shared" si="24"/>
        <v>14.082916599451501</v>
      </c>
      <c r="AE30" s="163"/>
      <c r="AF30" s="163">
        <f t="shared" si="10"/>
        <v>9</v>
      </c>
      <c r="AG30" s="168">
        <f t="shared" si="11"/>
        <v>945</v>
      </c>
      <c r="AH30" s="166">
        <f t="shared" si="12"/>
        <v>10.461640650946499</v>
      </c>
      <c r="AI30" s="166">
        <f t="shared" si="13"/>
        <v>9.8472025678898198</v>
      </c>
      <c r="AJ30" s="166">
        <f t="shared" si="14"/>
        <v>11.1096933503422</v>
      </c>
      <c r="AK30" s="168">
        <f t="shared" si="15"/>
        <v>5</v>
      </c>
    </row>
    <row r="31" spans="1:37" x14ac:dyDescent="0.2">
      <c r="A31" s="62" t="s">
        <v>54</v>
      </c>
      <c r="B31" s="62" t="s">
        <v>73</v>
      </c>
      <c r="C31" s="62" t="s">
        <v>201</v>
      </c>
      <c r="D31" s="62"/>
      <c r="E31" s="62">
        <f t="shared" si="2"/>
        <v>2</v>
      </c>
      <c r="F31" s="128">
        <v>242</v>
      </c>
      <c r="G31" s="129">
        <v>4.07338831846491</v>
      </c>
      <c r="H31" s="129">
        <v>3.5997020650447098</v>
      </c>
      <c r="I31" s="129">
        <v>4.60642861480473</v>
      </c>
      <c r="J31" s="129"/>
      <c r="K31" s="129"/>
      <c r="L31" s="129"/>
      <c r="M31" s="60">
        <f t="shared" si="0"/>
        <v>2</v>
      </c>
      <c r="N31" s="61">
        <f t="shared" si="3"/>
        <v>1.24824381281747</v>
      </c>
      <c r="O31" s="61">
        <f t="shared" si="16"/>
        <v>9.1677978490132599</v>
      </c>
      <c r="P31" s="129">
        <f t="shared" si="4"/>
        <v>10.5262056773447</v>
      </c>
      <c r="Q31" s="129">
        <f t="shared" si="5"/>
        <v>10.414415572461699</v>
      </c>
      <c r="R31" s="129">
        <f t="shared" si="6"/>
        <v>10.6390532490362</v>
      </c>
      <c r="S31" s="61">
        <f t="shared" si="7"/>
        <v>12.7735135754382</v>
      </c>
      <c r="T31" s="61">
        <f t="shared" si="1"/>
        <v>14.9874231414198</v>
      </c>
      <c r="U31" s="61">
        <f t="shared" si="17"/>
        <v>6.9395620890347951</v>
      </c>
      <c r="V31" s="61"/>
      <c r="Y31" s="163" t="s">
        <v>51</v>
      </c>
      <c r="Z31" s="163" t="s">
        <v>71</v>
      </c>
      <c r="AA31" s="163" t="s">
        <v>200</v>
      </c>
      <c r="AB31" s="163">
        <f t="shared" si="22"/>
        <v>3</v>
      </c>
      <c r="AC31" s="166">
        <f t="shared" si="23"/>
        <v>8.4944346807264193</v>
      </c>
      <c r="AD31" s="166">
        <f t="shared" si="24"/>
        <v>14.082916599451501</v>
      </c>
      <c r="AE31" s="163"/>
      <c r="AF31" s="163">
        <f t="shared" si="10"/>
        <v>11</v>
      </c>
      <c r="AG31" s="168">
        <f t="shared" si="11"/>
        <v>614</v>
      </c>
      <c r="AH31" s="166">
        <f t="shared" si="12"/>
        <v>11.2950699043414</v>
      </c>
      <c r="AI31" s="166">
        <f t="shared" si="13"/>
        <v>10.480808526102299</v>
      </c>
      <c r="AJ31" s="166">
        <f t="shared" si="14"/>
        <v>12.1639958886158</v>
      </c>
      <c r="AK31" s="168">
        <f t="shared" si="15"/>
        <v>5</v>
      </c>
    </row>
    <row r="32" spans="1:37" x14ac:dyDescent="0.2">
      <c r="A32" s="62"/>
      <c r="B32" s="62" t="s">
        <v>171</v>
      </c>
      <c r="C32" s="62"/>
      <c r="D32" s="62"/>
      <c r="E32" s="62"/>
      <c r="F32" s="128">
        <v>30188</v>
      </c>
      <c r="G32" s="129">
        <v>10.5262056773447</v>
      </c>
      <c r="H32" s="129">
        <v>10.414415572461699</v>
      </c>
      <c r="I32" s="129">
        <v>10.6390532490362</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12470</v>
      </c>
      <c r="G44" s="254">
        <v>12.810897995664636</v>
      </c>
      <c r="H44" s="129">
        <v>12.602409939204406</v>
      </c>
      <c r="I44" s="129">
        <v>13.022321253148119</v>
      </c>
      <c r="J44" s="129">
        <f>VLOOKUP($C44,$AA$6:$AD$13,3,FALSE)</f>
        <v>10.3359375</v>
      </c>
      <c r="K44" s="129">
        <f>VLOOKUP($C44,$AA$6:$AD$13,4,FALSE)</f>
        <v>14.9874231414198</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1</v>
      </c>
      <c r="N44" s="61">
        <f>MIN($G$6:$G$31)</f>
        <v>1.24824381281747</v>
      </c>
      <c r="O44" s="61">
        <f>VLOOKUP(7,$E$5:$G$39,3,FALSE)</f>
        <v>9.1677978490132599</v>
      </c>
      <c r="P44" s="129">
        <f>$G$32</f>
        <v>10.5262056773447</v>
      </c>
      <c r="Q44" s="129">
        <f>$H$32</f>
        <v>10.414415572461699</v>
      </c>
      <c r="R44" s="129">
        <f>$I$32</f>
        <v>10.6390532490362</v>
      </c>
      <c r="S44" s="61">
        <f>VLOOKUP(20,$E$5:$G$39,3,FALSE)</f>
        <v>12.7735135754382</v>
      </c>
      <c r="T44" s="61">
        <f>MAX($G$6:$G$31)</f>
        <v>14.9874231414198</v>
      </c>
    </row>
    <row r="45" spans="1:22" x14ac:dyDescent="0.2">
      <c r="C45" s="62" t="s">
        <v>201</v>
      </c>
      <c r="D45" s="62"/>
      <c r="E45" s="62"/>
      <c r="F45" s="128">
        <v>7166</v>
      </c>
      <c r="G45" s="254">
        <v>6.9395620890347951</v>
      </c>
      <c r="H45" s="129">
        <v>6.7861611551878447</v>
      </c>
      <c r="I45" s="129">
        <v>7.0961666630182938</v>
      </c>
      <c r="J45" s="129">
        <f>VLOOKUP($C45,$AA$14:$AD$22,3,FALSE)</f>
        <v>1.24824381281747</v>
      </c>
      <c r="K45" s="129">
        <f>VLOOKUP($C45,$AA$14:$AD$22,4,FALSE)</f>
        <v>12.7537449251015</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2</v>
      </c>
      <c r="N45" s="61">
        <f>MIN($G$6:$G$31)</f>
        <v>1.24824381281747</v>
      </c>
      <c r="O45" s="61">
        <f>VLOOKUP(7,$E$5:$G$39,3,FALSE)</f>
        <v>9.1677978490132599</v>
      </c>
      <c r="P45" s="129">
        <f>$G$32</f>
        <v>10.5262056773447</v>
      </c>
      <c r="Q45" s="129">
        <f t="shared" ref="Q45:Q46" si="25">$H$32</f>
        <v>10.414415572461699</v>
      </c>
      <c r="R45" s="129">
        <f t="shared" ref="R45:R46" si="26">$I$32</f>
        <v>10.6390532490362</v>
      </c>
      <c r="S45" s="61">
        <f>VLOOKUP(20,$E$5:$G$39,3,FALSE)</f>
        <v>12.7735135754382</v>
      </c>
      <c r="T45" s="61">
        <f t="shared" ref="T45:T46" si="27">MAX($G$6:$G$31)</f>
        <v>14.9874231414198</v>
      </c>
    </row>
    <row r="46" spans="1:22" x14ac:dyDescent="0.2">
      <c r="C46" s="62" t="s">
        <v>200</v>
      </c>
      <c r="D46" s="62"/>
      <c r="E46" s="62"/>
      <c r="F46" s="128">
        <v>10552</v>
      </c>
      <c r="G46" s="254">
        <v>12.243145718031721</v>
      </c>
      <c r="H46" s="129">
        <v>12.025993198737808</v>
      </c>
      <c r="I46" s="129">
        <v>12.463663824630929</v>
      </c>
      <c r="J46" s="129">
        <f>VLOOKUP($C46,$AA$23:$AD$31,3,FALSE)</f>
        <v>8.4944346807264193</v>
      </c>
      <c r="K46" s="129">
        <f>VLOOKUP($C46,$AA$23:$AD$31,4,FALSE)</f>
        <v>14.082916599451501</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1</v>
      </c>
      <c r="N46" s="61">
        <f>MIN($G$6:$G$31)</f>
        <v>1.24824381281747</v>
      </c>
      <c r="O46" s="61">
        <f>VLOOKUP(7,$E$5:$G$39,3,FALSE)</f>
        <v>9.1677978490132599</v>
      </c>
      <c r="P46" s="129">
        <f t="shared" ref="P46" si="28">$G$32</f>
        <v>10.5262056773447</v>
      </c>
      <c r="Q46" s="129">
        <f t="shared" si="25"/>
        <v>10.414415572461699</v>
      </c>
      <c r="R46" s="129">
        <f t="shared" si="26"/>
        <v>10.6390532490362</v>
      </c>
      <c r="S46" s="61">
        <f>VLOOKUP(20,$E$5:$G$39,3,FALSE)</f>
        <v>12.7735135754382</v>
      </c>
      <c r="T46" s="61">
        <f t="shared" si="27"/>
        <v>14.9874231414198</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C2:D2" xr:uid="{00000000-0002-0000-1A00-000000000000}">
      <formula1>"Better / Worse,Higher / Lower,Significance not measured"</formula1>
    </dataValidation>
    <dataValidation type="list" allowBlank="1" showInputMessage="1" showErrorMessage="1" sqref="K2:N2" xr:uid="{00000000-0002-0000-1A00-000001000000}">
      <formula1>"High = Worst,Low = Worst"</formula1>
    </dataValidation>
  </dataValidations>
  <pageMargins left="0.75" right="0.75" top="1" bottom="1" header="0.5" footer="0.5"/>
  <pageSetup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theme="6" tint="0.39997558519241921"/>
  </sheetPr>
  <dimension ref="A1:AK55"/>
  <sheetViews>
    <sheetView workbookViewId="0">
      <selection activeCell="D36" sqref="D36"/>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8.88671875" style="21" customWidth="1"/>
    <col min="6" max="6" width="6.109375" style="21" customWidth="1"/>
    <col min="7" max="7" width="5.6640625" style="21" customWidth="1"/>
    <col min="8" max="8" width="7.33203125" style="21" customWidth="1"/>
    <col min="9" max="9" width="6.886718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5.554687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272</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5</v>
      </c>
      <c r="F6" s="128">
        <v>7</v>
      </c>
      <c r="G6" s="129">
        <v>55.095423281012373</v>
      </c>
      <c r="H6" s="129">
        <v>21.908921722853083</v>
      </c>
      <c r="I6" s="129">
        <v>113.81263089231129</v>
      </c>
      <c r="J6" s="129"/>
      <c r="K6" s="129"/>
      <c r="L6" s="129"/>
      <c r="M6" s="60">
        <f t="shared" ref="M6:M30" si="0">IF($C$2="Significance not measured",6,IF(AND($C$2="Better / Worse",$K$2="Low = Worst",I6&lt;Q6),1,IF(AND($C$2="Better / Worse",$K$2="Low = Worst",H6&gt;R6),2,IF(AND($C$2="Better / Worse",$K$2="High = Worst",I6&lt;Q6),2,IF(AND($C$2="Better / Worse",$K$2="High = Worst",H6&gt;R6),1,IF(AND($C$2="Higher / Lower",I6&lt;Q6),3,IF(AND($C$2="Higher / Lower",H6&gt;R6),4,5)))))))</f>
        <v>5</v>
      </c>
      <c r="N6" s="61">
        <f>MIN($G$6:$G$32)</f>
        <v>3.1307723615415921</v>
      </c>
      <c r="O6" s="61">
        <f>VLOOKUP(7,$E$5:$G$39,3,FALSE)</f>
        <v>60.261041199073425</v>
      </c>
      <c r="P6" s="129">
        <f>$G$32</f>
        <v>74.662565234312666</v>
      </c>
      <c r="Q6" s="129">
        <f>$H$32</f>
        <v>67.547621975766177</v>
      </c>
      <c r="R6" s="129">
        <f>$I$32</f>
        <v>82.317981169089023</v>
      </c>
      <c r="S6" s="61">
        <f>VLOOKUP(19,$E$5:$G$39,3,FALSE)</f>
        <v>97.414100365887151</v>
      </c>
      <c r="T6" s="61">
        <f t="shared" ref="T6:T31" si="1">MAX($G$6:$G$31)</f>
        <v>127.60934194505236</v>
      </c>
      <c r="U6" s="61">
        <f>VLOOKUP(C6,$C$43:$I$46,5,FALSE)</f>
        <v>76.186639636787376</v>
      </c>
      <c r="V6" s="61"/>
      <c r="Y6" s="159" t="s">
        <v>33</v>
      </c>
      <c r="Z6" s="159" t="s">
        <v>58</v>
      </c>
      <c r="AA6" s="159" t="s">
        <v>163</v>
      </c>
      <c r="AB6" s="159">
        <f>RANK(AH6,$AH$6:$AH$13,1)</f>
        <v>8</v>
      </c>
      <c r="AC6" s="164">
        <f>MIN($AH$6:$AH$13)</f>
        <v>49.087004157339244</v>
      </c>
      <c r="AD6" s="164">
        <f>MAX($AH$6:$AH$13)</f>
        <v>104.06215692651784</v>
      </c>
      <c r="AE6" s="159"/>
      <c r="AF6" s="159">
        <f>VLOOKUP($Y6,$A$6:$I$31,5,FALSE)</f>
        <v>21</v>
      </c>
      <c r="AG6" s="160">
        <f>VLOOKUP($Y6,$A$6:$I$31,6,FALSE)</f>
        <v>25</v>
      </c>
      <c r="AH6" s="161">
        <f>VLOOKUP($Y6,$A$6:$I$31,7,FALSE)</f>
        <v>104.06215692651784</v>
      </c>
      <c r="AI6" s="161">
        <f>VLOOKUP($Y6,$A$6:$I$31,8,FALSE)</f>
        <v>67.102631604907828</v>
      </c>
      <c r="AJ6" s="161">
        <f>VLOOKUP($Y6,$A$6:$I$31,9,FALSE)</f>
        <v>153.92279876572397</v>
      </c>
      <c r="AK6" s="160">
        <f>VLOOKUP($Y6,$A$6:$M$31,13,FALSE)</f>
        <v>5</v>
      </c>
    </row>
    <row r="7" spans="1:37" x14ac:dyDescent="0.2">
      <c r="A7" s="62" t="s">
        <v>30</v>
      </c>
      <c r="B7" s="62" t="s">
        <v>56</v>
      </c>
      <c r="C7" s="62" t="s">
        <v>200</v>
      </c>
      <c r="D7" s="62"/>
      <c r="E7" s="62">
        <f t="shared" ref="E7:E31" si="2">RANK(G7,$G$6:$G$31,1)</f>
        <v>15</v>
      </c>
      <c r="F7" s="128">
        <v>23</v>
      </c>
      <c r="G7" s="129">
        <v>74.078259727203942</v>
      </c>
      <c r="H7" s="129">
        <v>46.618713125029316</v>
      </c>
      <c r="I7" s="129">
        <v>111.60353691466196</v>
      </c>
      <c r="J7" s="129"/>
      <c r="K7" s="129"/>
      <c r="L7" s="129"/>
      <c r="M7" s="60">
        <f t="shared" si="0"/>
        <v>5</v>
      </c>
      <c r="N7" s="61">
        <f t="shared" ref="N7:N31" si="3">MIN($G$6:$G$32)</f>
        <v>3.1307723615415921</v>
      </c>
      <c r="O7" s="61">
        <f>VLOOKUP(7,$E$5:$G$39,3,FALSE)</f>
        <v>60.261041199073425</v>
      </c>
      <c r="P7" s="129">
        <f t="shared" ref="P7:P31" si="4">$G$32</f>
        <v>74.662565234312666</v>
      </c>
      <c r="Q7" s="129">
        <f t="shared" ref="Q7:Q31" si="5">$H$32</f>
        <v>67.547621975766177</v>
      </c>
      <c r="R7" s="129">
        <f t="shared" ref="R7:R31" si="6">$I$32</f>
        <v>82.317981169089023</v>
      </c>
      <c r="S7" s="61">
        <f t="shared" ref="S7:S31" si="7">VLOOKUP(19,$E$5:$G$39,3,FALSE)</f>
        <v>97.414100365887151</v>
      </c>
      <c r="T7" s="61">
        <f t="shared" si="1"/>
        <v>127.60934194505236</v>
      </c>
      <c r="U7" s="61">
        <f>VLOOKUP(C7,$C$43:$I$46,5,FALSE)</f>
        <v>72.660161710178173</v>
      </c>
      <c r="V7" s="61"/>
      <c r="Y7" s="159" t="s">
        <v>35</v>
      </c>
      <c r="Z7" s="159" t="s">
        <v>60</v>
      </c>
      <c r="AA7" s="159" t="s">
        <v>163</v>
      </c>
      <c r="AB7" s="159">
        <f t="shared" ref="AB7:AB12" si="8">RANK(AH7,$AH$6:$AH$13,1)</f>
        <v>6</v>
      </c>
      <c r="AC7" s="164">
        <f>MIN($AH$6:$AH$13)</f>
        <v>49.087004157339244</v>
      </c>
      <c r="AD7" s="164">
        <f t="shared" ref="AD7:AD13" si="9">MAX($AH$6:$AH$13)</f>
        <v>104.06215692651784</v>
      </c>
      <c r="AE7" s="159"/>
      <c r="AF7" s="159">
        <f t="shared" ref="AF7:AF31" si="10">VLOOKUP($Y7,$A$6:$I$31,5,FALSE)</f>
        <v>18</v>
      </c>
      <c r="AG7" s="160">
        <f t="shared" ref="AG7:AG31" si="11">VLOOKUP($Y7,$A$6:$I$31,6,FALSE)</f>
        <v>30</v>
      </c>
      <c r="AH7" s="161">
        <f t="shared" ref="AH7:AH31" si="12">VLOOKUP($Y7,$A$6:$I$31,7,FALSE)</f>
        <v>83.94906207536647</v>
      </c>
      <c r="AI7" s="161">
        <f t="shared" ref="AI7:AI31" si="13">VLOOKUP($Y7,$A$6:$I$31,8,FALSE)</f>
        <v>56.550886425609178</v>
      </c>
      <c r="AJ7" s="161">
        <f t="shared" ref="AJ7:AJ31" si="14">VLOOKUP($Y7,$A$6:$I$31,9,FALSE)</f>
        <v>119.94945079821936</v>
      </c>
      <c r="AK7" s="160">
        <f t="shared" ref="AK7:AK31" si="15">VLOOKUP($Y7,$A$6:$M$31,13,FALSE)</f>
        <v>5</v>
      </c>
    </row>
    <row r="8" spans="1:37" x14ac:dyDescent="0.2">
      <c r="A8" s="62" t="s">
        <v>31</v>
      </c>
      <c r="B8" s="62" t="s">
        <v>57</v>
      </c>
      <c r="C8" s="62" t="s">
        <v>200</v>
      </c>
      <c r="D8" s="62"/>
      <c r="E8" s="62">
        <f t="shared" si="2"/>
        <v>8</v>
      </c>
      <c r="F8" s="128">
        <v>20</v>
      </c>
      <c r="G8" s="129">
        <v>60.585596746566374</v>
      </c>
      <c r="H8" s="129">
        <v>36.969937386874818</v>
      </c>
      <c r="I8" s="129">
        <v>93.604708957843641</v>
      </c>
      <c r="J8" s="129"/>
      <c r="K8" s="129"/>
      <c r="L8" s="129"/>
      <c r="M8" s="60">
        <f t="shared" si="0"/>
        <v>5</v>
      </c>
      <c r="N8" s="61">
        <f t="shared" si="3"/>
        <v>3.1307723615415921</v>
      </c>
      <c r="O8" s="61">
        <f t="shared" ref="O8:O31" si="16">VLOOKUP(7,$E$5:$G$39,3,FALSE)</f>
        <v>60.261041199073425</v>
      </c>
      <c r="P8" s="129">
        <f t="shared" si="4"/>
        <v>74.662565234312666</v>
      </c>
      <c r="Q8" s="129">
        <f t="shared" si="5"/>
        <v>67.547621975766177</v>
      </c>
      <c r="R8" s="129">
        <f t="shared" si="6"/>
        <v>82.317981169089023</v>
      </c>
      <c r="S8" s="61">
        <f t="shared" si="7"/>
        <v>97.414100365887151</v>
      </c>
      <c r="T8" s="61">
        <f t="shared" si="1"/>
        <v>127.60934194505236</v>
      </c>
      <c r="U8" s="61">
        <f t="shared" ref="U8:U31" si="17">VLOOKUP(C8,$C$43:$I$46,5,FALSE)</f>
        <v>72.660161710178173</v>
      </c>
      <c r="V8" s="61"/>
      <c r="Y8" s="159" t="s">
        <v>41</v>
      </c>
      <c r="Z8" s="159" t="s">
        <v>64</v>
      </c>
      <c r="AA8" s="159" t="s">
        <v>163</v>
      </c>
      <c r="AB8" s="159">
        <f t="shared" si="8"/>
        <v>5</v>
      </c>
      <c r="AC8" s="164">
        <f t="shared" ref="AC8:AC13" si="18">MIN($AH$6:$AH$13)</f>
        <v>49.087004157339244</v>
      </c>
      <c r="AD8" s="164">
        <f>MAX($AH$6:$AH$13)</f>
        <v>104.06215692651784</v>
      </c>
      <c r="AE8" s="159"/>
      <c r="AF8" s="159">
        <f t="shared" si="10"/>
        <v>14</v>
      </c>
      <c r="AG8" s="160">
        <f t="shared" si="11"/>
        <v>22</v>
      </c>
      <c r="AH8" s="161">
        <f t="shared" si="12"/>
        <v>68.791533141635639</v>
      </c>
      <c r="AI8" s="161">
        <f t="shared" si="13"/>
        <v>43.023920115839658</v>
      </c>
      <c r="AJ8" s="161">
        <f t="shared" si="14"/>
        <v>104.25557271963687</v>
      </c>
      <c r="AK8" s="160">
        <f t="shared" si="15"/>
        <v>5</v>
      </c>
    </row>
    <row r="9" spans="1:37" x14ac:dyDescent="0.2">
      <c r="A9" s="62" t="s">
        <v>32</v>
      </c>
      <c r="B9" s="62" t="s">
        <v>156</v>
      </c>
      <c r="C9" s="62" t="s">
        <v>201</v>
      </c>
      <c r="D9" s="62"/>
      <c r="E9" s="62">
        <f t="shared" si="2"/>
        <v>24</v>
      </c>
      <c r="F9" s="128">
        <v>31</v>
      </c>
      <c r="G9" s="129">
        <v>120.73602546042206</v>
      </c>
      <c r="H9" s="129">
        <v>79.515998925685068</v>
      </c>
      <c r="I9" s="129">
        <v>174.65548905747232</v>
      </c>
      <c r="J9" s="129"/>
      <c r="K9" s="129"/>
      <c r="L9" s="129"/>
      <c r="M9" s="60">
        <f t="shared" si="0"/>
        <v>5</v>
      </c>
      <c r="N9" s="61">
        <f t="shared" si="3"/>
        <v>3.1307723615415921</v>
      </c>
      <c r="O9" s="61">
        <f t="shared" si="16"/>
        <v>60.261041199073425</v>
      </c>
      <c r="P9" s="129">
        <f t="shared" si="4"/>
        <v>74.662565234312666</v>
      </c>
      <c r="Q9" s="129">
        <f t="shared" si="5"/>
        <v>67.547621975766177</v>
      </c>
      <c r="R9" s="129">
        <f t="shared" si="6"/>
        <v>82.317981169089023</v>
      </c>
      <c r="S9" s="61">
        <f t="shared" si="7"/>
        <v>97.414100365887151</v>
      </c>
      <c r="T9" s="61">
        <f t="shared" si="1"/>
        <v>127.60934194505236</v>
      </c>
      <c r="U9" s="61">
        <f t="shared" si="17"/>
        <v>76.186639636787376</v>
      </c>
      <c r="V9" s="61"/>
      <c r="X9" s="63"/>
      <c r="Y9" s="159" t="s">
        <v>45</v>
      </c>
      <c r="Z9" s="159" t="s">
        <v>67</v>
      </c>
      <c r="AA9" s="159" t="s">
        <v>163</v>
      </c>
      <c r="AB9" s="159">
        <f t="shared" si="8"/>
        <v>7</v>
      </c>
      <c r="AC9" s="164">
        <f t="shared" si="18"/>
        <v>49.087004157339244</v>
      </c>
      <c r="AD9" s="164">
        <f t="shared" si="9"/>
        <v>104.06215692651784</v>
      </c>
      <c r="AE9" s="159"/>
      <c r="AF9" s="159">
        <f t="shared" si="10"/>
        <v>20</v>
      </c>
      <c r="AG9" s="160">
        <f t="shared" si="11"/>
        <v>21</v>
      </c>
      <c r="AH9" s="161">
        <f t="shared" si="12"/>
        <v>98.648146892619806</v>
      </c>
      <c r="AI9" s="161">
        <f t="shared" si="13"/>
        <v>60.813203277648242</v>
      </c>
      <c r="AJ9" s="161">
        <f t="shared" si="14"/>
        <v>151.11797447860772</v>
      </c>
      <c r="AK9" s="160">
        <f t="shared" si="15"/>
        <v>5</v>
      </c>
    </row>
    <row r="10" spans="1:37" x14ac:dyDescent="0.2">
      <c r="A10" s="62" t="s">
        <v>33</v>
      </c>
      <c r="B10" s="62" t="s">
        <v>58</v>
      </c>
      <c r="C10" s="62" t="s">
        <v>163</v>
      </c>
      <c r="D10" s="62"/>
      <c r="E10" s="62">
        <f t="shared" si="2"/>
        <v>21</v>
      </c>
      <c r="F10" s="128">
        <v>25</v>
      </c>
      <c r="G10" s="129">
        <v>104.06215692651784</v>
      </c>
      <c r="H10" s="129">
        <v>67.102631604907828</v>
      </c>
      <c r="I10" s="129">
        <v>153.92279876572397</v>
      </c>
      <c r="J10" s="129"/>
      <c r="K10" s="129"/>
      <c r="L10" s="129"/>
      <c r="M10" s="60">
        <f t="shared" si="0"/>
        <v>5</v>
      </c>
      <c r="N10" s="61">
        <f t="shared" si="3"/>
        <v>3.1307723615415921</v>
      </c>
      <c r="O10" s="61">
        <f t="shared" si="16"/>
        <v>60.261041199073425</v>
      </c>
      <c r="P10" s="129">
        <f t="shared" si="4"/>
        <v>74.662565234312666</v>
      </c>
      <c r="Q10" s="129">
        <f t="shared" si="5"/>
        <v>67.547621975766177</v>
      </c>
      <c r="R10" s="129">
        <f t="shared" si="6"/>
        <v>82.317981169089023</v>
      </c>
      <c r="S10" s="61">
        <f t="shared" si="7"/>
        <v>97.414100365887151</v>
      </c>
      <c r="T10" s="61">
        <f t="shared" si="1"/>
        <v>127.60934194505236</v>
      </c>
      <c r="U10" s="61">
        <f t="shared" si="17"/>
        <v>74.778086438162859</v>
      </c>
      <c r="V10" s="61"/>
      <c r="Y10" s="159" t="s">
        <v>46</v>
      </c>
      <c r="Z10" s="159" t="s">
        <v>68</v>
      </c>
      <c r="AA10" s="159" t="s">
        <v>163</v>
      </c>
      <c r="AB10" s="159">
        <f t="shared" si="8"/>
        <v>3</v>
      </c>
      <c r="AC10" s="164">
        <f t="shared" si="18"/>
        <v>49.087004157339244</v>
      </c>
      <c r="AD10" s="164">
        <f t="shared" si="9"/>
        <v>104.06215692651784</v>
      </c>
      <c r="AE10" s="159"/>
      <c r="AF10" s="159">
        <f t="shared" si="10"/>
        <v>12</v>
      </c>
      <c r="AG10" s="160">
        <f t="shared" si="11"/>
        <v>22</v>
      </c>
      <c r="AH10" s="161">
        <f t="shared" si="12"/>
        <v>66.076255314501168</v>
      </c>
      <c r="AI10" s="161">
        <f t="shared" si="13"/>
        <v>41.332933555095622</v>
      </c>
      <c r="AJ10" s="161">
        <f t="shared" si="14"/>
        <v>100.13055989010599</v>
      </c>
      <c r="AK10" s="160">
        <f t="shared" si="15"/>
        <v>5</v>
      </c>
    </row>
    <row r="11" spans="1:37" x14ac:dyDescent="0.2">
      <c r="A11" s="62" t="s">
        <v>34</v>
      </c>
      <c r="B11" s="62" t="s">
        <v>59</v>
      </c>
      <c r="C11" s="62" t="s">
        <v>200</v>
      </c>
      <c r="D11" s="62"/>
      <c r="E11" s="62">
        <f t="shared" si="2"/>
        <v>16</v>
      </c>
      <c r="F11" s="128">
        <v>22</v>
      </c>
      <c r="G11" s="129">
        <v>74.381230985396286</v>
      </c>
      <c r="H11" s="129">
        <v>45.988158418654088</v>
      </c>
      <c r="I11" s="129">
        <v>113.45869804608076</v>
      </c>
      <c r="J11" s="129"/>
      <c r="K11" s="129"/>
      <c r="L11" s="129"/>
      <c r="M11" s="60">
        <f t="shared" si="0"/>
        <v>5</v>
      </c>
      <c r="N11" s="61">
        <f t="shared" si="3"/>
        <v>3.1307723615415921</v>
      </c>
      <c r="O11" s="61">
        <f t="shared" si="16"/>
        <v>60.261041199073425</v>
      </c>
      <c r="P11" s="129">
        <f t="shared" si="4"/>
        <v>74.662565234312666</v>
      </c>
      <c r="Q11" s="129">
        <f t="shared" si="5"/>
        <v>67.547621975766177</v>
      </c>
      <c r="R11" s="129">
        <f t="shared" si="6"/>
        <v>82.317981169089023</v>
      </c>
      <c r="S11" s="61">
        <f t="shared" si="7"/>
        <v>97.414100365887151</v>
      </c>
      <c r="T11" s="61">
        <f t="shared" si="1"/>
        <v>127.60934194505236</v>
      </c>
      <c r="U11" s="61">
        <f t="shared" si="17"/>
        <v>72.660161710178173</v>
      </c>
      <c r="V11" s="61"/>
      <c r="Y11" s="159" t="s">
        <v>47</v>
      </c>
      <c r="Z11" s="159" t="s">
        <v>69</v>
      </c>
      <c r="AA11" s="159" t="s">
        <v>163</v>
      </c>
      <c r="AB11" s="159">
        <f t="shared" si="8"/>
        <v>2</v>
      </c>
      <c r="AC11" s="164">
        <f t="shared" si="18"/>
        <v>49.087004157339244</v>
      </c>
      <c r="AD11" s="164">
        <f t="shared" si="9"/>
        <v>104.06215692651784</v>
      </c>
      <c r="AE11" s="159"/>
      <c r="AF11" s="159">
        <f t="shared" si="10"/>
        <v>10</v>
      </c>
      <c r="AG11" s="160">
        <f t="shared" si="11"/>
        <v>9</v>
      </c>
      <c r="AH11" s="161">
        <f t="shared" si="12"/>
        <v>61.819017644431263</v>
      </c>
      <c r="AI11" s="161">
        <f t="shared" si="13"/>
        <v>27.596066805671391</v>
      </c>
      <c r="AJ11" s="161">
        <f t="shared" si="14"/>
        <v>118.37180178189675</v>
      </c>
      <c r="AK11" s="160">
        <f t="shared" si="15"/>
        <v>5</v>
      </c>
    </row>
    <row r="12" spans="1:37" ht="12" customHeight="1" x14ac:dyDescent="0.2">
      <c r="A12" s="62" t="s">
        <v>35</v>
      </c>
      <c r="B12" s="62" t="s">
        <v>60</v>
      </c>
      <c r="C12" s="62" t="s">
        <v>163</v>
      </c>
      <c r="D12" s="62"/>
      <c r="E12" s="62">
        <f t="shared" si="2"/>
        <v>18</v>
      </c>
      <c r="F12" s="128">
        <v>30</v>
      </c>
      <c r="G12" s="129">
        <v>83.94906207536647</v>
      </c>
      <c r="H12" s="129">
        <v>56.550886425609178</v>
      </c>
      <c r="I12" s="129">
        <v>119.94945079821936</v>
      </c>
      <c r="J12" s="129"/>
      <c r="K12" s="129"/>
      <c r="L12" s="129"/>
      <c r="M12" s="60">
        <f t="shared" si="0"/>
        <v>5</v>
      </c>
      <c r="N12" s="61">
        <f t="shared" si="3"/>
        <v>3.1307723615415921</v>
      </c>
      <c r="O12" s="61">
        <f t="shared" si="16"/>
        <v>60.261041199073425</v>
      </c>
      <c r="P12" s="129">
        <f t="shared" si="4"/>
        <v>74.662565234312666</v>
      </c>
      <c r="Q12" s="129">
        <f t="shared" si="5"/>
        <v>67.547621975766177</v>
      </c>
      <c r="R12" s="129">
        <f t="shared" si="6"/>
        <v>82.317981169089023</v>
      </c>
      <c r="S12" s="61">
        <f t="shared" si="7"/>
        <v>97.414100365887151</v>
      </c>
      <c r="T12" s="61">
        <f t="shared" si="1"/>
        <v>127.60934194505236</v>
      </c>
      <c r="U12" s="61">
        <f t="shared" si="17"/>
        <v>74.778086438162859</v>
      </c>
      <c r="V12" s="61"/>
      <c r="Y12" s="159" t="s">
        <v>50</v>
      </c>
      <c r="Z12" s="159" t="s">
        <v>161</v>
      </c>
      <c r="AA12" s="159" t="s">
        <v>163</v>
      </c>
      <c r="AB12" s="159">
        <f t="shared" si="8"/>
        <v>1</v>
      </c>
      <c r="AC12" s="164">
        <f t="shared" si="18"/>
        <v>49.087004157339244</v>
      </c>
      <c r="AD12" s="164">
        <f t="shared" si="9"/>
        <v>104.06215692651784</v>
      </c>
      <c r="AE12" s="159"/>
      <c r="AF12" s="159">
        <f t="shared" si="10"/>
        <v>3</v>
      </c>
      <c r="AG12" s="160">
        <f t="shared" si="11"/>
        <v>6</v>
      </c>
      <c r="AH12" s="161">
        <f t="shared" si="12"/>
        <v>49.087004157339244</v>
      </c>
      <c r="AI12" s="161">
        <f t="shared" si="13"/>
        <v>17.822751738187307</v>
      </c>
      <c r="AJ12" s="161">
        <f t="shared" si="14"/>
        <v>107.03318705064628</v>
      </c>
      <c r="AK12" s="160">
        <f t="shared" si="15"/>
        <v>5</v>
      </c>
    </row>
    <row r="13" spans="1:37" x14ac:dyDescent="0.2">
      <c r="A13" s="62" t="s">
        <v>36</v>
      </c>
      <c r="B13" s="62" t="s">
        <v>61</v>
      </c>
      <c r="C13" s="62" t="s">
        <v>201</v>
      </c>
      <c r="D13" s="62"/>
      <c r="E13" s="62">
        <f t="shared" si="2"/>
        <v>1</v>
      </c>
      <c r="F13" s="128" t="s">
        <v>79</v>
      </c>
      <c r="G13" s="129">
        <v>3.1307723615415921</v>
      </c>
      <c r="H13" s="129">
        <v>4.0925872394428242E-2</v>
      </c>
      <c r="I13" s="129">
        <v>17.418852203986287</v>
      </c>
      <c r="J13" s="129"/>
      <c r="K13" s="129"/>
      <c r="L13" s="129"/>
      <c r="M13" s="60">
        <f t="shared" si="0"/>
        <v>2</v>
      </c>
      <c r="N13" s="61">
        <f t="shared" si="3"/>
        <v>3.1307723615415921</v>
      </c>
      <c r="O13" s="61">
        <f t="shared" si="16"/>
        <v>60.261041199073425</v>
      </c>
      <c r="P13" s="129">
        <f t="shared" si="4"/>
        <v>74.662565234312666</v>
      </c>
      <c r="Q13" s="129">
        <f t="shared" si="5"/>
        <v>67.547621975766177</v>
      </c>
      <c r="R13" s="129">
        <f t="shared" si="6"/>
        <v>82.317981169089023</v>
      </c>
      <c r="S13" s="61">
        <f t="shared" si="7"/>
        <v>97.414100365887151</v>
      </c>
      <c r="T13" s="61">
        <f t="shared" si="1"/>
        <v>127.60934194505236</v>
      </c>
      <c r="U13" s="61">
        <f t="shared" si="17"/>
        <v>76.186639636787376</v>
      </c>
      <c r="V13" s="61"/>
      <c r="Y13" s="159" t="s">
        <v>53</v>
      </c>
      <c r="Z13" s="159" t="s">
        <v>162</v>
      </c>
      <c r="AA13" s="159" t="s">
        <v>163</v>
      </c>
      <c r="AB13" s="159">
        <f>RANK(AH13,$AH$6:$AH$13,1)</f>
        <v>4</v>
      </c>
      <c r="AC13" s="164">
        <f t="shared" si="18"/>
        <v>49.087004157339244</v>
      </c>
      <c r="AD13" s="164">
        <f t="shared" si="9"/>
        <v>104.06215692651784</v>
      </c>
      <c r="AE13" s="159"/>
      <c r="AF13" s="159">
        <f t="shared" si="10"/>
        <v>13</v>
      </c>
      <c r="AG13" s="160">
        <f t="shared" si="11"/>
        <v>42</v>
      </c>
      <c r="AH13" s="161">
        <f t="shared" si="12"/>
        <v>66.260270650246269</v>
      </c>
      <c r="AI13" s="161">
        <f t="shared" si="13"/>
        <v>47.598115489001181</v>
      </c>
      <c r="AJ13" s="161">
        <f t="shared" si="14"/>
        <v>89.757571279817782</v>
      </c>
      <c r="AK13" s="160">
        <f t="shared" si="15"/>
        <v>5</v>
      </c>
    </row>
    <row r="14" spans="1:37" x14ac:dyDescent="0.2">
      <c r="A14" s="62" t="s">
        <v>37</v>
      </c>
      <c r="B14" s="62" t="s">
        <v>157</v>
      </c>
      <c r="C14" s="62" t="s">
        <v>201</v>
      </c>
      <c r="D14" s="62"/>
      <c r="E14" s="62">
        <f t="shared" si="2"/>
        <v>4</v>
      </c>
      <c r="F14" s="128">
        <v>15</v>
      </c>
      <c r="G14" s="129">
        <v>49.878526567129349</v>
      </c>
      <c r="H14" s="129">
        <v>25.439353303732691</v>
      </c>
      <c r="I14" s="129">
        <v>85.892280064689544</v>
      </c>
      <c r="J14" s="129"/>
      <c r="K14" s="129"/>
      <c r="L14" s="129"/>
      <c r="M14" s="60">
        <f t="shared" si="0"/>
        <v>5</v>
      </c>
      <c r="N14" s="61">
        <f t="shared" si="3"/>
        <v>3.1307723615415921</v>
      </c>
      <c r="O14" s="61">
        <f t="shared" si="16"/>
        <v>60.261041199073425</v>
      </c>
      <c r="P14" s="129">
        <f t="shared" si="4"/>
        <v>74.662565234312666</v>
      </c>
      <c r="Q14" s="129">
        <f t="shared" si="5"/>
        <v>67.547621975766177</v>
      </c>
      <c r="R14" s="129">
        <f t="shared" si="6"/>
        <v>82.317981169089023</v>
      </c>
      <c r="S14" s="61">
        <f t="shared" si="7"/>
        <v>97.414100365887151</v>
      </c>
      <c r="T14" s="61">
        <f t="shared" si="1"/>
        <v>127.60934194505236</v>
      </c>
      <c r="U14" s="61">
        <f t="shared" si="17"/>
        <v>76.186639636787376</v>
      </c>
      <c r="V14" s="61"/>
      <c r="Y14" s="162" t="s">
        <v>29</v>
      </c>
      <c r="Z14" s="162" t="s">
        <v>55</v>
      </c>
      <c r="AA14" s="162" t="s">
        <v>201</v>
      </c>
      <c r="AB14" s="162">
        <f>RANK(AH14,$AH$14:$AH$22,1)</f>
        <v>4</v>
      </c>
      <c r="AC14" s="165">
        <f t="shared" ref="AC14:AC22" si="19">MIN($AH$14:$AH$22)</f>
        <v>3.1307723615415921</v>
      </c>
      <c r="AD14" s="165">
        <f>MAX($AH$14:$AH$22)</f>
        <v>127.60934194505236</v>
      </c>
      <c r="AE14" s="162"/>
      <c r="AF14" s="162">
        <f t="shared" si="10"/>
        <v>5</v>
      </c>
      <c r="AG14" s="167">
        <f t="shared" si="11"/>
        <v>7</v>
      </c>
      <c r="AH14" s="165">
        <f t="shared" si="12"/>
        <v>55.095423281012373</v>
      </c>
      <c r="AI14" s="165">
        <f t="shared" si="13"/>
        <v>21.908921722853083</v>
      </c>
      <c r="AJ14" s="165">
        <f t="shared" si="14"/>
        <v>113.81263089231129</v>
      </c>
      <c r="AK14" s="167">
        <f t="shared" si="15"/>
        <v>5</v>
      </c>
    </row>
    <row r="15" spans="1:37" x14ac:dyDescent="0.2">
      <c r="A15" s="62" t="s">
        <v>38</v>
      </c>
      <c r="B15" s="62" t="s">
        <v>62</v>
      </c>
      <c r="C15" s="62" t="s">
        <v>201</v>
      </c>
      <c r="D15" s="62"/>
      <c r="E15" s="62">
        <f t="shared" si="2"/>
        <v>23</v>
      </c>
      <c r="F15" s="128">
        <v>19</v>
      </c>
      <c r="G15" s="129">
        <v>112.60214999630992</v>
      </c>
      <c r="H15" s="129">
        <v>67.621378628376746</v>
      </c>
      <c r="I15" s="129">
        <v>176.05035692795983</v>
      </c>
      <c r="J15" s="129"/>
      <c r="K15" s="129"/>
      <c r="L15" s="129"/>
      <c r="M15" s="60">
        <f t="shared" si="0"/>
        <v>5</v>
      </c>
      <c r="N15" s="61">
        <f t="shared" si="3"/>
        <v>3.1307723615415921</v>
      </c>
      <c r="O15" s="61">
        <f t="shared" si="16"/>
        <v>60.261041199073425</v>
      </c>
      <c r="P15" s="129">
        <f t="shared" si="4"/>
        <v>74.662565234312666</v>
      </c>
      <c r="Q15" s="129">
        <f t="shared" si="5"/>
        <v>67.547621975766177</v>
      </c>
      <c r="R15" s="129">
        <f t="shared" si="6"/>
        <v>82.317981169089023</v>
      </c>
      <c r="S15" s="61">
        <f t="shared" si="7"/>
        <v>97.414100365887151</v>
      </c>
      <c r="T15" s="61">
        <f t="shared" si="1"/>
        <v>127.60934194505236</v>
      </c>
      <c r="U15" s="61">
        <f t="shared" si="17"/>
        <v>76.186639636787376</v>
      </c>
      <c r="V15" s="61"/>
      <c r="Y15" s="162" t="s">
        <v>32</v>
      </c>
      <c r="Z15" s="162" t="s">
        <v>156</v>
      </c>
      <c r="AA15" s="162" t="s">
        <v>201</v>
      </c>
      <c r="AB15" s="162">
        <f>RANK(AH15,$AH$14:$AH$22,1)</f>
        <v>7</v>
      </c>
      <c r="AC15" s="165">
        <f t="shared" si="19"/>
        <v>3.1307723615415921</v>
      </c>
      <c r="AD15" s="165">
        <f t="shared" ref="AD15:AD22" si="20">MAX($AH$14:$AH$22)</f>
        <v>127.60934194505236</v>
      </c>
      <c r="AE15" s="162"/>
      <c r="AF15" s="162">
        <f t="shared" si="10"/>
        <v>24</v>
      </c>
      <c r="AG15" s="167">
        <f t="shared" si="11"/>
        <v>31</v>
      </c>
      <c r="AH15" s="165">
        <f t="shared" si="12"/>
        <v>120.73602546042206</v>
      </c>
      <c r="AI15" s="165">
        <f t="shared" si="13"/>
        <v>79.515998925685068</v>
      </c>
      <c r="AJ15" s="165">
        <f t="shared" si="14"/>
        <v>174.65548905747232</v>
      </c>
      <c r="AK15" s="167">
        <f t="shared" si="15"/>
        <v>5</v>
      </c>
    </row>
    <row r="16" spans="1:37" x14ac:dyDescent="0.2">
      <c r="A16" s="62" t="s">
        <v>39</v>
      </c>
      <c r="B16" s="62" t="s">
        <v>158</v>
      </c>
      <c r="C16" s="62" t="s">
        <v>200</v>
      </c>
      <c r="D16" s="62"/>
      <c r="E16" s="62">
        <f t="shared" si="2"/>
        <v>19</v>
      </c>
      <c r="F16" s="128">
        <v>25</v>
      </c>
      <c r="G16" s="129">
        <v>97.414100365887151</v>
      </c>
      <c r="H16" s="129">
        <v>62.612405133647528</v>
      </c>
      <c r="I16" s="129">
        <v>144.3636985079749</v>
      </c>
      <c r="J16" s="129"/>
      <c r="K16" s="129"/>
      <c r="L16" s="129"/>
      <c r="M16" s="60">
        <f t="shared" si="0"/>
        <v>5</v>
      </c>
      <c r="N16" s="61">
        <f t="shared" si="3"/>
        <v>3.1307723615415921</v>
      </c>
      <c r="O16" s="61">
        <f t="shared" si="16"/>
        <v>60.261041199073425</v>
      </c>
      <c r="P16" s="129">
        <f t="shared" si="4"/>
        <v>74.662565234312666</v>
      </c>
      <c r="Q16" s="129">
        <f t="shared" si="5"/>
        <v>67.547621975766177</v>
      </c>
      <c r="R16" s="129">
        <f t="shared" si="6"/>
        <v>82.317981169089023</v>
      </c>
      <c r="S16" s="61">
        <f t="shared" si="7"/>
        <v>97.414100365887151</v>
      </c>
      <c r="T16" s="61">
        <f t="shared" si="1"/>
        <v>127.60934194505236</v>
      </c>
      <c r="U16" s="61">
        <f t="shared" si="17"/>
        <v>72.660161710178173</v>
      </c>
      <c r="V16" s="61"/>
      <c r="Y16" s="162" t="s">
        <v>36</v>
      </c>
      <c r="Z16" s="162" t="s">
        <v>61</v>
      </c>
      <c r="AA16" s="162" t="s">
        <v>201</v>
      </c>
      <c r="AB16" s="162">
        <f>RANK(AH16,$AH$14:$AH$22,1)</f>
        <v>1</v>
      </c>
      <c r="AC16" s="165">
        <f t="shared" si="19"/>
        <v>3.1307723615415921</v>
      </c>
      <c r="AD16" s="165">
        <f t="shared" si="20"/>
        <v>127.60934194505236</v>
      </c>
      <c r="AE16" s="162"/>
      <c r="AF16" s="162">
        <f t="shared" si="10"/>
        <v>1</v>
      </c>
      <c r="AG16" s="167" t="str">
        <f t="shared" si="11"/>
        <v>N/A</v>
      </c>
      <c r="AH16" s="165">
        <f t="shared" si="12"/>
        <v>3.1307723615415921</v>
      </c>
      <c r="AI16" s="165">
        <f t="shared" si="13"/>
        <v>4.0925872394428242E-2</v>
      </c>
      <c r="AJ16" s="165">
        <f t="shared" si="14"/>
        <v>17.418852203986287</v>
      </c>
      <c r="AK16" s="167">
        <f t="shared" si="15"/>
        <v>2</v>
      </c>
    </row>
    <row r="17" spans="1:37" x14ac:dyDescent="0.2">
      <c r="A17" s="62" t="s">
        <v>40</v>
      </c>
      <c r="B17" s="62" t="s">
        <v>63</v>
      </c>
      <c r="C17" s="62" t="s">
        <v>200</v>
      </c>
      <c r="D17" s="62"/>
      <c r="E17" s="62">
        <f t="shared" si="2"/>
        <v>6</v>
      </c>
      <c r="F17" s="128">
        <v>12</v>
      </c>
      <c r="G17" s="129">
        <v>58.044330080959519</v>
      </c>
      <c r="H17" s="129">
        <v>29.574912328256623</v>
      </c>
      <c r="I17" s="129">
        <v>101.98952645444307</v>
      </c>
      <c r="J17" s="129"/>
      <c r="K17" s="129"/>
      <c r="L17" s="129"/>
      <c r="M17" s="60">
        <f t="shared" si="0"/>
        <v>5</v>
      </c>
      <c r="N17" s="61">
        <f t="shared" si="3"/>
        <v>3.1307723615415921</v>
      </c>
      <c r="O17" s="61">
        <f t="shared" si="16"/>
        <v>60.261041199073425</v>
      </c>
      <c r="P17" s="129">
        <f t="shared" si="4"/>
        <v>74.662565234312666</v>
      </c>
      <c r="Q17" s="129">
        <f t="shared" si="5"/>
        <v>67.547621975766177</v>
      </c>
      <c r="R17" s="129">
        <f t="shared" si="6"/>
        <v>82.317981169089023</v>
      </c>
      <c r="S17" s="61">
        <f t="shared" si="7"/>
        <v>97.414100365887151</v>
      </c>
      <c r="T17" s="61">
        <f t="shared" si="1"/>
        <v>127.60934194505236</v>
      </c>
      <c r="U17" s="61">
        <f t="shared" si="17"/>
        <v>72.660161710178173</v>
      </c>
      <c r="V17" s="61"/>
      <c r="Y17" s="162" t="s">
        <v>37</v>
      </c>
      <c r="Z17" s="162" t="s">
        <v>157</v>
      </c>
      <c r="AA17" s="162" t="s">
        <v>201</v>
      </c>
      <c r="AB17" s="162">
        <f t="shared" ref="AB17:AB22" si="21">RANK(AH17,$AH$14:$AH$22,1)</f>
        <v>3</v>
      </c>
      <c r="AC17" s="165">
        <f t="shared" si="19"/>
        <v>3.1307723615415921</v>
      </c>
      <c r="AD17" s="165">
        <f>MAX($AH$14:$AH$22)</f>
        <v>127.60934194505236</v>
      </c>
      <c r="AE17" s="162"/>
      <c r="AF17" s="162">
        <f t="shared" si="10"/>
        <v>4</v>
      </c>
      <c r="AG17" s="167">
        <f t="shared" si="11"/>
        <v>15</v>
      </c>
      <c r="AH17" s="165">
        <f t="shared" si="12"/>
        <v>49.878526567129349</v>
      </c>
      <c r="AI17" s="165">
        <f t="shared" si="13"/>
        <v>25.439353303732691</v>
      </c>
      <c r="AJ17" s="165">
        <f t="shared" si="14"/>
        <v>85.892280064689544</v>
      </c>
      <c r="AK17" s="167">
        <f t="shared" si="15"/>
        <v>5</v>
      </c>
    </row>
    <row r="18" spans="1:37" x14ac:dyDescent="0.2">
      <c r="A18" s="62" t="s">
        <v>41</v>
      </c>
      <c r="B18" s="62" t="s">
        <v>64</v>
      </c>
      <c r="C18" s="62" t="s">
        <v>163</v>
      </c>
      <c r="D18" s="62"/>
      <c r="E18" s="62">
        <f t="shared" si="2"/>
        <v>14</v>
      </c>
      <c r="F18" s="128">
        <v>22</v>
      </c>
      <c r="G18" s="129">
        <v>68.791533141635639</v>
      </c>
      <c r="H18" s="129">
        <v>43.023920115839658</v>
      </c>
      <c r="I18" s="129">
        <v>104.25557271963687</v>
      </c>
      <c r="J18" s="129"/>
      <c r="K18" s="129"/>
      <c r="L18" s="129"/>
      <c r="M18" s="60">
        <f t="shared" si="0"/>
        <v>5</v>
      </c>
      <c r="N18" s="61">
        <f t="shared" si="3"/>
        <v>3.1307723615415921</v>
      </c>
      <c r="O18" s="61">
        <f t="shared" si="16"/>
        <v>60.261041199073425</v>
      </c>
      <c r="P18" s="129">
        <f t="shared" si="4"/>
        <v>74.662565234312666</v>
      </c>
      <c r="Q18" s="129">
        <f t="shared" si="5"/>
        <v>67.547621975766177</v>
      </c>
      <c r="R18" s="129">
        <f t="shared" si="6"/>
        <v>82.317981169089023</v>
      </c>
      <c r="S18" s="61">
        <f t="shared" si="7"/>
        <v>97.414100365887151</v>
      </c>
      <c r="T18" s="61">
        <f t="shared" si="1"/>
        <v>127.60934194505236</v>
      </c>
      <c r="U18" s="61">
        <f t="shared" si="17"/>
        <v>74.778086438162859</v>
      </c>
      <c r="V18" s="61"/>
      <c r="Y18" s="162" t="s">
        <v>38</v>
      </c>
      <c r="Z18" s="162" t="s">
        <v>62</v>
      </c>
      <c r="AA18" s="162" t="s">
        <v>201</v>
      </c>
      <c r="AB18" s="162">
        <f t="shared" si="21"/>
        <v>6</v>
      </c>
      <c r="AC18" s="165">
        <f t="shared" si="19"/>
        <v>3.1307723615415921</v>
      </c>
      <c r="AD18" s="165">
        <f t="shared" si="20"/>
        <v>127.60934194505236</v>
      </c>
      <c r="AE18" s="162"/>
      <c r="AF18" s="162">
        <f t="shared" si="10"/>
        <v>23</v>
      </c>
      <c r="AG18" s="167">
        <f t="shared" si="11"/>
        <v>19</v>
      </c>
      <c r="AH18" s="165">
        <f t="shared" si="12"/>
        <v>112.60214999630992</v>
      </c>
      <c r="AI18" s="165">
        <f t="shared" si="13"/>
        <v>67.621378628376746</v>
      </c>
      <c r="AJ18" s="165">
        <f t="shared" si="14"/>
        <v>176.05035692795983</v>
      </c>
      <c r="AK18" s="167">
        <f t="shared" si="15"/>
        <v>5</v>
      </c>
    </row>
    <row r="19" spans="1:37" x14ac:dyDescent="0.2">
      <c r="A19" s="62" t="s">
        <v>42</v>
      </c>
      <c r="B19" s="62" t="s">
        <v>65</v>
      </c>
      <c r="C19" s="62" t="s">
        <v>200</v>
      </c>
      <c r="D19" s="62"/>
      <c r="E19" s="62">
        <f t="shared" si="2"/>
        <v>9</v>
      </c>
      <c r="F19" s="128" t="s">
        <v>79</v>
      </c>
      <c r="G19" s="129">
        <v>61.160653841668669</v>
      </c>
      <c r="H19" s="129">
        <v>19.140290883742114</v>
      </c>
      <c r="I19" s="129">
        <v>143.84800362681096</v>
      </c>
      <c r="J19" s="129"/>
      <c r="K19" s="129"/>
      <c r="L19" s="129"/>
      <c r="M19" s="60">
        <f t="shared" si="0"/>
        <v>5</v>
      </c>
      <c r="N19" s="61">
        <f t="shared" si="3"/>
        <v>3.1307723615415921</v>
      </c>
      <c r="O19" s="61">
        <f t="shared" si="16"/>
        <v>60.261041199073425</v>
      </c>
      <c r="P19" s="129">
        <f t="shared" si="4"/>
        <v>74.662565234312666</v>
      </c>
      <c r="Q19" s="129">
        <f t="shared" si="5"/>
        <v>67.547621975766177</v>
      </c>
      <c r="R19" s="129">
        <f t="shared" si="6"/>
        <v>82.317981169089023</v>
      </c>
      <c r="S19" s="61">
        <f t="shared" si="7"/>
        <v>97.414100365887151</v>
      </c>
      <c r="T19" s="61">
        <f t="shared" si="1"/>
        <v>127.60934194505236</v>
      </c>
      <c r="U19" s="61">
        <f t="shared" si="17"/>
        <v>72.660161710178173</v>
      </c>
      <c r="V19" s="61"/>
      <c r="Y19" s="162" t="s">
        <v>43</v>
      </c>
      <c r="Z19" s="162" t="s">
        <v>159</v>
      </c>
      <c r="AA19" s="162" t="s">
        <v>201</v>
      </c>
      <c r="AB19" s="162">
        <f t="shared" si="21"/>
        <v>5</v>
      </c>
      <c r="AC19" s="165">
        <f t="shared" si="19"/>
        <v>3.1307723615415921</v>
      </c>
      <c r="AD19" s="165">
        <f t="shared" si="20"/>
        <v>127.60934194505236</v>
      </c>
      <c r="AE19" s="162"/>
      <c r="AF19" s="162">
        <f t="shared" si="10"/>
        <v>17</v>
      </c>
      <c r="AG19" s="167">
        <f t="shared" si="11"/>
        <v>15</v>
      </c>
      <c r="AH19" s="165">
        <f t="shared" si="12"/>
        <v>77.864039690409953</v>
      </c>
      <c r="AI19" s="165">
        <f t="shared" si="13"/>
        <v>43.350791735527409</v>
      </c>
      <c r="AJ19" s="165">
        <f t="shared" si="14"/>
        <v>128.72302705676748</v>
      </c>
      <c r="AK19" s="167">
        <f t="shared" si="15"/>
        <v>5</v>
      </c>
    </row>
    <row r="20" spans="1:37" x14ac:dyDescent="0.2">
      <c r="A20" s="62" t="s">
        <v>43</v>
      </c>
      <c r="B20" s="62" t="s">
        <v>159</v>
      </c>
      <c r="C20" s="62" t="s">
        <v>201</v>
      </c>
      <c r="D20" s="62"/>
      <c r="E20" s="62">
        <f t="shared" si="2"/>
        <v>17</v>
      </c>
      <c r="F20" s="128">
        <v>15</v>
      </c>
      <c r="G20" s="129">
        <v>77.864039690409953</v>
      </c>
      <c r="H20" s="129">
        <v>43.350791735527409</v>
      </c>
      <c r="I20" s="129">
        <v>128.72302705676748</v>
      </c>
      <c r="J20" s="129"/>
      <c r="K20" s="129"/>
      <c r="L20" s="129"/>
      <c r="M20" s="60">
        <f t="shared" si="0"/>
        <v>5</v>
      </c>
      <c r="N20" s="61">
        <f t="shared" si="3"/>
        <v>3.1307723615415921</v>
      </c>
      <c r="O20" s="61">
        <f t="shared" si="16"/>
        <v>60.261041199073425</v>
      </c>
      <c r="P20" s="129">
        <f t="shared" si="4"/>
        <v>74.662565234312666</v>
      </c>
      <c r="Q20" s="129">
        <f t="shared" si="5"/>
        <v>67.547621975766177</v>
      </c>
      <c r="R20" s="129">
        <f t="shared" si="6"/>
        <v>82.317981169089023</v>
      </c>
      <c r="S20" s="61">
        <f t="shared" si="7"/>
        <v>97.414100365887151</v>
      </c>
      <c r="T20" s="61">
        <f t="shared" si="1"/>
        <v>127.60934194505236</v>
      </c>
      <c r="U20" s="61">
        <f t="shared" si="17"/>
        <v>76.186639636787376</v>
      </c>
      <c r="V20" s="61"/>
      <c r="Y20" s="162" t="s">
        <v>48</v>
      </c>
      <c r="Z20" s="162" t="s">
        <v>160</v>
      </c>
      <c r="AA20" s="162" t="s">
        <v>201</v>
      </c>
      <c r="AB20" s="162">
        <f t="shared" si="21"/>
        <v>2</v>
      </c>
      <c r="AC20" s="165">
        <f t="shared" si="19"/>
        <v>3.1307723615415921</v>
      </c>
      <c r="AD20" s="165">
        <f t="shared" si="20"/>
        <v>127.60934194505236</v>
      </c>
      <c r="AE20" s="162"/>
      <c r="AF20" s="162">
        <f t="shared" si="10"/>
        <v>2</v>
      </c>
      <c r="AG20" s="167" t="str">
        <f t="shared" si="11"/>
        <v>N/A</v>
      </c>
      <c r="AH20" s="165">
        <f t="shared" si="12"/>
        <v>31.304996821554781</v>
      </c>
      <c r="AI20" s="165">
        <f t="shared" si="13"/>
        <v>10.021243971159166</v>
      </c>
      <c r="AJ20" s="165">
        <f t="shared" si="14"/>
        <v>73.187003372600088</v>
      </c>
      <c r="AK20" s="167">
        <f t="shared" si="15"/>
        <v>5</v>
      </c>
    </row>
    <row r="21" spans="1:37" x14ac:dyDescent="0.2">
      <c r="A21" s="62" t="s">
        <v>44</v>
      </c>
      <c r="B21" s="62" t="s">
        <v>66</v>
      </c>
      <c r="C21" s="62" t="s">
        <v>200</v>
      </c>
      <c r="D21" s="62"/>
      <c r="E21" s="62">
        <f t="shared" si="2"/>
        <v>7</v>
      </c>
      <c r="F21" s="128" t="s">
        <v>79</v>
      </c>
      <c r="G21" s="129">
        <v>60.261041199073425</v>
      </c>
      <c r="H21" s="129">
        <v>19.40105750964392</v>
      </c>
      <c r="I21" s="129">
        <v>140.66500550861397</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5</v>
      </c>
      <c r="N21" s="61">
        <f t="shared" si="3"/>
        <v>3.1307723615415921</v>
      </c>
      <c r="O21" s="61">
        <f t="shared" si="16"/>
        <v>60.261041199073425</v>
      </c>
      <c r="P21" s="129">
        <f t="shared" si="4"/>
        <v>74.662565234312666</v>
      </c>
      <c r="Q21" s="129">
        <f t="shared" si="5"/>
        <v>67.547621975766177</v>
      </c>
      <c r="R21" s="129">
        <f t="shared" si="6"/>
        <v>82.317981169089023</v>
      </c>
      <c r="S21" s="61">
        <f t="shared" si="7"/>
        <v>97.414100365887151</v>
      </c>
      <c r="T21" s="61">
        <f t="shared" si="1"/>
        <v>127.60934194505236</v>
      </c>
      <c r="U21" s="61">
        <f t="shared" si="17"/>
        <v>72.660161710178173</v>
      </c>
      <c r="V21" s="61"/>
      <c r="Y21" s="162" t="s">
        <v>52</v>
      </c>
      <c r="Z21" s="162" t="s">
        <v>72</v>
      </c>
      <c r="AA21" s="162" t="s">
        <v>201</v>
      </c>
      <c r="AB21" s="162">
        <f t="shared" si="21"/>
        <v>8</v>
      </c>
      <c r="AC21" s="165">
        <f t="shared" si="19"/>
        <v>3.1307723615415921</v>
      </c>
      <c r="AD21" s="165">
        <f t="shared" si="20"/>
        <v>127.60934194505236</v>
      </c>
      <c r="AE21" s="162"/>
      <c r="AF21" s="162">
        <f t="shared" si="10"/>
        <v>25</v>
      </c>
      <c r="AG21" s="167" t="str">
        <f t="shared" si="11"/>
        <v>N/A</v>
      </c>
      <c r="AH21" s="165">
        <f t="shared" si="12"/>
        <v>127.60934194505236</v>
      </c>
      <c r="AI21" s="165">
        <f t="shared" si="13"/>
        <v>39.50270004403221</v>
      </c>
      <c r="AJ21" s="165">
        <f t="shared" si="14"/>
        <v>300.98491998464323</v>
      </c>
      <c r="AK21" s="167">
        <f t="shared" si="15"/>
        <v>5</v>
      </c>
    </row>
    <row r="22" spans="1:37" x14ac:dyDescent="0.2">
      <c r="A22" s="62" t="s">
        <v>45</v>
      </c>
      <c r="B22" s="62" t="s">
        <v>67</v>
      </c>
      <c r="C22" s="62" t="s">
        <v>163</v>
      </c>
      <c r="D22" s="62"/>
      <c r="E22" s="62">
        <f t="shared" si="2"/>
        <v>20</v>
      </c>
      <c r="F22" s="128">
        <v>21</v>
      </c>
      <c r="G22" s="129">
        <v>98.648146892619806</v>
      </c>
      <c r="H22" s="129">
        <v>60.813203277648242</v>
      </c>
      <c r="I22" s="129">
        <v>151.11797447860772</v>
      </c>
      <c r="J22" s="129"/>
      <c r="K22" s="129"/>
      <c r="L22" s="129"/>
      <c r="M22" s="60">
        <f t="shared" si="0"/>
        <v>5</v>
      </c>
      <c r="N22" s="61">
        <f t="shared" si="3"/>
        <v>3.1307723615415921</v>
      </c>
      <c r="O22" s="61">
        <f t="shared" si="16"/>
        <v>60.261041199073425</v>
      </c>
      <c r="P22" s="129">
        <f t="shared" si="4"/>
        <v>74.662565234312666</v>
      </c>
      <c r="Q22" s="129">
        <f t="shared" si="5"/>
        <v>67.547621975766177</v>
      </c>
      <c r="R22" s="129">
        <f t="shared" si="6"/>
        <v>82.317981169089023</v>
      </c>
      <c r="S22" s="61">
        <f t="shared" si="7"/>
        <v>97.414100365887151</v>
      </c>
      <c r="T22" s="61">
        <f t="shared" si="1"/>
        <v>127.60934194505236</v>
      </c>
      <c r="U22" s="61">
        <f>VLOOKUP(C22,$C$43:$I$46,5,FALSE)</f>
        <v>74.778086438162859</v>
      </c>
      <c r="V22" s="61"/>
      <c r="Y22" s="162" t="s">
        <v>54</v>
      </c>
      <c r="Z22" s="162" t="s">
        <v>73</v>
      </c>
      <c r="AA22" s="162" t="s">
        <v>201</v>
      </c>
      <c r="AB22" s="162" t="e">
        <f t="shared" si="21"/>
        <v>#VALUE!</v>
      </c>
      <c r="AC22" s="165">
        <f t="shared" si="19"/>
        <v>3.1307723615415921</v>
      </c>
      <c r="AD22" s="165">
        <f t="shared" si="20"/>
        <v>127.60934194505236</v>
      </c>
      <c r="AE22" s="162"/>
      <c r="AF22" s="162" t="e">
        <f t="shared" si="10"/>
        <v>#VALUE!</v>
      </c>
      <c r="AG22" s="167" t="str">
        <f t="shared" si="11"/>
        <v>N/A</v>
      </c>
      <c r="AH22" s="165" t="str">
        <f t="shared" si="12"/>
        <v>N/A</v>
      </c>
      <c r="AI22" s="165" t="str">
        <f t="shared" si="13"/>
        <v>N/A</v>
      </c>
      <c r="AJ22" s="165" t="str">
        <f t="shared" si="14"/>
        <v>N/A</v>
      </c>
      <c r="AK22" s="167">
        <f t="shared" si="15"/>
        <v>0</v>
      </c>
    </row>
    <row r="23" spans="1:37" x14ac:dyDescent="0.2">
      <c r="A23" s="62" t="s">
        <v>46</v>
      </c>
      <c r="B23" s="62" t="s">
        <v>68</v>
      </c>
      <c r="C23" s="62" t="s">
        <v>163</v>
      </c>
      <c r="D23" s="62"/>
      <c r="E23" s="62">
        <f t="shared" si="2"/>
        <v>12</v>
      </c>
      <c r="F23" s="128">
        <v>22</v>
      </c>
      <c r="G23" s="129">
        <v>66.076255314501168</v>
      </c>
      <c r="H23" s="129">
        <v>41.332933555095622</v>
      </c>
      <c r="I23" s="129">
        <v>100.13055989010599</v>
      </c>
      <c r="J23" s="129"/>
      <c r="K23" s="129"/>
      <c r="L23" s="129"/>
      <c r="M23" s="60">
        <f t="shared" si="0"/>
        <v>5</v>
      </c>
      <c r="N23" s="61">
        <f t="shared" si="3"/>
        <v>3.1307723615415921</v>
      </c>
      <c r="O23" s="61">
        <f t="shared" si="16"/>
        <v>60.261041199073425</v>
      </c>
      <c r="P23" s="129">
        <f t="shared" si="4"/>
        <v>74.662565234312666</v>
      </c>
      <c r="Q23" s="129">
        <f t="shared" si="5"/>
        <v>67.547621975766177</v>
      </c>
      <c r="R23" s="129">
        <f t="shared" si="6"/>
        <v>82.317981169089023</v>
      </c>
      <c r="S23" s="61">
        <f t="shared" si="7"/>
        <v>97.414100365887151</v>
      </c>
      <c r="T23" s="61">
        <f t="shared" si="1"/>
        <v>127.60934194505236</v>
      </c>
      <c r="U23" s="61">
        <f t="shared" si="17"/>
        <v>74.778086438162859</v>
      </c>
      <c r="V23" s="61"/>
      <c r="Y23" s="163" t="s">
        <v>30</v>
      </c>
      <c r="Z23" s="163" t="s">
        <v>56</v>
      </c>
      <c r="AA23" s="163" t="s">
        <v>200</v>
      </c>
      <c r="AB23" s="163">
        <f>RANK(AH23,$AH$23:$AH$31,1)</f>
        <v>6</v>
      </c>
      <c r="AC23" s="166">
        <f>MIN($AH$23:$AH$31)</f>
        <v>58.044330080959519</v>
      </c>
      <c r="AD23" s="166">
        <f>MAX($AH$23:$AH$31)</f>
        <v>106.58838213609275</v>
      </c>
      <c r="AE23" s="163"/>
      <c r="AF23" s="163">
        <f t="shared" si="10"/>
        <v>15</v>
      </c>
      <c r="AG23" s="168">
        <f t="shared" si="11"/>
        <v>23</v>
      </c>
      <c r="AH23" s="166">
        <f t="shared" si="12"/>
        <v>74.078259727203942</v>
      </c>
      <c r="AI23" s="166">
        <f t="shared" si="13"/>
        <v>46.618713125029316</v>
      </c>
      <c r="AJ23" s="166">
        <f t="shared" si="14"/>
        <v>111.60353691466196</v>
      </c>
      <c r="AK23" s="168">
        <f t="shared" si="15"/>
        <v>5</v>
      </c>
    </row>
    <row r="24" spans="1:37" x14ac:dyDescent="0.2">
      <c r="A24" s="62" t="s">
        <v>47</v>
      </c>
      <c r="B24" s="62" t="s">
        <v>69</v>
      </c>
      <c r="C24" s="62" t="s">
        <v>163</v>
      </c>
      <c r="D24" s="62"/>
      <c r="E24" s="62">
        <f t="shared" si="2"/>
        <v>10</v>
      </c>
      <c r="F24" s="128">
        <v>9</v>
      </c>
      <c r="G24" s="129">
        <v>61.819017644431263</v>
      </c>
      <c r="H24" s="129">
        <v>27.596066805671391</v>
      </c>
      <c r="I24" s="129">
        <v>118.37180178189675</v>
      </c>
      <c r="J24" s="129"/>
      <c r="K24" s="129"/>
      <c r="L24" s="129"/>
      <c r="M24" s="60">
        <f t="shared" si="0"/>
        <v>5</v>
      </c>
      <c r="N24" s="61">
        <f t="shared" si="3"/>
        <v>3.1307723615415921</v>
      </c>
      <c r="O24" s="61">
        <f t="shared" si="16"/>
        <v>60.261041199073425</v>
      </c>
      <c r="P24" s="129">
        <f t="shared" si="4"/>
        <v>74.662565234312666</v>
      </c>
      <c r="Q24" s="129">
        <f t="shared" si="5"/>
        <v>67.547621975766177</v>
      </c>
      <c r="R24" s="129">
        <f t="shared" si="6"/>
        <v>82.317981169089023</v>
      </c>
      <c r="S24" s="61">
        <f t="shared" si="7"/>
        <v>97.414100365887151</v>
      </c>
      <c r="T24" s="61">
        <f t="shared" si="1"/>
        <v>127.60934194505236</v>
      </c>
      <c r="U24" s="61">
        <f t="shared" si="17"/>
        <v>74.778086438162859</v>
      </c>
      <c r="V24" s="61"/>
      <c r="Y24" s="163" t="s">
        <v>31</v>
      </c>
      <c r="Z24" s="163" t="s">
        <v>57</v>
      </c>
      <c r="AA24" s="163" t="s">
        <v>200</v>
      </c>
      <c r="AB24" s="163">
        <f t="shared" ref="AB24:AB31" si="22">RANK(AH24,$AH$23:$AH$31,1)</f>
        <v>3</v>
      </c>
      <c r="AC24" s="166">
        <f t="shared" ref="AC24:AC31" si="23">MIN($AH$23:$AH$31)</f>
        <v>58.044330080959519</v>
      </c>
      <c r="AD24" s="166">
        <f t="shared" ref="AD24:AD31" si="24">MAX($AH$23:$AH$31)</f>
        <v>106.58838213609275</v>
      </c>
      <c r="AE24" s="163"/>
      <c r="AF24" s="163">
        <f t="shared" si="10"/>
        <v>8</v>
      </c>
      <c r="AG24" s="168">
        <f t="shared" si="11"/>
        <v>20</v>
      </c>
      <c r="AH24" s="166">
        <f t="shared" si="12"/>
        <v>60.585596746566374</v>
      </c>
      <c r="AI24" s="166">
        <f t="shared" si="13"/>
        <v>36.969937386874818</v>
      </c>
      <c r="AJ24" s="166">
        <f t="shared" si="14"/>
        <v>93.604708957843641</v>
      </c>
      <c r="AK24" s="168">
        <f t="shared" si="15"/>
        <v>5</v>
      </c>
    </row>
    <row r="25" spans="1:37" x14ac:dyDescent="0.2">
      <c r="A25" s="62" t="s">
        <v>48</v>
      </c>
      <c r="B25" s="62" t="s">
        <v>160</v>
      </c>
      <c r="C25" s="62" t="s">
        <v>201</v>
      </c>
      <c r="D25" s="62"/>
      <c r="E25" s="62">
        <f t="shared" si="2"/>
        <v>2</v>
      </c>
      <c r="F25" s="128" t="s">
        <v>79</v>
      </c>
      <c r="G25" s="129">
        <v>31.304996821554781</v>
      </c>
      <c r="H25" s="129">
        <v>10.021243971159166</v>
      </c>
      <c r="I25" s="129">
        <v>73.187003372600088</v>
      </c>
      <c r="J25" s="129"/>
      <c r="K25" s="129"/>
      <c r="L25" s="129"/>
      <c r="M25" s="60">
        <f t="shared" si="0"/>
        <v>5</v>
      </c>
      <c r="N25" s="61">
        <f t="shared" si="3"/>
        <v>3.1307723615415921</v>
      </c>
      <c r="O25" s="61">
        <f t="shared" si="16"/>
        <v>60.261041199073425</v>
      </c>
      <c r="P25" s="129">
        <f t="shared" si="4"/>
        <v>74.662565234312666</v>
      </c>
      <c r="Q25" s="129">
        <f t="shared" si="5"/>
        <v>67.547621975766177</v>
      </c>
      <c r="R25" s="129">
        <f t="shared" si="6"/>
        <v>82.317981169089023</v>
      </c>
      <c r="S25" s="61">
        <f t="shared" si="7"/>
        <v>97.414100365887151</v>
      </c>
      <c r="T25" s="61">
        <f t="shared" si="1"/>
        <v>127.60934194505236</v>
      </c>
      <c r="U25" s="61">
        <f t="shared" si="17"/>
        <v>76.186639636787376</v>
      </c>
      <c r="V25" s="61"/>
      <c r="Y25" s="163" t="s">
        <v>34</v>
      </c>
      <c r="Z25" s="163" t="s">
        <v>59</v>
      </c>
      <c r="AA25" s="163" t="s">
        <v>200</v>
      </c>
      <c r="AB25" s="163">
        <f t="shared" si="22"/>
        <v>7</v>
      </c>
      <c r="AC25" s="166">
        <f t="shared" si="23"/>
        <v>58.044330080959519</v>
      </c>
      <c r="AD25" s="166">
        <f t="shared" si="24"/>
        <v>106.58838213609275</v>
      </c>
      <c r="AE25" s="163"/>
      <c r="AF25" s="163">
        <f t="shared" si="10"/>
        <v>16</v>
      </c>
      <c r="AG25" s="168">
        <f t="shared" si="11"/>
        <v>22</v>
      </c>
      <c r="AH25" s="166">
        <f t="shared" si="12"/>
        <v>74.381230985396286</v>
      </c>
      <c r="AI25" s="166">
        <f t="shared" si="13"/>
        <v>45.988158418654088</v>
      </c>
      <c r="AJ25" s="166">
        <f t="shared" si="14"/>
        <v>113.45869804608076</v>
      </c>
      <c r="AK25" s="168">
        <f t="shared" si="15"/>
        <v>5</v>
      </c>
    </row>
    <row r="26" spans="1:37" x14ac:dyDescent="0.2">
      <c r="A26" s="62" t="s">
        <v>49</v>
      </c>
      <c r="B26" s="62" t="s">
        <v>70</v>
      </c>
      <c r="C26" s="62" t="s">
        <v>200</v>
      </c>
      <c r="D26" s="62"/>
      <c r="E26" s="62">
        <f t="shared" si="2"/>
        <v>11</v>
      </c>
      <c r="F26" s="128">
        <v>10</v>
      </c>
      <c r="G26" s="129">
        <v>63.789242798090875</v>
      </c>
      <c r="H26" s="129">
        <v>30.261285646064508</v>
      </c>
      <c r="I26" s="129">
        <v>117.76444877850115</v>
      </c>
      <c r="J26" s="129"/>
      <c r="K26" s="129"/>
      <c r="L26" s="129"/>
      <c r="M26" s="60">
        <f t="shared" si="0"/>
        <v>5</v>
      </c>
      <c r="N26" s="61">
        <f t="shared" si="3"/>
        <v>3.1307723615415921</v>
      </c>
      <c r="O26" s="61">
        <f t="shared" si="16"/>
        <v>60.261041199073425</v>
      </c>
      <c r="P26" s="129">
        <f t="shared" si="4"/>
        <v>74.662565234312666</v>
      </c>
      <c r="Q26" s="129">
        <f t="shared" si="5"/>
        <v>67.547621975766177</v>
      </c>
      <c r="R26" s="129">
        <f t="shared" si="6"/>
        <v>82.317981169089023</v>
      </c>
      <c r="S26" s="61">
        <f t="shared" si="7"/>
        <v>97.414100365887151</v>
      </c>
      <c r="T26" s="61">
        <f t="shared" si="1"/>
        <v>127.60934194505236</v>
      </c>
      <c r="U26" s="61">
        <f t="shared" si="17"/>
        <v>72.660161710178173</v>
      </c>
      <c r="V26" s="61"/>
      <c r="Y26" s="163" t="s">
        <v>39</v>
      </c>
      <c r="Z26" s="163" t="s">
        <v>158</v>
      </c>
      <c r="AA26" s="163" t="s">
        <v>200</v>
      </c>
      <c r="AB26" s="163">
        <f t="shared" si="22"/>
        <v>8</v>
      </c>
      <c r="AC26" s="166">
        <f t="shared" si="23"/>
        <v>58.044330080959519</v>
      </c>
      <c r="AD26" s="166">
        <f t="shared" si="24"/>
        <v>106.58838213609275</v>
      </c>
      <c r="AE26" s="163"/>
      <c r="AF26" s="163">
        <f t="shared" si="10"/>
        <v>19</v>
      </c>
      <c r="AG26" s="168">
        <f t="shared" si="11"/>
        <v>25</v>
      </c>
      <c r="AH26" s="166">
        <f t="shared" si="12"/>
        <v>97.414100365887151</v>
      </c>
      <c r="AI26" s="166">
        <f t="shared" si="13"/>
        <v>62.612405133647528</v>
      </c>
      <c r="AJ26" s="166">
        <f t="shared" si="14"/>
        <v>144.3636985079749</v>
      </c>
      <c r="AK26" s="168">
        <f t="shared" si="15"/>
        <v>5</v>
      </c>
    </row>
    <row r="27" spans="1:37" x14ac:dyDescent="0.2">
      <c r="A27" s="62" t="s">
        <v>50</v>
      </c>
      <c r="B27" s="62" t="s">
        <v>161</v>
      </c>
      <c r="C27" s="62" t="s">
        <v>163</v>
      </c>
      <c r="D27" s="62"/>
      <c r="E27" s="62">
        <f t="shared" si="2"/>
        <v>3</v>
      </c>
      <c r="F27" s="128">
        <v>6</v>
      </c>
      <c r="G27" s="129">
        <v>49.087004157339244</v>
      </c>
      <c r="H27" s="129">
        <v>17.822751738187307</v>
      </c>
      <c r="I27" s="129">
        <v>107.03318705064628</v>
      </c>
      <c r="J27" s="129"/>
      <c r="K27" s="129"/>
      <c r="L27" s="129"/>
      <c r="M27" s="60">
        <f t="shared" si="0"/>
        <v>5</v>
      </c>
      <c r="N27" s="61">
        <f t="shared" si="3"/>
        <v>3.1307723615415921</v>
      </c>
      <c r="O27" s="61">
        <f t="shared" si="16"/>
        <v>60.261041199073425</v>
      </c>
      <c r="P27" s="129">
        <f t="shared" si="4"/>
        <v>74.662565234312666</v>
      </c>
      <c r="Q27" s="129">
        <f t="shared" si="5"/>
        <v>67.547621975766177</v>
      </c>
      <c r="R27" s="129">
        <f t="shared" si="6"/>
        <v>82.317981169089023</v>
      </c>
      <c r="S27" s="61">
        <f t="shared" si="7"/>
        <v>97.414100365887151</v>
      </c>
      <c r="T27" s="61">
        <f t="shared" si="1"/>
        <v>127.60934194505236</v>
      </c>
      <c r="U27" s="61">
        <f t="shared" si="17"/>
        <v>74.778086438162859</v>
      </c>
      <c r="V27" s="61"/>
      <c r="Y27" s="163" t="s">
        <v>40</v>
      </c>
      <c r="Z27" s="163" t="s">
        <v>63</v>
      </c>
      <c r="AA27" s="163" t="s">
        <v>200</v>
      </c>
      <c r="AB27" s="163">
        <f t="shared" si="22"/>
        <v>1</v>
      </c>
      <c r="AC27" s="166">
        <f t="shared" si="23"/>
        <v>58.044330080959519</v>
      </c>
      <c r="AD27" s="166">
        <f t="shared" si="24"/>
        <v>106.58838213609275</v>
      </c>
      <c r="AE27" s="163"/>
      <c r="AF27" s="163">
        <f t="shared" si="10"/>
        <v>6</v>
      </c>
      <c r="AG27" s="168">
        <f t="shared" si="11"/>
        <v>12</v>
      </c>
      <c r="AH27" s="166">
        <f t="shared" si="12"/>
        <v>58.044330080959519</v>
      </c>
      <c r="AI27" s="166">
        <f t="shared" si="13"/>
        <v>29.574912328256623</v>
      </c>
      <c r="AJ27" s="166">
        <f t="shared" si="14"/>
        <v>101.98952645444307</v>
      </c>
      <c r="AK27" s="168">
        <f t="shared" si="15"/>
        <v>5</v>
      </c>
    </row>
    <row r="28" spans="1:37" x14ac:dyDescent="0.2">
      <c r="A28" s="62" t="s">
        <v>51</v>
      </c>
      <c r="B28" s="62" t="s">
        <v>71</v>
      </c>
      <c r="C28" s="62" t="s">
        <v>200</v>
      </c>
      <c r="D28" s="62"/>
      <c r="E28" s="62">
        <f t="shared" si="2"/>
        <v>22</v>
      </c>
      <c r="F28" s="128">
        <v>10</v>
      </c>
      <c r="G28" s="129">
        <v>106.58838213609275</v>
      </c>
      <c r="H28" s="129">
        <v>49.291569766503656</v>
      </c>
      <c r="I28" s="129">
        <v>198.82803860089405</v>
      </c>
      <c r="J28" s="129"/>
      <c r="K28" s="129"/>
      <c r="L28" s="129"/>
      <c r="M28" s="60">
        <f t="shared" si="0"/>
        <v>5</v>
      </c>
      <c r="N28" s="61">
        <f t="shared" si="3"/>
        <v>3.1307723615415921</v>
      </c>
      <c r="O28" s="61">
        <f t="shared" si="16"/>
        <v>60.261041199073425</v>
      </c>
      <c r="P28" s="129">
        <f t="shared" si="4"/>
        <v>74.662565234312666</v>
      </c>
      <c r="Q28" s="129">
        <f t="shared" si="5"/>
        <v>67.547621975766177</v>
      </c>
      <c r="R28" s="129">
        <f t="shared" si="6"/>
        <v>82.317981169089023</v>
      </c>
      <c r="S28" s="61">
        <f t="shared" si="7"/>
        <v>97.414100365887151</v>
      </c>
      <c r="T28" s="61">
        <f t="shared" si="1"/>
        <v>127.60934194505236</v>
      </c>
      <c r="U28" s="61">
        <f t="shared" si="17"/>
        <v>72.660161710178173</v>
      </c>
      <c r="V28" s="61"/>
      <c r="Y28" s="163" t="s">
        <v>42</v>
      </c>
      <c r="Z28" s="163" t="s">
        <v>65</v>
      </c>
      <c r="AA28" s="163" t="s">
        <v>200</v>
      </c>
      <c r="AB28" s="163">
        <f t="shared" si="22"/>
        <v>4</v>
      </c>
      <c r="AC28" s="166">
        <f t="shared" si="23"/>
        <v>58.044330080959519</v>
      </c>
      <c r="AD28" s="166">
        <f t="shared" si="24"/>
        <v>106.58838213609275</v>
      </c>
      <c r="AE28" s="163"/>
      <c r="AF28" s="163">
        <f t="shared" si="10"/>
        <v>9</v>
      </c>
      <c r="AG28" s="168" t="str">
        <f t="shared" si="11"/>
        <v>N/A</v>
      </c>
      <c r="AH28" s="166">
        <f t="shared" si="12"/>
        <v>61.160653841668669</v>
      </c>
      <c r="AI28" s="166">
        <f t="shared" si="13"/>
        <v>19.140290883742114</v>
      </c>
      <c r="AJ28" s="166">
        <f t="shared" si="14"/>
        <v>143.84800362681096</v>
      </c>
      <c r="AK28" s="168">
        <f t="shared" si="15"/>
        <v>5</v>
      </c>
    </row>
    <row r="29" spans="1:37" x14ac:dyDescent="0.2">
      <c r="A29" s="62" t="s">
        <v>52</v>
      </c>
      <c r="B29" s="62" t="s">
        <v>72</v>
      </c>
      <c r="C29" s="62" t="s">
        <v>201</v>
      </c>
      <c r="D29" s="62"/>
      <c r="E29" s="62">
        <f t="shared" si="2"/>
        <v>25</v>
      </c>
      <c r="F29" s="128" t="s">
        <v>79</v>
      </c>
      <c r="G29" s="129">
        <v>127.60934194505236</v>
      </c>
      <c r="H29" s="129">
        <v>39.50270004403221</v>
      </c>
      <c r="I29" s="129">
        <v>300.98491998464323</v>
      </c>
      <c r="J29" s="129"/>
      <c r="K29" s="129"/>
      <c r="L29" s="129"/>
      <c r="M29" s="60">
        <f t="shared" si="0"/>
        <v>5</v>
      </c>
      <c r="N29" s="61">
        <f t="shared" si="3"/>
        <v>3.1307723615415921</v>
      </c>
      <c r="O29" s="61">
        <f t="shared" si="16"/>
        <v>60.261041199073425</v>
      </c>
      <c r="P29" s="129">
        <f t="shared" si="4"/>
        <v>74.662565234312666</v>
      </c>
      <c r="Q29" s="129">
        <f t="shared" si="5"/>
        <v>67.547621975766177</v>
      </c>
      <c r="R29" s="129">
        <f t="shared" si="6"/>
        <v>82.317981169089023</v>
      </c>
      <c r="S29" s="61">
        <f t="shared" si="7"/>
        <v>97.414100365887151</v>
      </c>
      <c r="T29" s="61">
        <f t="shared" si="1"/>
        <v>127.60934194505236</v>
      </c>
      <c r="U29" s="61">
        <f t="shared" si="17"/>
        <v>76.186639636787376</v>
      </c>
      <c r="V29" s="61"/>
      <c r="Y29" s="163" t="s">
        <v>44</v>
      </c>
      <c r="Z29" s="163" t="s">
        <v>66</v>
      </c>
      <c r="AA29" s="163" t="s">
        <v>200</v>
      </c>
      <c r="AB29" s="163">
        <f t="shared" si="22"/>
        <v>2</v>
      </c>
      <c r="AC29" s="166">
        <f t="shared" si="23"/>
        <v>58.044330080959519</v>
      </c>
      <c r="AD29" s="166">
        <f t="shared" si="24"/>
        <v>106.58838213609275</v>
      </c>
      <c r="AE29" s="163"/>
      <c r="AF29" s="163">
        <f t="shared" si="10"/>
        <v>7</v>
      </c>
      <c r="AG29" s="168" t="str">
        <f t="shared" si="11"/>
        <v>N/A</v>
      </c>
      <c r="AH29" s="166">
        <f t="shared" si="12"/>
        <v>60.261041199073425</v>
      </c>
      <c r="AI29" s="166">
        <f t="shared" si="13"/>
        <v>19.40105750964392</v>
      </c>
      <c r="AJ29" s="166">
        <f t="shared" si="14"/>
        <v>140.66500550861397</v>
      </c>
      <c r="AK29" s="168">
        <f t="shared" si="15"/>
        <v>5</v>
      </c>
    </row>
    <row r="30" spans="1:37" x14ac:dyDescent="0.2">
      <c r="A30" s="62" t="s">
        <v>53</v>
      </c>
      <c r="B30" s="62" t="s">
        <v>162</v>
      </c>
      <c r="C30" s="62" t="s">
        <v>163</v>
      </c>
      <c r="D30" s="62"/>
      <c r="E30" s="62">
        <f t="shared" si="2"/>
        <v>13</v>
      </c>
      <c r="F30" s="128">
        <v>42</v>
      </c>
      <c r="G30" s="129">
        <v>66.260270650246269</v>
      </c>
      <c r="H30" s="129">
        <v>47.598115489001181</v>
      </c>
      <c r="I30" s="129">
        <v>89.757571279817782</v>
      </c>
      <c r="J30" s="129"/>
      <c r="K30" s="129"/>
      <c r="L30" s="129"/>
      <c r="M30" s="60">
        <f t="shared" si="0"/>
        <v>5</v>
      </c>
      <c r="N30" s="61">
        <f t="shared" si="3"/>
        <v>3.1307723615415921</v>
      </c>
      <c r="O30" s="61">
        <f t="shared" si="16"/>
        <v>60.261041199073425</v>
      </c>
      <c r="P30" s="129">
        <f>$G$32</f>
        <v>74.662565234312666</v>
      </c>
      <c r="Q30" s="129">
        <f t="shared" si="5"/>
        <v>67.547621975766177</v>
      </c>
      <c r="R30" s="129">
        <f t="shared" si="6"/>
        <v>82.317981169089023</v>
      </c>
      <c r="S30" s="61">
        <f t="shared" si="7"/>
        <v>97.414100365887151</v>
      </c>
      <c r="T30" s="61">
        <f t="shared" si="1"/>
        <v>127.60934194505236</v>
      </c>
      <c r="U30" s="61">
        <f t="shared" si="17"/>
        <v>74.778086438162859</v>
      </c>
      <c r="V30" s="61"/>
      <c r="Y30" s="163" t="s">
        <v>49</v>
      </c>
      <c r="Z30" s="163" t="s">
        <v>70</v>
      </c>
      <c r="AA30" s="163" t="s">
        <v>200</v>
      </c>
      <c r="AB30" s="163">
        <f t="shared" si="22"/>
        <v>5</v>
      </c>
      <c r="AC30" s="166">
        <f t="shared" si="23"/>
        <v>58.044330080959519</v>
      </c>
      <c r="AD30" s="166">
        <f t="shared" si="24"/>
        <v>106.58838213609275</v>
      </c>
      <c r="AE30" s="163"/>
      <c r="AF30" s="163">
        <f t="shared" si="10"/>
        <v>11</v>
      </c>
      <c r="AG30" s="168">
        <f t="shared" si="11"/>
        <v>10</v>
      </c>
      <c r="AH30" s="166">
        <f t="shared" si="12"/>
        <v>63.789242798090875</v>
      </c>
      <c r="AI30" s="166">
        <f t="shared" si="13"/>
        <v>30.261285646064508</v>
      </c>
      <c r="AJ30" s="166">
        <f t="shared" si="14"/>
        <v>117.76444877850115</v>
      </c>
      <c r="AK30" s="168">
        <f t="shared" si="15"/>
        <v>5</v>
      </c>
    </row>
    <row r="31" spans="1:37" x14ac:dyDescent="0.2">
      <c r="A31" s="62" t="s">
        <v>54</v>
      </c>
      <c r="B31" s="62" t="s">
        <v>73</v>
      </c>
      <c r="C31" s="62" t="s">
        <v>201</v>
      </c>
      <c r="D31" s="62"/>
      <c r="E31" s="62" t="e">
        <f t="shared" si="2"/>
        <v>#VALUE!</v>
      </c>
      <c r="F31" s="128" t="s">
        <v>79</v>
      </c>
      <c r="G31" s="128" t="s">
        <v>79</v>
      </c>
      <c r="H31" s="128" t="s">
        <v>79</v>
      </c>
      <c r="I31" s="128" t="s">
        <v>79</v>
      </c>
      <c r="J31" s="129"/>
      <c r="K31" s="129"/>
      <c r="L31" s="129"/>
      <c r="M31" s="60"/>
      <c r="N31" s="61">
        <f t="shared" si="3"/>
        <v>3.1307723615415921</v>
      </c>
      <c r="O31" s="61">
        <f t="shared" si="16"/>
        <v>60.261041199073425</v>
      </c>
      <c r="P31" s="129">
        <f t="shared" si="4"/>
        <v>74.662565234312666</v>
      </c>
      <c r="Q31" s="129">
        <f t="shared" si="5"/>
        <v>67.547621975766177</v>
      </c>
      <c r="R31" s="129">
        <f t="shared" si="6"/>
        <v>82.317981169089023</v>
      </c>
      <c r="S31" s="61">
        <f t="shared" si="7"/>
        <v>97.414100365887151</v>
      </c>
      <c r="T31" s="61">
        <f t="shared" si="1"/>
        <v>127.60934194505236</v>
      </c>
      <c r="U31" s="61">
        <f t="shared" si="17"/>
        <v>76.186639636787376</v>
      </c>
      <c r="V31" s="61"/>
      <c r="Y31" s="163" t="s">
        <v>51</v>
      </c>
      <c r="Z31" s="163" t="s">
        <v>71</v>
      </c>
      <c r="AA31" s="163" t="s">
        <v>200</v>
      </c>
      <c r="AB31" s="163">
        <f t="shared" si="22"/>
        <v>9</v>
      </c>
      <c r="AC31" s="166">
        <f t="shared" si="23"/>
        <v>58.044330080959519</v>
      </c>
      <c r="AD31" s="166">
        <f t="shared" si="24"/>
        <v>106.58838213609275</v>
      </c>
      <c r="AE31" s="163"/>
      <c r="AF31" s="163">
        <f t="shared" si="10"/>
        <v>22</v>
      </c>
      <c r="AG31" s="168">
        <f t="shared" si="11"/>
        <v>10</v>
      </c>
      <c r="AH31" s="166">
        <f t="shared" si="12"/>
        <v>106.58838213609275</v>
      </c>
      <c r="AI31" s="166">
        <f t="shared" si="13"/>
        <v>49.291569766503656</v>
      </c>
      <c r="AJ31" s="166">
        <f t="shared" si="14"/>
        <v>198.82803860089405</v>
      </c>
      <c r="AK31" s="168">
        <f t="shared" si="15"/>
        <v>5</v>
      </c>
    </row>
    <row r="32" spans="1:37" x14ac:dyDescent="0.2">
      <c r="A32" s="62"/>
      <c r="B32" s="62" t="s">
        <v>171</v>
      </c>
      <c r="C32" s="62"/>
      <c r="D32" s="62"/>
      <c r="E32" s="62"/>
      <c r="F32" s="128">
        <v>410</v>
      </c>
      <c r="G32" s="129">
        <v>74.662565234312666</v>
      </c>
      <c r="H32" s="129">
        <v>67.547621975766177</v>
      </c>
      <c r="I32" s="129">
        <v>82.317981169089023</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177</v>
      </c>
      <c r="G44" s="129">
        <v>74.778086438162859</v>
      </c>
      <c r="H44" s="129">
        <v>64.130672158200525</v>
      </c>
      <c r="I44" s="129">
        <v>86.683111345728136</v>
      </c>
      <c r="J44" s="129">
        <f>VLOOKUP($C44,$AA$6:$AD$13,3,FALSE)</f>
        <v>49.087004157339244</v>
      </c>
      <c r="K44" s="129">
        <f>VLOOKUP($C44,$AA$6:$AD$13,4,FALSE)</f>
        <v>104.06215692651784</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5</v>
      </c>
      <c r="N44" s="61">
        <f>MIN($G$6:$G$31)</f>
        <v>3.1307723615415921</v>
      </c>
      <c r="O44" s="61">
        <f>VLOOKUP(7,$E$5:$G$39,3,FALSE)</f>
        <v>60.261041199073425</v>
      </c>
      <c r="P44" s="129">
        <f>$G$32</f>
        <v>74.662565234312666</v>
      </c>
      <c r="Q44" s="129">
        <f>$H$32</f>
        <v>67.547621975766177</v>
      </c>
      <c r="R44" s="129">
        <f>$I$32</f>
        <v>82.317981169089023</v>
      </c>
      <c r="S44" s="61">
        <f>VLOOKUP(20,$E$5:$G$39,3,FALSE)</f>
        <v>98.648146892619806</v>
      </c>
      <c r="T44" s="61">
        <f>MAX($G$6:$G$31)</f>
        <v>127.60934194505236</v>
      </c>
    </row>
    <row r="45" spans="1:22" x14ac:dyDescent="0.2">
      <c r="C45" s="62" t="s">
        <v>201</v>
      </c>
      <c r="D45" s="62"/>
      <c r="E45" s="62"/>
      <c r="F45" s="128">
        <v>101</v>
      </c>
      <c r="G45" s="129">
        <v>76.186639636787376</v>
      </c>
      <c r="H45" s="129">
        <v>61.533477877721758</v>
      </c>
      <c r="I45" s="129">
        <v>93.177945130745982</v>
      </c>
      <c r="J45" s="129">
        <f>VLOOKUP($C45,$AA$14:$AD$22,3,FALSE)</f>
        <v>3.1307723615415921</v>
      </c>
      <c r="K45" s="129">
        <f>VLOOKUP($C45,$AA$14:$AD$22,4,FALSE)</f>
        <v>127.60934194505236</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5</v>
      </c>
      <c r="N45" s="61">
        <f>MIN($G$6:$G$31)</f>
        <v>3.1307723615415921</v>
      </c>
      <c r="O45" s="61">
        <f>VLOOKUP(7,$E$5:$G$39,3,FALSE)</f>
        <v>60.261041199073425</v>
      </c>
      <c r="P45" s="129">
        <f>$G$32</f>
        <v>74.662565234312666</v>
      </c>
      <c r="Q45" s="129">
        <f t="shared" ref="Q45:Q46" si="25">$H$32</f>
        <v>67.547621975766177</v>
      </c>
      <c r="R45" s="129">
        <f t="shared" ref="R45:R46" si="26">$I$32</f>
        <v>82.317981169089023</v>
      </c>
      <c r="S45" s="61">
        <f>VLOOKUP(20,$E$5:$G$39,3,FALSE)</f>
        <v>98.648146892619806</v>
      </c>
      <c r="T45" s="61">
        <f t="shared" ref="T45:T46" si="27">MAX($G$6:$G$31)</f>
        <v>127.60934194505236</v>
      </c>
    </row>
    <row r="46" spans="1:22" x14ac:dyDescent="0.2">
      <c r="C46" s="62" t="s">
        <v>200</v>
      </c>
      <c r="D46" s="62"/>
      <c r="E46" s="62"/>
      <c r="F46" s="128">
        <v>132</v>
      </c>
      <c r="G46" s="129">
        <v>72.660161710178173</v>
      </c>
      <c r="H46" s="129">
        <v>60.7076482144913</v>
      </c>
      <c r="I46" s="129">
        <v>86.263707375482525</v>
      </c>
      <c r="J46" s="129">
        <f>VLOOKUP($C46,$AA$23:$AD$31,3,FALSE)</f>
        <v>58.044330080959519</v>
      </c>
      <c r="K46" s="129">
        <f>VLOOKUP($C46,$AA$23:$AD$31,4,FALSE)</f>
        <v>106.58838213609275</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5</v>
      </c>
      <c r="N46" s="61">
        <f>MIN($G$6:$G$31)</f>
        <v>3.1307723615415921</v>
      </c>
      <c r="O46" s="61">
        <f>VLOOKUP(7,$E$5:$G$39,3,FALSE)</f>
        <v>60.261041199073425</v>
      </c>
      <c r="P46" s="129">
        <f t="shared" ref="P46" si="28">$G$32</f>
        <v>74.662565234312666</v>
      </c>
      <c r="Q46" s="129">
        <f t="shared" si="25"/>
        <v>67.547621975766177</v>
      </c>
      <c r="R46" s="129">
        <f t="shared" si="26"/>
        <v>82.317981169089023</v>
      </c>
      <c r="S46" s="61">
        <f>VLOOKUP(20,$E$5:$G$39,3,FALSE)</f>
        <v>98.648146892619806</v>
      </c>
      <c r="T46" s="61">
        <f t="shared" si="27"/>
        <v>127.60934194505236</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K2:N2" xr:uid="{00000000-0002-0000-1B00-000000000000}">
      <formula1>"High = Worst,Low = Worst"</formula1>
    </dataValidation>
    <dataValidation type="list" allowBlank="1" showInputMessage="1" showErrorMessage="1" sqref="C2:D2" xr:uid="{00000000-0002-0000-1B00-000001000000}">
      <formula1>"Better / Worse,Higher / Lower,Significance not measured"</formula1>
    </dataValidation>
  </dataValidations>
  <pageMargins left="0.75" right="0.75" top="1" bottom="1" header="0.5" footer="0.5"/>
  <pageSetup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theme="6" tint="0.39997558519241921"/>
  </sheetPr>
  <dimension ref="A1:AK55"/>
  <sheetViews>
    <sheetView workbookViewId="0">
      <selection activeCell="F67" sqref="F67"/>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8" width="7.33203125" style="21" customWidth="1"/>
    <col min="9" max="9" width="6.886718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5.554687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8</v>
      </c>
      <c r="F6" s="128" t="s">
        <v>79</v>
      </c>
      <c r="G6" s="129">
        <v>608.01091255329118</v>
      </c>
      <c r="H6" s="129">
        <v>543.99314897778845</v>
      </c>
      <c r="I6" s="129">
        <v>677.39859805171182</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5</v>
      </c>
      <c r="N6" s="61">
        <f>MIN($G$6:$G$32)</f>
        <v>538.99964780180619</v>
      </c>
      <c r="O6" s="61">
        <f>VLOOKUP(7,$E$5:$G$39,3,FALSE)</f>
        <v>605.37969342511428</v>
      </c>
      <c r="P6" s="129">
        <f>$G$32</f>
        <v>652.18616308014555</v>
      </c>
      <c r="Q6" s="129">
        <f>$H$32</f>
        <v>630.4195963358145</v>
      </c>
      <c r="R6" s="129">
        <f>$I$32</f>
        <v>674.50574276583632</v>
      </c>
      <c r="S6" s="61">
        <f>VLOOKUP(20,$E$5:$G$39,3,FALSE)</f>
        <v>673.77651210859142</v>
      </c>
      <c r="T6" s="61">
        <f t="shared" ref="T6:T31" si="1">MAX($G$6:$G$31)</f>
        <v>785.83076374632401</v>
      </c>
      <c r="U6" s="61">
        <f>VLOOKUP(C6,$C$43:$I$46,5,FALSE)</f>
        <v>621.3002540145792</v>
      </c>
      <c r="V6" s="61"/>
      <c r="Y6" s="159" t="s">
        <v>33</v>
      </c>
      <c r="Z6" s="159" t="s">
        <v>58</v>
      </c>
      <c r="AA6" s="159" t="s">
        <v>163</v>
      </c>
      <c r="AB6" s="159">
        <f>RANK(AH6,$AH$6:$AH$13,1)</f>
        <v>7</v>
      </c>
      <c r="AC6" s="164">
        <f>MIN($AH$6:$AH$13)</f>
        <v>627.43790906407514</v>
      </c>
      <c r="AD6" s="164">
        <f>MAX($AH$6:$AH$13)</f>
        <v>696.0699523637187</v>
      </c>
      <c r="AE6" s="159"/>
      <c r="AF6" s="159">
        <f>VLOOKUP($Y6,$A$6:$I$31,5,FALSE)</f>
        <v>23</v>
      </c>
      <c r="AG6" s="160" t="str">
        <f>VLOOKUP($Y6,$A$6:$I$31,6,FALSE)</f>
        <v>N/A</v>
      </c>
      <c r="AH6" s="161">
        <f>VLOOKUP($Y6,$A$6:$I$31,7,FALSE)</f>
        <v>683.48377999910804</v>
      </c>
      <c r="AI6" s="161">
        <f>VLOOKUP($Y6,$A$6:$I$31,8,FALSE)</f>
        <v>643.22761421616372</v>
      </c>
      <c r="AJ6" s="161">
        <f>VLOOKUP($Y6,$A$6:$I$31,9,FALSE)</f>
        <v>725.58864548278916</v>
      </c>
      <c r="AK6" s="160">
        <f>VLOOKUP($Y6,$A$6:$M$31,13,FALSE)</f>
        <v>5</v>
      </c>
    </row>
    <row r="7" spans="1:37" x14ac:dyDescent="0.2">
      <c r="A7" s="62" t="s">
        <v>30</v>
      </c>
      <c r="B7" s="62" t="s">
        <v>56</v>
      </c>
      <c r="C7" s="62" t="s">
        <v>200</v>
      </c>
      <c r="D7" s="62"/>
      <c r="E7" s="62">
        <f t="shared" ref="E7:E31" si="2">RANK(G7,$G$6:$G$31,1)</f>
        <v>26</v>
      </c>
      <c r="F7" s="128" t="s">
        <v>79</v>
      </c>
      <c r="G7" s="129">
        <v>785.83076374632401</v>
      </c>
      <c r="H7" s="129">
        <v>717.60013015937579</v>
      </c>
      <c r="I7" s="129">
        <v>858.72704416677482</v>
      </c>
      <c r="J7" s="129"/>
      <c r="K7" s="129"/>
      <c r="L7" s="129"/>
      <c r="M7" s="60">
        <f t="shared" si="0"/>
        <v>1</v>
      </c>
      <c r="N7" s="61">
        <f t="shared" ref="N7:N31" si="3">MIN($G$6:$G$32)</f>
        <v>538.99964780180619</v>
      </c>
      <c r="O7" s="61">
        <f>VLOOKUP(7,$E$5:$G$39,3,FALSE)</f>
        <v>605.37969342511428</v>
      </c>
      <c r="P7" s="129">
        <f t="shared" ref="P7:P31" si="4">$G$32</f>
        <v>652.18616308014555</v>
      </c>
      <c r="Q7" s="129">
        <f t="shared" ref="Q7:Q31" si="5">$H$32</f>
        <v>630.4195963358145</v>
      </c>
      <c r="R7" s="129">
        <f t="shared" ref="R7:R31" si="6">$I$32</f>
        <v>674.50574276583632</v>
      </c>
      <c r="S7" s="61">
        <f t="shared" ref="S7:S31" si="7">VLOOKUP(20,$E$5:$G$39,3,FALSE)</f>
        <v>673.77651210859142</v>
      </c>
      <c r="T7" s="61">
        <f t="shared" si="1"/>
        <v>785.83076374632401</v>
      </c>
      <c r="U7" s="61">
        <f>VLOOKUP(C7,$C$43:$I$46,5,FALSE)</f>
        <v>667.99642251288333</v>
      </c>
      <c r="V7" s="61"/>
      <c r="Y7" s="159" t="s">
        <v>35</v>
      </c>
      <c r="Z7" s="159" t="s">
        <v>60</v>
      </c>
      <c r="AA7" s="159" t="s">
        <v>163</v>
      </c>
      <c r="AB7" s="159">
        <f t="shared" ref="AB7:AB12" si="8">RANK(AH7,$AH$6:$AH$13,1)</f>
        <v>5</v>
      </c>
      <c r="AC7" s="164">
        <f>MIN($AH$6:$AH$13)</f>
        <v>627.43790906407514</v>
      </c>
      <c r="AD7" s="164">
        <f t="shared" ref="AD7:AD13" si="9">MAX($AH$6:$AH$13)</f>
        <v>696.0699523637187</v>
      </c>
      <c r="AE7" s="159"/>
      <c r="AF7" s="159">
        <f t="shared" ref="AF7:AF31" si="10">VLOOKUP($Y7,$A$6:$I$31,5,FALSE)</f>
        <v>19</v>
      </c>
      <c r="AG7" s="160" t="str">
        <f t="shared" ref="AG7:AG31" si="11">VLOOKUP($Y7,$A$6:$I$31,6,FALSE)</f>
        <v>N/A</v>
      </c>
      <c r="AH7" s="161">
        <f t="shared" ref="AH7:AH31" si="12">VLOOKUP($Y7,$A$6:$I$31,7,FALSE)</f>
        <v>670.41449245748754</v>
      </c>
      <c r="AI7" s="161">
        <f t="shared" ref="AI7:AI31" si="13">VLOOKUP($Y7,$A$6:$I$31,8,FALSE)</f>
        <v>625.27650287840413</v>
      </c>
      <c r="AJ7" s="161">
        <f t="shared" ref="AJ7:AJ31" si="14">VLOOKUP($Y7,$A$6:$I$31,9,FALSE)</f>
        <v>717.93181040356956</v>
      </c>
      <c r="AK7" s="160">
        <f t="shared" ref="AK7:AK31" si="15">VLOOKUP($Y7,$A$6:$M$31,13,FALSE)</f>
        <v>5</v>
      </c>
    </row>
    <row r="8" spans="1:37" x14ac:dyDescent="0.2">
      <c r="A8" s="62" t="s">
        <v>31</v>
      </c>
      <c r="B8" s="62" t="s">
        <v>57</v>
      </c>
      <c r="C8" s="62" t="s">
        <v>200</v>
      </c>
      <c r="D8" s="62"/>
      <c r="E8" s="62">
        <f t="shared" si="2"/>
        <v>16</v>
      </c>
      <c r="F8" s="128" t="s">
        <v>79</v>
      </c>
      <c r="G8" s="129">
        <v>654.67040238656</v>
      </c>
      <c r="H8" s="129">
        <v>616.15492401982272</v>
      </c>
      <c r="I8" s="129">
        <v>694.94471789472084</v>
      </c>
      <c r="J8" s="129"/>
      <c r="K8" s="129"/>
      <c r="L8" s="129"/>
      <c r="M8" s="60">
        <f t="shared" si="0"/>
        <v>5</v>
      </c>
      <c r="N8" s="61">
        <f t="shared" si="3"/>
        <v>538.99964780180619</v>
      </c>
      <c r="O8" s="61">
        <f t="shared" ref="O8:O31" si="16">VLOOKUP(7,$E$5:$G$39,3,FALSE)</f>
        <v>605.37969342511428</v>
      </c>
      <c r="P8" s="129">
        <f t="shared" si="4"/>
        <v>652.18616308014555</v>
      </c>
      <c r="Q8" s="129">
        <f t="shared" si="5"/>
        <v>630.4195963358145</v>
      </c>
      <c r="R8" s="129">
        <f t="shared" si="6"/>
        <v>674.50574276583632</v>
      </c>
      <c r="S8" s="61">
        <f t="shared" si="7"/>
        <v>673.77651210859142</v>
      </c>
      <c r="T8" s="61">
        <f t="shared" si="1"/>
        <v>785.83076374632401</v>
      </c>
      <c r="U8" s="61">
        <f t="shared" ref="U8:U31" si="17">VLOOKUP(C8,$C$43:$I$46,5,FALSE)</f>
        <v>667.99642251288333</v>
      </c>
      <c r="V8" s="61"/>
      <c r="Y8" s="159" t="s">
        <v>41</v>
      </c>
      <c r="Z8" s="159" t="s">
        <v>64</v>
      </c>
      <c r="AA8" s="159" t="s">
        <v>163</v>
      </c>
      <c r="AB8" s="159">
        <f t="shared" si="8"/>
        <v>6</v>
      </c>
      <c r="AC8" s="164">
        <f t="shared" ref="AC8:AC13" si="18">MIN($AH$6:$AH$13)</f>
        <v>627.43790906407514</v>
      </c>
      <c r="AD8" s="164">
        <f>MAX($AH$6:$AH$13)</f>
        <v>696.0699523637187</v>
      </c>
      <c r="AE8" s="159"/>
      <c r="AF8" s="159">
        <f t="shared" si="10"/>
        <v>22</v>
      </c>
      <c r="AG8" s="160" t="str">
        <f t="shared" si="11"/>
        <v>N/A</v>
      </c>
      <c r="AH8" s="161">
        <f t="shared" si="12"/>
        <v>681.01577793225817</v>
      </c>
      <c r="AI8" s="161">
        <f t="shared" si="13"/>
        <v>638.51844035127363</v>
      </c>
      <c r="AJ8" s="161">
        <f t="shared" si="14"/>
        <v>725.58651626270444</v>
      </c>
      <c r="AK8" s="160">
        <f t="shared" si="15"/>
        <v>5</v>
      </c>
    </row>
    <row r="9" spans="1:37" x14ac:dyDescent="0.2">
      <c r="A9" s="62" t="s">
        <v>32</v>
      </c>
      <c r="B9" s="62" t="s">
        <v>156</v>
      </c>
      <c r="C9" s="62" t="s">
        <v>201</v>
      </c>
      <c r="D9" s="62"/>
      <c r="E9" s="62">
        <f t="shared" si="2"/>
        <v>20</v>
      </c>
      <c r="F9" s="128" t="s">
        <v>79</v>
      </c>
      <c r="G9" s="129">
        <v>673.77651210859142</v>
      </c>
      <c r="H9" s="129">
        <v>628.66525273613979</v>
      </c>
      <c r="I9" s="129">
        <v>721.2185482162165</v>
      </c>
      <c r="J9" s="129"/>
      <c r="K9" s="129"/>
      <c r="L9" s="129"/>
      <c r="M9" s="60">
        <f t="shared" si="0"/>
        <v>5</v>
      </c>
      <c r="N9" s="61">
        <f t="shared" si="3"/>
        <v>538.99964780180619</v>
      </c>
      <c r="O9" s="61">
        <f t="shared" si="16"/>
        <v>605.37969342511428</v>
      </c>
      <c r="P9" s="129">
        <f t="shared" si="4"/>
        <v>652.18616308014555</v>
      </c>
      <c r="Q9" s="129">
        <f t="shared" si="5"/>
        <v>630.4195963358145</v>
      </c>
      <c r="R9" s="129">
        <f t="shared" si="6"/>
        <v>674.50574276583632</v>
      </c>
      <c r="S9" s="61">
        <f t="shared" si="7"/>
        <v>673.77651210859142</v>
      </c>
      <c r="T9" s="61">
        <f t="shared" si="1"/>
        <v>785.83076374632401</v>
      </c>
      <c r="U9" s="61">
        <f t="shared" si="17"/>
        <v>621.3002540145792</v>
      </c>
      <c r="V9" s="61"/>
      <c r="X9" s="63"/>
      <c r="Y9" s="159" t="s">
        <v>45</v>
      </c>
      <c r="Z9" s="159" t="s">
        <v>67</v>
      </c>
      <c r="AA9" s="159" t="s">
        <v>163</v>
      </c>
      <c r="AB9" s="159">
        <f t="shared" si="8"/>
        <v>2</v>
      </c>
      <c r="AC9" s="164">
        <f t="shared" si="18"/>
        <v>627.43790906407514</v>
      </c>
      <c r="AD9" s="164">
        <f t="shared" si="9"/>
        <v>696.0699523637187</v>
      </c>
      <c r="AE9" s="159"/>
      <c r="AF9" s="159">
        <f t="shared" si="10"/>
        <v>15</v>
      </c>
      <c r="AG9" s="160" t="str">
        <f t="shared" si="11"/>
        <v>N/A</v>
      </c>
      <c r="AH9" s="161">
        <f t="shared" si="12"/>
        <v>654.02324631917566</v>
      </c>
      <c r="AI9" s="161">
        <f t="shared" si="13"/>
        <v>606.12662332246953</v>
      </c>
      <c r="AJ9" s="161">
        <f t="shared" si="14"/>
        <v>704.67983784285525</v>
      </c>
      <c r="AK9" s="160">
        <f t="shared" si="15"/>
        <v>5</v>
      </c>
    </row>
    <row r="10" spans="1:37" x14ac:dyDescent="0.2">
      <c r="A10" s="62" t="s">
        <v>33</v>
      </c>
      <c r="B10" s="62" t="s">
        <v>58</v>
      </c>
      <c r="C10" s="62" t="s">
        <v>163</v>
      </c>
      <c r="D10" s="62"/>
      <c r="E10" s="62">
        <f t="shared" si="2"/>
        <v>23</v>
      </c>
      <c r="F10" s="128" t="s">
        <v>79</v>
      </c>
      <c r="G10" s="129">
        <v>683.48377999910804</v>
      </c>
      <c r="H10" s="129">
        <v>643.22761421616372</v>
      </c>
      <c r="I10" s="129">
        <v>725.58864548278916</v>
      </c>
      <c r="J10" s="129"/>
      <c r="K10" s="129"/>
      <c r="L10" s="129"/>
      <c r="M10" s="60">
        <f t="shared" si="0"/>
        <v>5</v>
      </c>
      <c r="N10" s="61">
        <f t="shared" si="3"/>
        <v>538.99964780180619</v>
      </c>
      <c r="O10" s="61">
        <f t="shared" si="16"/>
        <v>605.37969342511428</v>
      </c>
      <c r="P10" s="129">
        <f t="shared" si="4"/>
        <v>652.18616308014555</v>
      </c>
      <c r="Q10" s="129">
        <f t="shared" si="5"/>
        <v>630.4195963358145</v>
      </c>
      <c r="R10" s="129">
        <f t="shared" si="6"/>
        <v>674.50574276583632</v>
      </c>
      <c r="S10" s="61">
        <f t="shared" si="7"/>
        <v>673.77651210859142</v>
      </c>
      <c r="T10" s="61">
        <f t="shared" si="1"/>
        <v>785.83076374632401</v>
      </c>
      <c r="U10" s="61">
        <f t="shared" si="17"/>
        <v>660.61849375100326</v>
      </c>
      <c r="V10" s="61"/>
      <c r="Y10" s="159" t="s">
        <v>46</v>
      </c>
      <c r="Z10" s="159" t="s">
        <v>68</v>
      </c>
      <c r="AA10" s="159" t="s">
        <v>163</v>
      </c>
      <c r="AB10" s="159">
        <f t="shared" si="8"/>
        <v>4</v>
      </c>
      <c r="AC10" s="164">
        <f t="shared" si="18"/>
        <v>627.43790906407514</v>
      </c>
      <c r="AD10" s="164">
        <f t="shared" si="9"/>
        <v>696.0699523637187</v>
      </c>
      <c r="AE10" s="159"/>
      <c r="AF10" s="159">
        <f t="shared" si="10"/>
        <v>18</v>
      </c>
      <c r="AG10" s="160" t="str">
        <f t="shared" si="11"/>
        <v>N/A</v>
      </c>
      <c r="AH10" s="161">
        <f t="shared" si="12"/>
        <v>663.14776892145835</v>
      </c>
      <c r="AI10" s="161">
        <f t="shared" si="13"/>
        <v>621.80298156382753</v>
      </c>
      <c r="AJ10" s="161">
        <f t="shared" si="14"/>
        <v>706.50758501548034</v>
      </c>
      <c r="AK10" s="160">
        <f t="shared" si="15"/>
        <v>5</v>
      </c>
    </row>
    <row r="11" spans="1:37" x14ac:dyDescent="0.2">
      <c r="A11" s="62" t="s">
        <v>34</v>
      </c>
      <c r="B11" s="62" t="s">
        <v>59</v>
      </c>
      <c r="C11" s="62" t="s">
        <v>200</v>
      </c>
      <c r="D11" s="62"/>
      <c r="E11" s="62">
        <f t="shared" si="2"/>
        <v>14</v>
      </c>
      <c r="F11" s="128" t="s">
        <v>79</v>
      </c>
      <c r="G11" s="129">
        <v>651.71969520174343</v>
      </c>
      <c r="H11" s="129">
        <v>610.23286071812277</v>
      </c>
      <c r="I11" s="129">
        <v>695.25137581091042</v>
      </c>
      <c r="J11" s="129"/>
      <c r="K11" s="129"/>
      <c r="L11" s="129"/>
      <c r="M11" s="60">
        <f t="shared" si="0"/>
        <v>5</v>
      </c>
      <c r="N11" s="61">
        <f t="shared" si="3"/>
        <v>538.99964780180619</v>
      </c>
      <c r="O11" s="61">
        <f t="shared" si="16"/>
        <v>605.37969342511428</v>
      </c>
      <c r="P11" s="129">
        <f t="shared" si="4"/>
        <v>652.18616308014555</v>
      </c>
      <c r="Q11" s="129">
        <f t="shared" si="5"/>
        <v>630.4195963358145</v>
      </c>
      <c r="R11" s="129">
        <f t="shared" si="6"/>
        <v>674.50574276583632</v>
      </c>
      <c r="S11" s="61">
        <f t="shared" si="7"/>
        <v>673.77651210859142</v>
      </c>
      <c r="T11" s="61">
        <f t="shared" si="1"/>
        <v>785.83076374632401</v>
      </c>
      <c r="U11" s="61">
        <f t="shared" si="17"/>
        <v>667.99642251288333</v>
      </c>
      <c r="V11" s="61"/>
      <c r="Y11" s="159" t="s">
        <v>47</v>
      </c>
      <c r="Z11" s="159" t="s">
        <v>69</v>
      </c>
      <c r="AA11" s="159" t="s">
        <v>163</v>
      </c>
      <c r="AB11" s="159">
        <f t="shared" si="8"/>
        <v>8</v>
      </c>
      <c r="AC11" s="164">
        <f t="shared" si="18"/>
        <v>627.43790906407514</v>
      </c>
      <c r="AD11" s="164">
        <f t="shared" si="9"/>
        <v>696.0699523637187</v>
      </c>
      <c r="AE11" s="159"/>
      <c r="AF11" s="159">
        <f t="shared" si="10"/>
        <v>24</v>
      </c>
      <c r="AG11" s="160" t="str">
        <f t="shared" si="11"/>
        <v>N/A</v>
      </c>
      <c r="AH11" s="161">
        <f t="shared" si="12"/>
        <v>696.0699523637187</v>
      </c>
      <c r="AI11" s="161">
        <f t="shared" si="13"/>
        <v>594.89854988542959</v>
      </c>
      <c r="AJ11" s="161">
        <f t="shared" si="14"/>
        <v>809.4502274323753</v>
      </c>
      <c r="AK11" s="160">
        <f t="shared" si="15"/>
        <v>5</v>
      </c>
    </row>
    <row r="12" spans="1:37" x14ac:dyDescent="0.2">
      <c r="A12" s="62" t="s">
        <v>35</v>
      </c>
      <c r="B12" s="62" t="s">
        <v>60</v>
      </c>
      <c r="C12" s="62" t="s">
        <v>163</v>
      </c>
      <c r="D12" s="62"/>
      <c r="E12" s="62">
        <f t="shared" si="2"/>
        <v>19</v>
      </c>
      <c r="F12" s="128" t="s">
        <v>79</v>
      </c>
      <c r="G12" s="129">
        <v>670.41449245748754</v>
      </c>
      <c r="H12" s="129">
        <v>625.27650287840413</v>
      </c>
      <c r="I12" s="129">
        <v>717.93181040356956</v>
      </c>
      <c r="J12" s="129"/>
      <c r="K12" s="129"/>
      <c r="L12" s="129"/>
      <c r="M12" s="60">
        <f t="shared" si="0"/>
        <v>5</v>
      </c>
      <c r="N12" s="61">
        <f t="shared" si="3"/>
        <v>538.99964780180619</v>
      </c>
      <c r="O12" s="61">
        <f t="shared" si="16"/>
        <v>605.37969342511428</v>
      </c>
      <c r="P12" s="129">
        <f t="shared" si="4"/>
        <v>652.18616308014555</v>
      </c>
      <c r="Q12" s="129">
        <f t="shared" si="5"/>
        <v>630.4195963358145</v>
      </c>
      <c r="R12" s="129">
        <f t="shared" si="6"/>
        <v>674.50574276583632</v>
      </c>
      <c r="S12" s="61">
        <f t="shared" si="7"/>
        <v>673.77651210859142</v>
      </c>
      <c r="T12" s="61">
        <f t="shared" si="1"/>
        <v>785.83076374632401</v>
      </c>
      <c r="U12" s="61">
        <f t="shared" si="17"/>
        <v>660.61849375100326</v>
      </c>
      <c r="V12" s="61"/>
      <c r="Y12" s="159" t="s">
        <v>50</v>
      </c>
      <c r="Z12" s="159" t="s">
        <v>161</v>
      </c>
      <c r="AA12" s="159" t="s">
        <v>163</v>
      </c>
      <c r="AB12" s="159">
        <f t="shared" si="8"/>
        <v>1</v>
      </c>
      <c r="AC12" s="164">
        <f t="shared" si="18"/>
        <v>627.43790906407514</v>
      </c>
      <c r="AD12" s="164">
        <f t="shared" si="9"/>
        <v>696.0699523637187</v>
      </c>
      <c r="AE12" s="159"/>
      <c r="AF12" s="159">
        <f t="shared" si="10"/>
        <v>11</v>
      </c>
      <c r="AG12" s="160" t="str">
        <f t="shared" si="11"/>
        <v>N/A</v>
      </c>
      <c r="AH12" s="161">
        <f t="shared" si="12"/>
        <v>627.43790906407514</v>
      </c>
      <c r="AI12" s="161">
        <f t="shared" si="13"/>
        <v>571.12827582481839</v>
      </c>
      <c r="AJ12" s="161">
        <f t="shared" si="14"/>
        <v>687.75853847945234</v>
      </c>
      <c r="AK12" s="160">
        <f t="shared" si="15"/>
        <v>5</v>
      </c>
    </row>
    <row r="13" spans="1:37" x14ac:dyDescent="0.2">
      <c r="A13" s="62" t="s">
        <v>36</v>
      </c>
      <c r="B13" s="62" t="s">
        <v>61</v>
      </c>
      <c r="C13" s="62" t="s">
        <v>201</v>
      </c>
      <c r="D13" s="62"/>
      <c r="E13" s="62">
        <f t="shared" si="2"/>
        <v>6</v>
      </c>
      <c r="F13" s="128" t="s">
        <v>79</v>
      </c>
      <c r="G13" s="129">
        <v>596.81766379224484</v>
      </c>
      <c r="H13" s="129">
        <v>547.70061682332789</v>
      </c>
      <c r="I13" s="129">
        <v>649.05412137609233</v>
      </c>
      <c r="J13" s="129"/>
      <c r="K13" s="129"/>
      <c r="L13" s="129"/>
      <c r="M13" s="60">
        <f t="shared" si="0"/>
        <v>5</v>
      </c>
      <c r="N13" s="61">
        <f t="shared" si="3"/>
        <v>538.99964780180619</v>
      </c>
      <c r="O13" s="61">
        <f t="shared" si="16"/>
        <v>605.37969342511428</v>
      </c>
      <c r="P13" s="129">
        <f t="shared" si="4"/>
        <v>652.18616308014555</v>
      </c>
      <c r="Q13" s="129">
        <f t="shared" si="5"/>
        <v>630.4195963358145</v>
      </c>
      <c r="R13" s="129">
        <f t="shared" si="6"/>
        <v>674.50574276583632</v>
      </c>
      <c r="S13" s="61">
        <f t="shared" si="7"/>
        <v>673.77651210859142</v>
      </c>
      <c r="T13" s="61">
        <f t="shared" si="1"/>
        <v>785.83076374632401</v>
      </c>
      <c r="U13" s="61">
        <f t="shared" si="17"/>
        <v>621.3002540145792</v>
      </c>
      <c r="V13" s="61"/>
      <c r="Y13" s="159" t="s">
        <v>53</v>
      </c>
      <c r="Z13" s="159" t="s">
        <v>162</v>
      </c>
      <c r="AA13" s="159" t="s">
        <v>163</v>
      </c>
      <c r="AB13" s="159">
        <f>RANK(AH13,$AH$6:$AH$13,1)</f>
        <v>3</v>
      </c>
      <c r="AC13" s="164">
        <f t="shared" si="18"/>
        <v>627.43790906407514</v>
      </c>
      <c r="AD13" s="164">
        <f t="shared" si="9"/>
        <v>696.0699523637187</v>
      </c>
      <c r="AE13" s="159"/>
      <c r="AF13" s="159">
        <f t="shared" si="10"/>
        <v>17</v>
      </c>
      <c r="AG13" s="160" t="str">
        <f t="shared" si="11"/>
        <v>N/A</v>
      </c>
      <c r="AH13" s="161">
        <f t="shared" si="12"/>
        <v>659.01025276212192</v>
      </c>
      <c r="AI13" s="161">
        <f t="shared" si="13"/>
        <v>625.53260836864069</v>
      </c>
      <c r="AJ13" s="161">
        <f t="shared" si="14"/>
        <v>693.80530878810634</v>
      </c>
      <c r="AK13" s="160">
        <f t="shared" si="15"/>
        <v>5</v>
      </c>
    </row>
    <row r="14" spans="1:37" x14ac:dyDescent="0.2">
      <c r="A14" s="62" t="s">
        <v>37</v>
      </c>
      <c r="B14" s="62" t="s">
        <v>157</v>
      </c>
      <c r="C14" s="62" t="s">
        <v>201</v>
      </c>
      <c r="D14" s="62"/>
      <c r="E14" s="62">
        <f t="shared" si="2"/>
        <v>25</v>
      </c>
      <c r="F14" s="128" t="s">
        <v>79</v>
      </c>
      <c r="G14" s="129">
        <v>708.73618845456201</v>
      </c>
      <c r="H14" s="129">
        <v>628.35055218914385</v>
      </c>
      <c r="I14" s="129">
        <v>796.08254648973843</v>
      </c>
      <c r="J14" s="129"/>
      <c r="K14" s="129"/>
      <c r="L14" s="129"/>
      <c r="M14" s="60">
        <f t="shared" si="0"/>
        <v>5</v>
      </c>
      <c r="N14" s="61">
        <f t="shared" si="3"/>
        <v>538.99964780180619</v>
      </c>
      <c r="O14" s="61">
        <f t="shared" si="16"/>
        <v>605.37969342511428</v>
      </c>
      <c r="P14" s="129">
        <f t="shared" si="4"/>
        <v>652.18616308014555</v>
      </c>
      <c r="Q14" s="129">
        <f t="shared" si="5"/>
        <v>630.4195963358145</v>
      </c>
      <c r="R14" s="129">
        <f t="shared" si="6"/>
        <v>674.50574276583632</v>
      </c>
      <c r="S14" s="61">
        <f t="shared" si="7"/>
        <v>673.77651210859142</v>
      </c>
      <c r="T14" s="61">
        <f t="shared" si="1"/>
        <v>785.83076374632401</v>
      </c>
      <c r="U14" s="61">
        <f t="shared" si="17"/>
        <v>621.3002540145792</v>
      </c>
      <c r="V14" s="61"/>
      <c r="Y14" s="162" t="s">
        <v>29</v>
      </c>
      <c r="Z14" s="162" t="s">
        <v>55</v>
      </c>
      <c r="AA14" s="162" t="s">
        <v>201</v>
      </c>
      <c r="AB14" s="162">
        <f>RANK(AH14,$AH$14:$AH$22,1)</f>
        <v>5</v>
      </c>
      <c r="AC14" s="165">
        <f t="shared" ref="AC14:AC22" si="19">MIN($AH$14:$AH$22)</f>
        <v>568.13491090424498</v>
      </c>
      <c r="AD14" s="165">
        <f>MAX($AH$14:$AH$22)</f>
        <v>708.73618845456201</v>
      </c>
      <c r="AE14" s="162"/>
      <c r="AF14" s="162">
        <f t="shared" si="10"/>
        <v>8</v>
      </c>
      <c r="AG14" s="167" t="str">
        <f t="shared" si="11"/>
        <v>N/A</v>
      </c>
      <c r="AH14" s="165">
        <f t="shared" si="12"/>
        <v>608.01091255329118</v>
      </c>
      <c r="AI14" s="165">
        <f t="shared" si="13"/>
        <v>543.99314897778845</v>
      </c>
      <c r="AJ14" s="165">
        <f t="shared" si="14"/>
        <v>677.39859805171182</v>
      </c>
      <c r="AK14" s="167">
        <f t="shared" si="15"/>
        <v>5</v>
      </c>
    </row>
    <row r="15" spans="1:37" x14ac:dyDescent="0.2">
      <c r="A15" s="62" t="s">
        <v>38</v>
      </c>
      <c r="B15" s="62" t="s">
        <v>62</v>
      </c>
      <c r="C15" s="62" t="s">
        <v>201</v>
      </c>
      <c r="D15" s="62"/>
      <c r="E15" s="62">
        <f t="shared" si="2"/>
        <v>9</v>
      </c>
      <c r="F15" s="128" t="s">
        <v>79</v>
      </c>
      <c r="G15" s="129">
        <v>609.12906359974875</v>
      </c>
      <c r="H15" s="129">
        <v>539.78349461313928</v>
      </c>
      <c r="I15" s="129">
        <v>684.84459377187034</v>
      </c>
      <c r="J15" s="129"/>
      <c r="K15" s="129"/>
      <c r="L15" s="129"/>
      <c r="M15" s="60">
        <f t="shared" si="0"/>
        <v>5</v>
      </c>
      <c r="N15" s="61">
        <f t="shared" si="3"/>
        <v>538.99964780180619</v>
      </c>
      <c r="O15" s="61">
        <f t="shared" si="16"/>
        <v>605.37969342511428</v>
      </c>
      <c r="P15" s="129">
        <f t="shared" si="4"/>
        <v>652.18616308014555</v>
      </c>
      <c r="Q15" s="129">
        <f t="shared" si="5"/>
        <v>630.4195963358145</v>
      </c>
      <c r="R15" s="129">
        <f t="shared" si="6"/>
        <v>674.50574276583632</v>
      </c>
      <c r="S15" s="61">
        <f t="shared" si="7"/>
        <v>673.77651210859142</v>
      </c>
      <c r="T15" s="61">
        <f t="shared" si="1"/>
        <v>785.83076374632401</v>
      </c>
      <c r="U15" s="61">
        <f t="shared" si="17"/>
        <v>621.3002540145792</v>
      </c>
      <c r="V15" s="61"/>
      <c r="Y15" s="162" t="s">
        <v>32</v>
      </c>
      <c r="Z15" s="162" t="s">
        <v>156</v>
      </c>
      <c r="AA15" s="162" t="s">
        <v>201</v>
      </c>
      <c r="AB15" s="162">
        <f>RANK(AH15,$AH$14:$AH$22,1)</f>
        <v>8</v>
      </c>
      <c r="AC15" s="165">
        <f t="shared" si="19"/>
        <v>568.13491090424498</v>
      </c>
      <c r="AD15" s="165">
        <f t="shared" ref="AD15:AD22" si="20">MAX($AH$14:$AH$22)</f>
        <v>708.73618845456201</v>
      </c>
      <c r="AE15" s="162"/>
      <c r="AF15" s="162">
        <f t="shared" si="10"/>
        <v>20</v>
      </c>
      <c r="AG15" s="167" t="str">
        <f t="shared" si="11"/>
        <v>N/A</v>
      </c>
      <c r="AH15" s="165">
        <f t="shared" si="12"/>
        <v>673.77651210859142</v>
      </c>
      <c r="AI15" s="165">
        <f t="shared" si="13"/>
        <v>628.66525273613979</v>
      </c>
      <c r="AJ15" s="165">
        <f t="shared" si="14"/>
        <v>721.2185482162165</v>
      </c>
      <c r="AK15" s="167">
        <f t="shared" si="15"/>
        <v>5</v>
      </c>
    </row>
    <row r="16" spans="1:37" x14ac:dyDescent="0.2">
      <c r="A16" s="62" t="s">
        <v>39</v>
      </c>
      <c r="B16" s="62" t="s">
        <v>158</v>
      </c>
      <c r="C16" s="62" t="s">
        <v>200</v>
      </c>
      <c r="D16" s="62"/>
      <c r="E16" s="62">
        <f t="shared" si="2"/>
        <v>12</v>
      </c>
      <c r="F16" s="128" t="s">
        <v>79</v>
      </c>
      <c r="G16" s="129">
        <v>647.74325651634206</v>
      </c>
      <c r="H16" s="129">
        <v>605.6395551524538</v>
      </c>
      <c r="I16" s="129">
        <v>691.96631863847392</v>
      </c>
      <c r="J16" s="129"/>
      <c r="K16" s="129"/>
      <c r="L16" s="129"/>
      <c r="M16" s="60">
        <f t="shared" si="0"/>
        <v>5</v>
      </c>
      <c r="N16" s="61">
        <f t="shared" si="3"/>
        <v>538.99964780180619</v>
      </c>
      <c r="O16" s="61">
        <f t="shared" si="16"/>
        <v>605.37969342511428</v>
      </c>
      <c r="P16" s="129">
        <f t="shared" si="4"/>
        <v>652.18616308014555</v>
      </c>
      <c r="Q16" s="129">
        <f t="shared" si="5"/>
        <v>630.4195963358145</v>
      </c>
      <c r="R16" s="129">
        <f t="shared" si="6"/>
        <v>674.50574276583632</v>
      </c>
      <c r="S16" s="61">
        <f t="shared" si="7"/>
        <v>673.77651210859142</v>
      </c>
      <c r="T16" s="61">
        <f t="shared" si="1"/>
        <v>785.83076374632401</v>
      </c>
      <c r="U16" s="61">
        <f t="shared" si="17"/>
        <v>667.99642251288333</v>
      </c>
      <c r="V16" s="61"/>
      <c r="Y16" s="162" t="s">
        <v>36</v>
      </c>
      <c r="Z16" s="162" t="s">
        <v>61</v>
      </c>
      <c r="AA16" s="162" t="s">
        <v>201</v>
      </c>
      <c r="AB16" s="162">
        <f>RANK(AH16,$AH$14:$AH$22,1)</f>
        <v>3</v>
      </c>
      <c r="AC16" s="165">
        <f t="shared" si="19"/>
        <v>568.13491090424498</v>
      </c>
      <c r="AD16" s="165">
        <f t="shared" si="20"/>
        <v>708.73618845456201</v>
      </c>
      <c r="AE16" s="162"/>
      <c r="AF16" s="162">
        <f t="shared" si="10"/>
        <v>6</v>
      </c>
      <c r="AG16" s="167" t="str">
        <f t="shared" si="11"/>
        <v>N/A</v>
      </c>
      <c r="AH16" s="165">
        <f t="shared" si="12"/>
        <v>596.81766379224484</v>
      </c>
      <c r="AI16" s="165">
        <f t="shared" si="13"/>
        <v>547.70061682332789</v>
      </c>
      <c r="AJ16" s="165">
        <f t="shared" si="14"/>
        <v>649.05412137609233</v>
      </c>
      <c r="AK16" s="167">
        <f t="shared" si="15"/>
        <v>5</v>
      </c>
    </row>
    <row r="17" spans="1:37" x14ac:dyDescent="0.2">
      <c r="A17" s="62" t="s">
        <v>40</v>
      </c>
      <c r="B17" s="62" t="s">
        <v>63</v>
      </c>
      <c r="C17" s="62" t="s">
        <v>200</v>
      </c>
      <c r="D17" s="62"/>
      <c r="E17" s="62">
        <f t="shared" si="2"/>
        <v>13</v>
      </c>
      <c r="F17" s="128" t="s">
        <v>79</v>
      </c>
      <c r="G17" s="129">
        <v>649.60206512608249</v>
      </c>
      <c r="H17" s="129">
        <v>586.64601936311863</v>
      </c>
      <c r="I17" s="129">
        <v>717.40863323869041</v>
      </c>
      <c r="J17" s="129"/>
      <c r="K17" s="129"/>
      <c r="L17" s="129"/>
      <c r="M17" s="60">
        <f t="shared" si="0"/>
        <v>5</v>
      </c>
      <c r="N17" s="61">
        <f t="shared" si="3"/>
        <v>538.99964780180619</v>
      </c>
      <c r="O17" s="61">
        <f t="shared" si="16"/>
        <v>605.37969342511428</v>
      </c>
      <c r="P17" s="129">
        <f t="shared" si="4"/>
        <v>652.18616308014555</v>
      </c>
      <c r="Q17" s="129">
        <f t="shared" si="5"/>
        <v>630.4195963358145</v>
      </c>
      <c r="R17" s="129">
        <f t="shared" si="6"/>
        <v>674.50574276583632</v>
      </c>
      <c r="S17" s="61">
        <f t="shared" si="7"/>
        <v>673.77651210859142</v>
      </c>
      <c r="T17" s="61">
        <f t="shared" si="1"/>
        <v>785.83076374632401</v>
      </c>
      <c r="U17" s="61">
        <f t="shared" si="17"/>
        <v>667.99642251288333</v>
      </c>
      <c r="V17" s="61"/>
      <c r="Y17" s="162" t="s">
        <v>37</v>
      </c>
      <c r="Z17" s="162" t="s">
        <v>157</v>
      </c>
      <c r="AA17" s="162" t="s">
        <v>201</v>
      </c>
      <c r="AB17" s="162">
        <f t="shared" ref="AB17:AB22" si="21">RANK(AH17,$AH$14:$AH$22,1)</f>
        <v>9</v>
      </c>
      <c r="AC17" s="165">
        <f t="shared" si="19"/>
        <v>568.13491090424498</v>
      </c>
      <c r="AD17" s="165">
        <f>MAX($AH$14:$AH$22)</f>
        <v>708.73618845456201</v>
      </c>
      <c r="AE17" s="162"/>
      <c r="AF17" s="162">
        <f t="shared" si="10"/>
        <v>25</v>
      </c>
      <c r="AG17" s="167" t="str">
        <f t="shared" si="11"/>
        <v>N/A</v>
      </c>
      <c r="AH17" s="165">
        <f t="shared" si="12"/>
        <v>708.73618845456201</v>
      </c>
      <c r="AI17" s="165">
        <f t="shared" si="13"/>
        <v>628.35055218914385</v>
      </c>
      <c r="AJ17" s="165">
        <f t="shared" si="14"/>
        <v>796.08254648973843</v>
      </c>
      <c r="AK17" s="167">
        <f t="shared" si="15"/>
        <v>5</v>
      </c>
    </row>
    <row r="18" spans="1:37" x14ac:dyDescent="0.2">
      <c r="A18" s="62" t="s">
        <v>41</v>
      </c>
      <c r="B18" s="62" t="s">
        <v>64</v>
      </c>
      <c r="C18" s="62" t="s">
        <v>163</v>
      </c>
      <c r="D18" s="62"/>
      <c r="E18" s="62">
        <f t="shared" si="2"/>
        <v>22</v>
      </c>
      <c r="F18" s="128" t="s">
        <v>79</v>
      </c>
      <c r="G18" s="129">
        <v>681.01577793225817</v>
      </c>
      <c r="H18" s="129">
        <v>638.51844035127363</v>
      </c>
      <c r="I18" s="129">
        <v>725.58651626270444</v>
      </c>
      <c r="J18" s="129"/>
      <c r="K18" s="129"/>
      <c r="L18" s="129"/>
      <c r="M18" s="60">
        <f t="shared" si="0"/>
        <v>5</v>
      </c>
      <c r="N18" s="61">
        <f t="shared" si="3"/>
        <v>538.99964780180619</v>
      </c>
      <c r="O18" s="61">
        <f t="shared" si="16"/>
        <v>605.37969342511428</v>
      </c>
      <c r="P18" s="129">
        <f t="shared" si="4"/>
        <v>652.18616308014555</v>
      </c>
      <c r="Q18" s="129">
        <f t="shared" si="5"/>
        <v>630.4195963358145</v>
      </c>
      <c r="R18" s="129">
        <f t="shared" si="6"/>
        <v>674.50574276583632</v>
      </c>
      <c r="S18" s="61">
        <f t="shared" si="7"/>
        <v>673.77651210859142</v>
      </c>
      <c r="T18" s="61">
        <f t="shared" si="1"/>
        <v>785.83076374632401</v>
      </c>
      <c r="U18" s="61">
        <f t="shared" si="17"/>
        <v>660.61849375100326</v>
      </c>
      <c r="V18" s="61"/>
      <c r="Y18" s="162" t="s">
        <v>38</v>
      </c>
      <c r="Z18" s="162" t="s">
        <v>62</v>
      </c>
      <c r="AA18" s="162" t="s">
        <v>201</v>
      </c>
      <c r="AB18" s="162">
        <f t="shared" si="21"/>
        <v>6</v>
      </c>
      <c r="AC18" s="165">
        <f t="shared" si="19"/>
        <v>568.13491090424498</v>
      </c>
      <c r="AD18" s="165">
        <f t="shared" si="20"/>
        <v>708.73618845456201</v>
      </c>
      <c r="AE18" s="162"/>
      <c r="AF18" s="162">
        <f t="shared" si="10"/>
        <v>9</v>
      </c>
      <c r="AG18" s="167" t="str">
        <f t="shared" si="11"/>
        <v>N/A</v>
      </c>
      <c r="AH18" s="165">
        <f t="shared" si="12"/>
        <v>609.12906359974875</v>
      </c>
      <c r="AI18" s="165">
        <f t="shared" si="13"/>
        <v>539.78349461313928</v>
      </c>
      <c r="AJ18" s="165">
        <f t="shared" si="14"/>
        <v>684.84459377187034</v>
      </c>
      <c r="AK18" s="167">
        <f t="shared" si="15"/>
        <v>5</v>
      </c>
    </row>
    <row r="19" spans="1:37" x14ac:dyDescent="0.2">
      <c r="A19" s="62" t="s">
        <v>42</v>
      </c>
      <c r="B19" s="62" t="s">
        <v>65</v>
      </c>
      <c r="C19" s="62" t="s">
        <v>200</v>
      </c>
      <c r="D19" s="62"/>
      <c r="E19" s="62">
        <f t="shared" si="2"/>
        <v>4</v>
      </c>
      <c r="F19" s="128" t="s">
        <v>79</v>
      </c>
      <c r="G19" s="129">
        <v>576.92878950917031</v>
      </c>
      <c r="H19" s="129">
        <v>488.38368474479728</v>
      </c>
      <c r="I19" s="129">
        <v>676.33019146671381</v>
      </c>
      <c r="J19" s="129"/>
      <c r="K19" s="129"/>
      <c r="L19" s="129"/>
      <c r="M19" s="60">
        <f t="shared" si="0"/>
        <v>5</v>
      </c>
      <c r="N19" s="61">
        <f t="shared" si="3"/>
        <v>538.99964780180619</v>
      </c>
      <c r="O19" s="61">
        <f t="shared" si="16"/>
        <v>605.37969342511428</v>
      </c>
      <c r="P19" s="129">
        <f t="shared" si="4"/>
        <v>652.18616308014555</v>
      </c>
      <c r="Q19" s="129">
        <f t="shared" si="5"/>
        <v>630.4195963358145</v>
      </c>
      <c r="R19" s="129">
        <f t="shared" si="6"/>
        <v>674.50574276583632</v>
      </c>
      <c r="S19" s="61">
        <f t="shared" si="7"/>
        <v>673.77651210859142</v>
      </c>
      <c r="T19" s="61">
        <f t="shared" si="1"/>
        <v>785.83076374632401</v>
      </c>
      <c r="U19" s="61">
        <f t="shared" si="17"/>
        <v>667.99642251288333</v>
      </c>
      <c r="V19" s="61"/>
      <c r="Y19" s="162" t="s">
        <v>43</v>
      </c>
      <c r="Z19" s="162" t="s">
        <v>159</v>
      </c>
      <c r="AA19" s="162" t="s">
        <v>201</v>
      </c>
      <c r="AB19" s="162">
        <f t="shared" si="21"/>
        <v>2</v>
      </c>
      <c r="AC19" s="165">
        <f t="shared" si="19"/>
        <v>568.13491090424498</v>
      </c>
      <c r="AD19" s="165">
        <f t="shared" si="20"/>
        <v>708.73618845456201</v>
      </c>
      <c r="AE19" s="162"/>
      <c r="AF19" s="162">
        <f t="shared" si="10"/>
        <v>5</v>
      </c>
      <c r="AG19" s="167" t="str">
        <f t="shared" si="11"/>
        <v>N/A</v>
      </c>
      <c r="AH19" s="165">
        <f t="shared" si="12"/>
        <v>587.32704055709428</v>
      </c>
      <c r="AI19" s="165">
        <f t="shared" si="13"/>
        <v>528.08370061318124</v>
      </c>
      <c r="AJ19" s="165">
        <f t="shared" si="14"/>
        <v>651.24595764414914</v>
      </c>
      <c r="AK19" s="167">
        <f t="shared" si="15"/>
        <v>5</v>
      </c>
    </row>
    <row r="20" spans="1:37" x14ac:dyDescent="0.2">
      <c r="A20" s="62" t="s">
        <v>43</v>
      </c>
      <c r="B20" s="62" t="s">
        <v>159</v>
      </c>
      <c r="C20" s="62" t="s">
        <v>201</v>
      </c>
      <c r="D20" s="62"/>
      <c r="E20" s="62">
        <f t="shared" si="2"/>
        <v>5</v>
      </c>
      <c r="F20" s="128" t="s">
        <v>79</v>
      </c>
      <c r="G20" s="129">
        <v>587.32704055709428</v>
      </c>
      <c r="H20" s="129">
        <v>528.08370061318124</v>
      </c>
      <c r="I20" s="129">
        <v>651.24595764414914</v>
      </c>
      <c r="J20" s="129"/>
      <c r="K20" s="129"/>
      <c r="L20" s="129"/>
      <c r="M20" s="60">
        <f t="shared" si="0"/>
        <v>5</v>
      </c>
      <c r="N20" s="61">
        <f t="shared" si="3"/>
        <v>538.99964780180619</v>
      </c>
      <c r="O20" s="61">
        <f t="shared" si="16"/>
        <v>605.37969342511428</v>
      </c>
      <c r="P20" s="129">
        <f t="shared" si="4"/>
        <v>652.18616308014555</v>
      </c>
      <c r="Q20" s="129">
        <f t="shared" si="5"/>
        <v>630.4195963358145</v>
      </c>
      <c r="R20" s="129">
        <f t="shared" si="6"/>
        <v>674.50574276583632</v>
      </c>
      <c r="S20" s="61">
        <f t="shared" si="7"/>
        <v>673.77651210859142</v>
      </c>
      <c r="T20" s="61">
        <f t="shared" si="1"/>
        <v>785.83076374632401</v>
      </c>
      <c r="U20" s="61">
        <f t="shared" si="17"/>
        <v>621.3002540145792</v>
      </c>
      <c r="V20" s="61"/>
      <c r="Y20" s="162" t="s">
        <v>48</v>
      </c>
      <c r="Z20" s="162" t="s">
        <v>160</v>
      </c>
      <c r="AA20" s="162" t="s">
        <v>201</v>
      </c>
      <c r="AB20" s="162">
        <f t="shared" si="21"/>
        <v>1</v>
      </c>
      <c r="AC20" s="165">
        <f t="shared" si="19"/>
        <v>568.13491090424498</v>
      </c>
      <c r="AD20" s="165">
        <f t="shared" si="20"/>
        <v>708.73618845456201</v>
      </c>
      <c r="AE20" s="162"/>
      <c r="AF20" s="162">
        <f t="shared" si="10"/>
        <v>3</v>
      </c>
      <c r="AG20" s="167" t="str">
        <f t="shared" si="11"/>
        <v>N/A</v>
      </c>
      <c r="AH20" s="165">
        <f t="shared" si="12"/>
        <v>568.13491090424498</v>
      </c>
      <c r="AI20" s="165">
        <f t="shared" si="13"/>
        <v>503.90356442910621</v>
      </c>
      <c r="AJ20" s="165">
        <f t="shared" si="14"/>
        <v>638.14021577007657</v>
      </c>
      <c r="AK20" s="167">
        <f t="shared" si="15"/>
        <v>5</v>
      </c>
    </row>
    <row r="21" spans="1:37" x14ac:dyDescent="0.2">
      <c r="A21" s="62" t="s">
        <v>44</v>
      </c>
      <c r="B21" s="62" t="s">
        <v>66</v>
      </c>
      <c r="C21" s="62" t="s">
        <v>200</v>
      </c>
      <c r="D21" s="62"/>
      <c r="E21" s="62">
        <f t="shared" si="2"/>
        <v>1</v>
      </c>
      <c r="F21" s="128" t="s">
        <v>79</v>
      </c>
      <c r="G21" s="129">
        <v>538.99964780180619</v>
      </c>
      <c r="H21" s="129">
        <v>471.14233894841612</v>
      </c>
      <c r="I21" s="129">
        <v>613.64976267812153</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2</v>
      </c>
      <c r="N21" s="61">
        <f t="shared" si="3"/>
        <v>538.99964780180619</v>
      </c>
      <c r="O21" s="61">
        <f t="shared" si="16"/>
        <v>605.37969342511428</v>
      </c>
      <c r="P21" s="129">
        <f t="shared" si="4"/>
        <v>652.18616308014555</v>
      </c>
      <c r="Q21" s="129">
        <f t="shared" si="5"/>
        <v>630.4195963358145</v>
      </c>
      <c r="R21" s="129">
        <f t="shared" si="6"/>
        <v>674.50574276583632</v>
      </c>
      <c r="S21" s="61">
        <f t="shared" si="7"/>
        <v>673.77651210859142</v>
      </c>
      <c r="T21" s="61">
        <f t="shared" si="1"/>
        <v>785.83076374632401</v>
      </c>
      <c r="U21" s="61">
        <f t="shared" si="17"/>
        <v>667.99642251288333</v>
      </c>
      <c r="V21" s="61"/>
      <c r="Y21" s="162" t="s">
        <v>52</v>
      </c>
      <c r="Z21" s="162" t="s">
        <v>72</v>
      </c>
      <c r="AA21" s="162" t="s">
        <v>201</v>
      </c>
      <c r="AB21" s="162">
        <f t="shared" si="21"/>
        <v>4</v>
      </c>
      <c r="AC21" s="165">
        <f t="shared" si="19"/>
        <v>568.13491090424498</v>
      </c>
      <c r="AD21" s="165">
        <f t="shared" si="20"/>
        <v>708.73618845456201</v>
      </c>
      <c r="AE21" s="162"/>
      <c r="AF21" s="162">
        <f t="shared" si="10"/>
        <v>7</v>
      </c>
      <c r="AG21" s="167" t="str">
        <f t="shared" si="11"/>
        <v>N/A</v>
      </c>
      <c r="AH21" s="165">
        <f t="shared" si="12"/>
        <v>605.37969342511428</v>
      </c>
      <c r="AI21" s="165">
        <f t="shared" si="13"/>
        <v>504.14779253271047</v>
      </c>
      <c r="AJ21" s="165">
        <f t="shared" si="14"/>
        <v>719.9091380234687</v>
      </c>
      <c r="AK21" s="167">
        <f t="shared" si="15"/>
        <v>5</v>
      </c>
    </row>
    <row r="22" spans="1:37" x14ac:dyDescent="0.2">
      <c r="A22" s="62" t="s">
        <v>45</v>
      </c>
      <c r="B22" s="62" t="s">
        <v>67</v>
      </c>
      <c r="C22" s="62" t="s">
        <v>163</v>
      </c>
      <c r="D22" s="62"/>
      <c r="E22" s="62">
        <f t="shared" si="2"/>
        <v>15</v>
      </c>
      <c r="F22" s="128" t="s">
        <v>79</v>
      </c>
      <c r="G22" s="129">
        <v>654.02324631917566</v>
      </c>
      <c r="H22" s="129">
        <v>606.12662332246953</v>
      </c>
      <c r="I22" s="129">
        <v>704.67983784285525</v>
      </c>
      <c r="J22" s="129"/>
      <c r="K22" s="129"/>
      <c r="L22" s="129"/>
      <c r="M22" s="60">
        <f t="shared" si="0"/>
        <v>5</v>
      </c>
      <c r="N22" s="61">
        <f t="shared" si="3"/>
        <v>538.99964780180619</v>
      </c>
      <c r="O22" s="61">
        <f t="shared" si="16"/>
        <v>605.37969342511428</v>
      </c>
      <c r="P22" s="129">
        <f t="shared" si="4"/>
        <v>652.18616308014555</v>
      </c>
      <c r="Q22" s="129">
        <f t="shared" si="5"/>
        <v>630.4195963358145</v>
      </c>
      <c r="R22" s="129">
        <f t="shared" si="6"/>
        <v>674.50574276583632</v>
      </c>
      <c r="S22" s="61">
        <f t="shared" si="7"/>
        <v>673.77651210859142</v>
      </c>
      <c r="T22" s="61">
        <f t="shared" si="1"/>
        <v>785.83076374632401</v>
      </c>
      <c r="U22" s="61">
        <f>VLOOKUP(C22,$C$43:$I$46,5,FALSE)</f>
        <v>660.61849375100326</v>
      </c>
      <c r="V22" s="61"/>
      <c r="Y22" s="162" t="s">
        <v>54</v>
      </c>
      <c r="Z22" s="162" t="s">
        <v>73</v>
      </c>
      <c r="AA22" s="162" t="s">
        <v>201</v>
      </c>
      <c r="AB22" s="162">
        <f t="shared" si="21"/>
        <v>7</v>
      </c>
      <c r="AC22" s="165">
        <f t="shared" si="19"/>
        <v>568.13491090424498</v>
      </c>
      <c r="AD22" s="165">
        <f t="shared" si="20"/>
        <v>708.73618845456201</v>
      </c>
      <c r="AE22" s="162"/>
      <c r="AF22" s="162">
        <f t="shared" si="10"/>
        <v>10</v>
      </c>
      <c r="AG22" s="167" t="str">
        <f t="shared" si="11"/>
        <v>N/A</v>
      </c>
      <c r="AH22" s="165">
        <f t="shared" si="12"/>
        <v>615.56743923318015</v>
      </c>
      <c r="AI22" s="165">
        <f t="shared" si="13"/>
        <v>553.97230199835201</v>
      </c>
      <c r="AJ22" s="165">
        <f t="shared" si="14"/>
        <v>681.96497636293213</v>
      </c>
      <c r="AK22" s="167">
        <f t="shared" si="15"/>
        <v>5</v>
      </c>
    </row>
    <row r="23" spans="1:37" x14ac:dyDescent="0.2">
      <c r="A23" s="62" t="s">
        <v>46</v>
      </c>
      <c r="B23" s="62" t="s">
        <v>68</v>
      </c>
      <c r="C23" s="62" t="s">
        <v>163</v>
      </c>
      <c r="D23" s="62"/>
      <c r="E23" s="62">
        <f t="shared" si="2"/>
        <v>18</v>
      </c>
      <c r="F23" s="128" t="s">
        <v>79</v>
      </c>
      <c r="G23" s="129">
        <v>663.14776892145835</v>
      </c>
      <c r="H23" s="129">
        <v>621.80298156382753</v>
      </c>
      <c r="I23" s="129">
        <v>706.50758501548034</v>
      </c>
      <c r="J23" s="129"/>
      <c r="K23" s="129"/>
      <c r="L23" s="129"/>
      <c r="M23" s="60">
        <f t="shared" si="0"/>
        <v>5</v>
      </c>
      <c r="N23" s="61">
        <f t="shared" si="3"/>
        <v>538.99964780180619</v>
      </c>
      <c r="O23" s="61">
        <f t="shared" si="16"/>
        <v>605.37969342511428</v>
      </c>
      <c r="P23" s="129">
        <f t="shared" si="4"/>
        <v>652.18616308014555</v>
      </c>
      <c r="Q23" s="129">
        <f t="shared" si="5"/>
        <v>630.4195963358145</v>
      </c>
      <c r="R23" s="129">
        <f t="shared" si="6"/>
        <v>674.50574276583632</v>
      </c>
      <c r="S23" s="61">
        <f t="shared" si="7"/>
        <v>673.77651210859142</v>
      </c>
      <c r="T23" s="61">
        <f t="shared" si="1"/>
        <v>785.83076374632401</v>
      </c>
      <c r="U23" s="61">
        <f t="shared" si="17"/>
        <v>660.61849375100326</v>
      </c>
      <c r="V23" s="61"/>
      <c r="Y23" s="163" t="s">
        <v>30</v>
      </c>
      <c r="Z23" s="163" t="s">
        <v>56</v>
      </c>
      <c r="AA23" s="163" t="s">
        <v>200</v>
      </c>
      <c r="AB23" s="163">
        <f>RANK(AH23,$AH$23:$AH$31,1)</f>
        <v>9</v>
      </c>
      <c r="AC23" s="166">
        <f>MIN($AH$23:$AH$31)</f>
        <v>538.99964780180619</v>
      </c>
      <c r="AD23" s="166">
        <f>MAX($AH$23:$AH$31)</f>
        <v>785.83076374632401</v>
      </c>
      <c r="AE23" s="163"/>
      <c r="AF23" s="163">
        <f t="shared" si="10"/>
        <v>26</v>
      </c>
      <c r="AG23" s="168" t="str">
        <f t="shared" si="11"/>
        <v>N/A</v>
      </c>
      <c r="AH23" s="166">
        <f t="shared" si="12"/>
        <v>785.83076374632401</v>
      </c>
      <c r="AI23" s="166">
        <f t="shared" si="13"/>
        <v>717.60013015937579</v>
      </c>
      <c r="AJ23" s="166">
        <f t="shared" si="14"/>
        <v>858.72704416677482</v>
      </c>
      <c r="AK23" s="168">
        <f t="shared" si="15"/>
        <v>1</v>
      </c>
    </row>
    <row r="24" spans="1:37" x14ac:dyDescent="0.2">
      <c r="A24" s="62" t="s">
        <v>47</v>
      </c>
      <c r="B24" s="62" t="s">
        <v>69</v>
      </c>
      <c r="C24" s="62" t="s">
        <v>163</v>
      </c>
      <c r="D24" s="62"/>
      <c r="E24" s="62">
        <f t="shared" si="2"/>
        <v>24</v>
      </c>
      <c r="F24" s="128" t="s">
        <v>79</v>
      </c>
      <c r="G24" s="129">
        <v>696.0699523637187</v>
      </c>
      <c r="H24" s="129">
        <v>594.89854988542959</v>
      </c>
      <c r="I24" s="129">
        <v>809.4502274323753</v>
      </c>
      <c r="J24" s="129"/>
      <c r="K24" s="129"/>
      <c r="L24" s="129"/>
      <c r="M24" s="60">
        <f t="shared" si="0"/>
        <v>5</v>
      </c>
      <c r="N24" s="61">
        <f t="shared" si="3"/>
        <v>538.99964780180619</v>
      </c>
      <c r="O24" s="61">
        <f t="shared" si="16"/>
        <v>605.37969342511428</v>
      </c>
      <c r="P24" s="129">
        <f t="shared" si="4"/>
        <v>652.18616308014555</v>
      </c>
      <c r="Q24" s="129">
        <f t="shared" si="5"/>
        <v>630.4195963358145</v>
      </c>
      <c r="R24" s="129">
        <f t="shared" si="6"/>
        <v>674.50574276583632</v>
      </c>
      <c r="S24" s="61">
        <f t="shared" si="7"/>
        <v>673.77651210859142</v>
      </c>
      <c r="T24" s="61">
        <f t="shared" si="1"/>
        <v>785.83076374632401</v>
      </c>
      <c r="U24" s="61">
        <f t="shared" si="17"/>
        <v>660.61849375100326</v>
      </c>
      <c r="V24" s="61"/>
      <c r="Y24" s="163" t="s">
        <v>31</v>
      </c>
      <c r="Z24" s="163" t="s">
        <v>57</v>
      </c>
      <c r="AA24" s="163" t="s">
        <v>200</v>
      </c>
      <c r="AB24" s="163">
        <f t="shared" ref="AB24:AB31" si="22">RANK(AH24,$AH$23:$AH$31,1)</f>
        <v>7</v>
      </c>
      <c r="AC24" s="166">
        <f t="shared" ref="AC24:AC31" si="23">MIN($AH$23:$AH$31)</f>
        <v>538.99964780180619</v>
      </c>
      <c r="AD24" s="166">
        <f t="shared" ref="AD24:AD31" si="24">MAX($AH$23:$AH$31)</f>
        <v>785.83076374632401</v>
      </c>
      <c r="AE24" s="163"/>
      <c r="AF24" s="163">
        <f t="shared" si="10"/>
        <v>16</v>
      </c>
      <c r="AG24" s="168" t="str">
        <f t="shared" si="11"/>
        <v>N/A</v>
      </c>
      <c r="AH24" s="166">
        <f t="shared" si="12"/>
        <v>654.67040238656</v>
      </c>
      <c r="AI24" s="166">
        <f t="shared" si="13"/>
        <v>616.15492401982272</v>
      </c>
      <c r="AJ24" s="166">
        <f t="shared" si="14"/>
        <v>694.94471789472084</v>
      </c>
      <c r="AK24" s="168">
        <f t="shared" si="15"/>
        <v>5</v>
      </c>
    </row>
    <row r="25" spans="1:37" x14ac:dyDescent="0.2">
      <c r="A25" s="62" t="s">
        <v>48</v>
      </c>
      <c r="B25" s="62" t="s">
        <v>160</v>
      </c>
      <c r="C25" s="62" t="s">
        <v>201</v>
      </c>
      <c r="D25" s="62"/>
      <c r="E25" s="62">
        <f t="shared" si="2"/>
        <v>3</v>
      </c>
      <c r="F25" s="128" t="s">
        <v>79</v>
      </c>
      <c r="G25" s="129">
        <v>568.13491090424498</v>
      </c>
      <c r="H25" s="129">
        <v>503.90356442910621</v>
      </c>
      <c r="I25" s="129">
        <v>638.14021577007657</v>
      </c>
      <c r="J25" s="129"/>
      <c r="K25" s="129"/>
      <c r="L25" s="129"/>
      <c r="M25" s="60">
        <f t="shared" si="0"/>
        <v>5</v>
      </c>
      <c r="N25" s="61">
        <f t="shared" si="3"/>
        <v>538.99964780180619</v>
      </c>
      <c r="O25" s="61">
        <f t="shared" si="16"/>
        <v>605.37969342511428</v>
      </c>
      <c r="P25" s="129">
        <f t="shared" si="4"/>
        <v>652.18616308014555</v>
      </c>
      <c r="Q25" s="129">
        <f t="shared" si="5"/>
        <v>630.4195963358145</v>
      </c>
      <c r="R25" s="129">
        <f t="shared" si="6"/>
        <v>674.50574276583632</v>
      </c>
      <c r="S25" s="61">
        <f t="shared" si="7"/>
        <v>673.77651210859142</v>
      </c>
      <c r="T25" s="61">
        <f t="shared" si="1"/>
        <v>785.83076374632401</v>
      </c>
      <c r="U25" s="61">
        <f t="shared" si="17"/>
        <v>621.3002540145792</v>
      </c>
      <c r="V25" s="61"/>
      <c r="Y25" s="163" t="s">
        <v>34</v>
      </c>
      <c r="Z25" s="163" t="s">
        <v>59</v>
      </c>
      <c r="AA25" s="163" t="s">
        <v>200</v>
      </c>
      <c r="AB25" s="163">
        <f t="shared" si="22"/>
        <v>6</v>
      </c>
      <c r="AC25" s="166">
        <f t="shared" si="23"/>
        <v>538.99964780180619</v>
      </c>
      <c r="AD25" s="166">
        <f t="shared" si="24"/>
        <v>785.83076374632401</v>
      </c>
      <c r="AE25" s="163"/>
      <c r="AF25" s="163">
        <f t="shared" si="10"/>
        <v>14</v>
      </c>
      <c r="AG25" s="168" t="str">
        <f t="shared" si="11"/>
        <v>N/A</v>
      </c>
      <c r="AH25" s="166">
        <f t="shared" si="12"/>
        <v>651.71969520174343</v>
      </c>
      <c r="AI25" s="166">
        <f t="shared" si="13"/>
        <v>610.23286071812277</v>
      </c>
      <c r="AJ25" s="166">
        <f t="shared" si="14"/>
        <v>695.25137581091042</v>
      </c>
      <c r="AK25" s="168">
        <f t="shared" si="15"/>
        <v>5</v>
      </c>
    </row>
    <row r="26" spans="1:37" x14ac:dyDescent="0.2">
      <c r="A26" s="62" t="s">
        <v>49</v>
      </c>
      <c r="B26" s="62" t="s">
        <v>70</v>
      </c>
      <c r="C26" s="62" t="s">
        <v>200</v>
      </c>
      <c r="D26" s="62"/>
      <c r="E26" s="62">
        <f t="shared" si="2"/>
        <v>2</v>
      </c>
      <c r="F26" s="128" t="s">
        <v>79</v>
      </c>
      <c r="G26" s="129">
        <v>563.09668312866881</v>
      </c>
      <c r="H26" s="129">
        <v>512.08686372965326</v>
      </c>
      <c r="I26" s="129">
        <v>617.69214574891964</v>
      </c>
      <c r="J26" s="129"/>
      <c r="K26" s="129"/>
      <c r="L26" s="129"/>
      <c r="M26" s="60">
        <f t="shared" si="0"/>
        <v>2</v>
      </c>
      <c r="N26" s="61">
        <f t="shared" si="3"/>
        <v>538.99964780180619</v>
      </c>
      <c r="O26" s="61">
        <f t="shared" si="16"/>
        <v>605.37969342511428</v>
      </c>
      <c r="P26" s="129">
        <f t="shared" si="4"/>
        <v>652.18616308014555</v>
      </c>
      <c r="Q26" s="129">
        <f t="shared" si="5"/>
        <v>630.4195963358145</v>
      </c>
      <c r="R26" s="129">
        <f t="shared" si="6"/>
        <v>674.50574276583632</v>
      </c>
      <c r="S26" s="61">
        <f t="shared" si="7"/>
        <v>673.77651210859142</v>
      </c>
      <c r="T26" s="61">
        <f t="shared" si="1"/>
        <v>785.83076374632401</v>
      </c>
      <c r="U26" s="61">
        <f t="shared" si="17"/>
        <v>667.99642251288333</v>
      </c>
      <c r="V26" s="61"/>
      <c r="Y26" s="163" t="s">
        <v>39</v>
      </c>
      <c r="Z26" s="163" t="s">
        <v>158</v>
      </c>
      <c r="AA26" s="163" t="s">
        <v>200</v>
      </c>
      <c r="AB26" s="163">
        <f t="shared" si="22"/>
        <v>4</v>
      </c>
      <c r="AC26" s="166">
        <f t="shared" si="23"/>
        <v>538.99964780180619</v>
      </c>
      <c r="AD26" s="166">
        <f t="shared" si="24"/>
        <v>785.83076374632401</v>
      </c>
      <c r="AE26" s="163"/>
      <c r="AF26" s="163">
        <f t="shared" si="10"/>
        <v>12</v>
      </c>
      <c r="AG26" s="168" t="str">
        <f t="shared" si="11"/>
        <v>N/A</v>
      </c>
      <c r="AH26" s="166">
        <f t="shared" si="12"/>
        <v>647.74325651634206</v>
      </c>
      <c r="AI26" s="166">
        <f t="shared" si="13"/>
        <v>605.6395551524538</v>
      </c>
      <c r="AJ26" s="166">
        <f t="shared" si="14"/>
        <v>691.96631863847392</v>
      </c>
      <c r="AK26" s="168">
        <f t="shared" si="15"/>
        <v>5</v>
      </c>
    </row>
    <row r="27" spans="1:37" x14ac:dyDescent="0.2">
      <c r="A27" s="62" t="s">
        <v>50</v>
      </c>
      <c r="B27" s="62" t="s">
        <v>161</v>
      </c>
      <c r="C27" s="62" t="s">
        <v>163</v>
      </c>
      <c r="D27" s="62"/>
      <c r="E27" s="62">
        <f t="shared" si="2"/>
        <v>11</v>
      </c>
      <c r="F27" s="128" t="s">
        <v>79</v>
      </c>
      <c r="G27" s="129">
        <v>627.43790906407514</v>
      </c>
      <c r="H27" s="129">
        <v>571.12827582481839</v>
      </c>
      <c r="I27" s="129">
        <v>687.75853847945234</v>
      </c>
      <c r="J27" s="129"/>
      <c r="K27" s="129"/>
      <c r="L27" s="129"/>
      <c r="M27" s="60">
        <f t="shared" si="0"/>
        <v>5</v>
      </c>
      <c r="N27" s="61">
        <f t="shared" si="3"/>
        <v>538.99964780180619</v>
      </c>
      <c r="O27" s="61">
        <f t="shared" si="16"/>
        <v>605.37969342511428</v>
      </c>
      <c r="P27" s="129">
        <f t="shared" si="4"/>
        <v>652.18616308014555</v>
      </c>
      <c r="Q27" s="129">
        <f t="shared" si="5"/>
        <v>630.4195963358145</v>
      </c>
      <c r="R27" s="129">
        <f t="shared" si="6"/>
        <v>674.50574276583632</v>
      </c>
      <c r="S27" s="61">
        <f t="shared" si="7"/>
        <v>673.77651210859142</v>
      </c>
      <c r="T27" s="61">
        <f t="shared" si="1"/>
        <v>785.83076374632401</v>
      </c>
      <c r="U27" s="61">
        <f t="shared" si="17"/>
        <v>660.61849375100326</v>
      </c>
      <c r="V27" s="61"/>
      <c r="Y27" s="163" t="s">
        <v>40</v>
      </c>
      <c r="Z27" s="163" t="s">
        <v>63</v>
      </c>
      <c r="AA27" s="163" t="s">
        <v>200</v>
      </c>
      <c r="AB27" s="163">
        <f t="shared" si="22"/>
        <v>5</v>
      </c>
      <c r="AC27" s="166">
        <f t="shared" si="23"/>
        <v>538.99964780180619</v>
      </c>
      <c r="AD27" s="166">
        <f t="shared" si="24"/>
        <v>785.83076374632401</v>
      </c>
      <c r="AE27" s="163"/>
      <c r="AF27" s="163">
        <f t="shared" si="10"/>
        <v>13</v>
      </c>
      <c r="AG27" s="168" t="str">
        <f t="shared" si="11"/>
        <v>N/A</v>
      </c>
      <c r="AH27" s="166">
        <f t="shared" si="12"/>
        <v>649.60206512608249</v>
      </c>
      <c r="AI27" s="166">
        <f t="shared" si="13"/>
        <v>586.64601936311863</v>
      </c>
      <c r="AJ27" s="166">
        <f t="shared" si="14"/>
        <v>717.40863323869041</v>
      </c>
      <c r="AK27" s="168">
        <f t="shared" si="15"/>
        <v>5</v>
      </c>
    </row>
    <row r="28" spans="1:37" x14ac:dyDescent="0.2">
      <c r="A28" s="62" t="s">
        <v>51</v>
      </c>
      <c r="B28" s="62" t="s">
        <v>71</v>
      </c>
      <c r="C28" s="62" t="s">
        <v>200</v>
      </c>
      <c r="D28" s="62"/>
      <c r="E28" s="62">
        <f t="shared" si="2"/>
        <v>21</v>
      </c>
      <c r="F28" s="128" t="s">
        <v>79</v>
      </c>
      <c r="G28" s="129">
        <v>675.71172481102622</v>
      </c>
      <c r="H28" s="129">
        <v>608.03051297755417</v>
      </c>
      <c r="I28" s="129">
        <v>748.77135497592599</v>
      </c>
      <c r="J28" s="129"/>
      <c r="K28" s="129"/>
      <c r="L28" s="129"/>
      <c r="M28" s="60">
        <f t="shared" si="0"/>
        <v>5</v>
      </c>
      <c r="N28" s="61">
        <f t="shared" si="3"/>
        <v>538.99964780180619</v>
      </c>
      <c r="O28" s="61">
        <f t="shared" si="16"/>
        <v>605.37969342511428</v>
      </c>
      <c r="P28" s="129">
        <f t="shared" si="4"/>
        <v>652.18616308014555</v>
      </c>
      <c r="Q28" s="129">
        <f t="shared" si="5"/>
        <v>630.4195963358145</v>
      </c>
      <c r="R28" s="129">
        <f t="shared" si="6"/>
        <v>674.50574276583632</v>
      </c>
      <c r="S28" s="61">
        <f t="shared" si="7"/>
        <v>673.77651210859142</v>
      </c>
      <c r="T28" s="61">
        <f t="shared" si="1"/>
        <v>785.83076374632401</v>
      </c>
      <c r="U28" s="61">
        <f t="shared" si="17"/>
        <v>667.99642251288333</v>
      </c>
      <c r="V28" s="61"/>
      <c r="Y28" s="163" t="s">
        <v>42</v>
      </c>
      <c r="Z28" s="163" t="s">
        <v>65</v>
      </c>
      <c r="AA28" s="163" t="s">
        <v>200</v>
      </c>
      <c r="AB28" s="163">
        <f t="shared" si="22"/>
        <v>3</v>
      </c>
      <c r="AC28" s="166">
        <f t="shared" si="23"/>
        <v>538.99964780180619</v>
      </c>
      <c r="AD28" s="166">
        <f t="shared" si="24"/>
        <v>785.83076374632401</v>
      </c>
      <c r="AE28" s="163"/>
      <c r="AF28" s="163">
        <f t="shared" si="10"/>
        <v>4</v>
      </c>
      <c r="AG28" s="168" t="str">
        <f t="shared" si="11"/>
        <v>N/A</v>
      </c>
      <c r="AH28" s="166">
        <f t="shared" si="12"/>
        <v>576.92878950917031</v>
      </c>
      <c r="AI28" s="166">
        <f t="shared" si="13"/>
        <v>488.38368474479728</v>
      </c>
      <c r="AJ28" s="166">
        <f t="shared" si="14"/>
        <v>676.33019146671381</v>
      </c>
      <c r="AK28" s="168">
        <f t="shared" si="15"/>
        <v>5</v>
      </c>
    </row>
    <row r="29" spans="1:37" x14ac:dyDescent="0.2">
      <c r="A29" s="62" t="s">
        <v>52</v>
      </c>
      <c r="B29" s="62" t="s">
        <v>72</v>
      </c>
      <c r="C29" s="62" t="s">
        <v>201</v>
      </c>
      <c r="D29" s="62"/>
      <c r="E29" s="62">
        <f t="shared" si="2"/>
        <v>7</v>
      </c>
      <c r="F29" s="128" t="s">
        <v>79</v>
      </c>
      <c r="G29" s="129">
        <v>605.37969342511428</v>
      </c>
      <c r="H29" s="129">
        <v>504.14779253271047</v>
      </c>
      <c r="I29" s="129">
        <v>719.9091380234687</v>
      </c>
      <c r="J29" s="129"/>
      <c r="K29" s="129"/>
      <c r="L29" s="129"/>
      <c r="M29" s="60">
        <f t="shared" si="0"/>
        <v>5</v>
      </c>
      <c r="N29" s="61">
        <f t="shared" si="3"/>
        <v>538.99964780180619</v>
      </c>
      <c r="O29" s="61">
        <f t="shared" si="16"/>
        <v>605.37969342511428</v>
      </c>
      <c r="P29" s="129">
        <f t="shared" si="4"/>
        <v>652.18616308014555</v>
      </c>
      <c r="Q29" s="129">
        <f t="shared" si="5"/>
        <v>630.4195963358145</v>
      </c>
      <c r="R29" s="129">
        <f t="shared" si="6"/>
        <v>674.50574276583632</v>
      </c>
      <c r="S29" s="61">
        <f t="shared" si="7"/>
        <v>673.77651210859142</v>
      </c>
      <c r="T29" s="61">
        <f t="shared" si="1"/>
        <v>785.83076374632401</v>
      </c>
      <c r="U29" s="61">
        <f t="shared" si="17"/>
        <v>621.3002540145792</v>
      </c>
      <c r="V29" s="61"/>
      <c r="Y29" s="163" t="s">
        <v>44</v>
      </c>
      <c r="Z29" s="163" t="s">
        <v>66</v>
      </c>
      <c r="AA29" s="163" t="s">
        <v>200</v>
      </c>
      <c r="AB29" s="163">
        <f t="shared" si="22"/>
        <v>1</v>
      </c>
      <c r="AC29" s="166">
        <f t="shared" si="23"/>
        <v>538.99964780180619</v>
      </c>
      <c r="AD29" s="166">
        <f t="shared" si="24"/>
        <v>785.83076374632401</v>
      </c>
      <c r="AE29" s="163"/>
      <c r="AF29" s="163">
        <f t="shared" si="10"/>
        <v>1</v>
      </c>
      <c r="AG29" s="168" t="str">
        <f t="shared" si="11"/>
        <v>N/A</v>
      </c>
      <c r="AH29" s="166">
        <f t="shared" si="12"/>
        <v>538.99964780180619</v>
      </c>
      <c r="AI29" s="166">
        <f t="shared" si="13"/>
        <v>471.14233894841612</v>
      </c>
      <c r="AJ29" s="166">
        <f t="shared" si="14"/>
        <v>613.64976267812153</v>
      </c>
      <c r="AK29" s="168">
        <f t="shared" si="15"/>
        <v>2</v>
      </c>
    </row>
    <row r="30" spans="1:37" x14ac:dyDescent="0.2">
      <c r="A30" s="62" t="s">
        <v>53</v>
      </c>
      <c r="B30" s="62" t="s">
        <v>162</v>
      </c>
      <c r="C30" s="62" t="s">
        <v>163</v>
      </c>
      <c r="D30" s="62"/>
      <c r="E30" s="62">
        <f t="shared" si="2"/>
        <v>17</v>
      </c>
      <c r="F30" s="128" t="s">
        <v>79</v>
      </c>
      <c r="G30" s="129">
        <v>659.01025276212192</v>
      </c>
      <c r="H30" s="129">
        <v>625.53260836864069</v>
      </c>
      <c r="I30" s="129">
        <v>693.80530878810634</v>
      </c>
      <c r="J30" s="129"/>
      <c r="K30" s="129"/>
      <c r="L30" s="129"/>
      <c r="M30" s="60">
        <f t="shared" si="0"/>
        <v>5</v>
      </c>
      <c r="N30" s="61">
        <f t="shared" si="3"/>
        <v>538.99964780180619</v>
      </c>
      <c r="O30" s="61">
        <f t="shared" si="16"/>
        <v>605.37969342511428</v>
      </c>
      <c r="P30" s="129">
        <f>$G$32</f>
        <v>652.18616308014555</v>
      </c>
      <c r="Q30" s="129">
        <f t="shared" si="5"/>
        <v>630.4195963358145</v>
      </c>
      <c r="R30" s="129">
        <f t="shared" si="6"/>
        <v>674.50574276583632</v>
      </c>
      <c r="S30" s="61">
        <f t="shared" si="7"/>
        <v>673.77651210859142</v>
      </c>
      <c r="T30" s="61">
        <f t="shared" si="1"/>
        <v>785.83076374632401</v>
      </c>
      <c r="U30" s="61">
        <f t="shared" si="17"/>
        <v>660.61849375100326</v>
      </c>
      <c r="V30" s="61"/>
      <c r="Y30" s="163" t="s">
        <v>49</v>
      </c>
      <c r="Z30" s="163" t="s">
        <v>70</v>
      </c>
      <c r="AA30" s="163" t="s">
        <v>200</v>
      </c>
      <c r="AB30" s="163">
        <f t="shared" si="22"/>
        <v>2</v>
      </c>
      <c r="AC30" s="166">
        <f t="shared" si="23"/>
        <v>538.99964780180619</v>
      </c>
      <c r="AD30" s="166">
        <f t="shared" si="24"/>
        <v>785.83076374632401</v>
      </c>
      <c r="AE30" s="163"/>
      <c r="AF30" s="163">
        <f t="shared" si="10"/>
        <v>2</v>
      </c>
      <c r="AG30" s="168" t="str">
        <f t="shared" si="11"/>
        <v>N/A</v>
      </c>
      <c r="AH30" s="166">
        <f t="shared" si="12"/>
        <v>563.09668312866881</v>
      </c>
      <c r="AI30" s="166">
        <f t="shared" si="13"/>
        <v>512.08686372965326</v>
      </c>
      <c r="AJ30" s="166">
        <f t="shared" si="14"/>
        <v>617.69214574891964</v>
      </c>
      <c r="AK30" s="168">
        <f t="shared" si="15"/>
        <v>2</v>
      </c>
    </row>
    <row r="31" spans="1:37" x14ac:dyDescent="0.2">
      <c r="A31" s="62" t="s">
        <v>54</v>
      </c>
      <c r="B31" s="62" t="s">
        <v>73</v>
      </c>
      <c r="C31" s="62" t="s">
        <v>201</v>
      </c>
      <c r="D31" s="62"/>
      <c r="E31" s="62">
        <f t="shared" si="2"/>
        <v>10</v>
      </c>
      <c r="F31" s="128" t="s">
        <v>79</v>
      </c>
      <c r="G31" s="129">
        <v>615.56743923318015</v>
      </c>
      <c r="H31" s="129">
        <v>553.97230199835201</v>
      </c>
      <c r="I31" s="129">
        <v>681.96497636293213</v>
      </c>
      <c r="J31" s="129"/>
      <c r="K31" s="129"/>
      <c r="L31" s="129"/>
      <c r="M31" s="60">
        <f t="shared" si="0"/>
        <v>5</v>
      </c>
      <c r="N31" s="61">
        <f t="shared" si="3"/>
        <v>538.99964780180619</v>
      </c>
      <c r="O31" s="61">
        <f t="shared" si="16"/>
        <v>605.37969342511428</v>
      </c>
      <c r="P31" s="129">
        <f t="shared" si="4"/>
        <v>652.18616308014555</v>
      </c>
      <c r="Q31" s="129">
        <f t="shared" si="5"/>
        <v>630.4195963358145</v>
      </c>
      <c r="R31" s="129">
        <f t="shared" si="6"/>
        <v>674.50574276583632</v>
      </c>
      <c r="S31" s="61">
        <f t="shared" si="7"/>
        <v>673.77651210859142</v>
      </c>
      <c r="T31" s="61">
        <f t="shared" si="1"/>
        <v>785.83076374632401</v>
      </c>
      <c r="U31" s="61">
        <f t="shared" si="17"/>
        <v>621.3002540145792</v>
      </c>
      <c r="V31" s="61"/>
      <c r="Y31" s="163" t="s">
        <v>51</v>
      </c>
      <c r="Z31" s="163" t="s">
        <v>71</v>
      </c>
      <c r="AA31" s="163" t="s">
        <v>200</v>
      </c>
      <c r="AB31" s="163">
        <f t="shared" si="22"/>
        <v>8</v>
      </c>
      <c r="AC31" s="166">
        <f t="shared" si="23"/>
        <v>538.99964780180619</v>
      </c>
      <c r="AD31" s="166">
        <f t="shared" si="24"/>
        <v>785.83076374632401</v>
      </c>
      <c r="AE31" s="163"/>
      <c r="AF31" s="163">
        <f t="shared" si="10"/>
        <v>21</v>
      </c>
      <c r="AG31" s="168" t="str">
        <f t="shared" si="11"/>
        <v>N/A</v>
      </c>
      <c r="AH31" s="166">
        <f t="shared" si="12"/>
        <v>675.71172481102622</v>
      </c>
      <c r="AI31" s="166">
        <f t="shared" si="13"/>
        <v>608.03051297755417</v>
      </c>
      <c r="AJ31" s="166">
        <f t="shared" si="14"/>
        <v>748.77135497592599</v>
      </c>
      <c r="AK31" s="168">
        <f t="shared" si="15"/>
        <v>5</v>
      </c>
    </row>
    <row r="32" spans="1:37" x14ac:dyDescent="0.2">
      <c r="A32" s="62"/>
      <c r="B32" s="62" t="s">
        <v>171</v>
      </c>
      <c r="C32" s="62"/>
      <c r="D32" s="62"/>
      <c r="E32" s="62"/>
      <c r="F32" s="128">
        <v>3474</v>
      </c>
      <c r="G32" s="129">
        <v>652.18616308014555</v>
      </c>
      <c r="H32" s="129">
        <v>630.4195963358145</v>
      </c>
      <c r="I32" s="129">
        <v>674.50574276583632</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245" t="s">
        <v>274</v>
      </c>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1483</v>
      </c>
      <c r="G44" s="129">
        <v>660.61849375100326</v>
      </c>
      <c r="H44" s="129">
        <v>627.21251322550972</v>
      </c>
      <c r="I44" s="129">
        <v>695.33316749586061</v>
      </c>
      <c r="J44" s="129">
        <f>VLOOKUP($C44,$AA$6:$AD$13,3,FALSE)</f>
        <v>627.43790906407514</v>
      </c>
      <c r="K44" s="129">
        <f>VLOOKUP($C44,$AA$6:$AD$13,4,FALSE)</f>
        <v>696.0699523637187</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5</v>
      </c>
      <c r="N44" s="61">
        <f>MIN($G$6:$G$31)</f>
        <v>538.99964780180619</v>
      </c>
      <c r="O44" s="61">
        <f>VLOOKUP(7,$E$5:$G$39,3,FALSE)</f>
        <v>605.37969342511428</v>
      </c>
      <c r="P44" s="129">
        <f>$G$32</f>
        <v>652.18616308014555</v>
      </c>
      <c r="Q44" s="129">
        <f>$H$32</f>
        <v>630.4195963358145</v>
      </c>
      <c r="R44" s="129">
        <f>$I$32</f>
        <v>674.50574276583632</v>
      </c>
      <c r="S44" s="61">
        <f>VLOOKUP(20,$E$5:$G$39,3,FALSE)</f>
        <v>673.77651210859142</v>
      </c>
      <c r="T44" s="61">
        <f>MAX($G$6:$G$31)</f>
        <v>785.83076374632401</v>
      </c>
    </row>
    <row r="45" spans="1:22" x14ac:dyDescent="0.2">
      <c r="C45" s="62" t="s">
        <v>201</v>
      </c>
      <c r="D45" s="62"/>
      <c r="E45" s="62"/>
      <c r="F45" s="128">
        <v>839</v>
      </c>
      <c r="G45" s="129">
        <v>621.3002540145792</v>
      </c>
      <c r="H45" s="129">
        <v>578.91702096387007</v>
      </c>
      <c r="I45" s="129">
        <v>665.90662433759201</v>
      </c>
      <c r="J45" s="129">
        <f>VLOOKUP($C45,$AA$14:$AD$22,3,FALSE)</f>
        <v>568.13491090424498</v>
      </c>
      <c r="K45" s="129">
        <f>VLOOKUP($C45,$AA$14:$AD$22,4,FALSE)</f>
        <v>708.73618845456201</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5</v>
      </c>
      <c r="N45" s="61">
        <f>MIN($G$6:$G$31)</f>
        <v>538.99964780180619</v>
      </c>
      <c r="O45" s="61">
        <f>VLOOKUP(7,$E$5:$G$39,3,FALSE)</f>
        <v>605.37969342511428</v>
      </c>
      <c r="P45" s="129">
        <f>$G$32</f>
        <v>652.18616308014555</v>
      </c>
      <c r="Q45" s="129">
        <f t="shared" ref="Q45:Q46" si="25">$H$32</f>
        <v>630.4195963358145</v>
      </c>
      <c r="R45" s="129">
        <f t="shared" ref="R45:R46" si="26">$I$32</f>
        <v>674.50574276583632</v>
      </c>
      <c r="S45" s="61">
        <f>VLOOKUP(20,$E$5:$G$39,3,FALSE)</f>
        <v>673.77651210859142</v>
      </c>
      <c r="T45" s="61">
        <f t="shared" ref="T45:T46" si="27">MAX($G$6:$G$31)</f>
        <v>785.83076374632401</v>
      </c>
    </row>
    <row r="46" spans="1:22" x14ac:dyDescent="0.2">
      <c r="C46" s="62" t="s">
        <v>200</v>
      </c>
      <c r="D46" s="62"/>
      <c r="E46" s="62"/>
      <c r="F46" s="128">
        <v>1152</v>
      </c>
      <c r="G46" s="129">
        <v>667.99642251288333</v>
      </c>
      <c r="H46" s="129">
        <v>629.43342121681951</v>
      </c>
      <c r="I46" s="129">
        <v>708.27844792052565</v>
      </c>
      <c r="J46" s="129">
        <f>VLOOKUP($C46,$AA$23:$AD$31,3,FALSE)</f>
        <v>538.99964780180619</v>
      </c>
      <c r="K46" s="129">
        <f>VLOOKUP($C46,$AA$23:$AD$31,4,FALSE)</f>
        <v>785.83076374632401</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5</v>
      </c>
      <c r="N46" s="61">
        <f>MIN($G$6:$G$31)</f>
        <v>538.99964780180619</v>
      </c>
      <c r="O46" s="61">
        <f>VLOOKUP(7,$E$5:$G$39,3,FALSE)</f>
        <v>605.37969342511428</v>
      </c>
      <c r="P46" s="129">
        <f t="shared" ref="P46" si="28">$G$32</f>
        <v>652.18616308014555</v>
      </c>
      <c r="Q46" s="129">
        <f t="shared" si="25"/>
        <v>630.4195963358145</v>
      </c>
      <c r="R46" s="129">
        <f t="shared" si="26"/>
        <v>674.50574276583632</v>
      </c>
      <c r="S46" s="61">
        <f>VLOOKUP(20,$E$5:$G$39,3,FALSE)</f>
        <v>673.77651210859142</v>
      </c>
      <c r="T46" s="61">
        <f t="shared" si="27"/>
        <v>785.83076374632401</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C2:D2" xr:uid="{00000000-0002-0000-1C00-000000000000}">
      <formula1>"Better / Worse,Higher / Lower,Significance not measured"</formula1>
    </dataValidation>
    <dataValidation type="list" allowBlank="1" showInputMessage="1" showErrorMessage="1" sqref="K2:N2" xr:uid="{00000000-0002-0000-1C00-000001000000}">
      <formula1>"High = Worst,Low = Worst"</formula1>
    </dataValidation>
  </dataValidations>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1">
    <tabColor rgb="FFFFFF00"/>
    <pageSetUpPr fitToPage="1"/>
  </sheetPr>
  <dimension ref="B1:AE131"/>
  <sheetViews>
    <sheetView showGridLines="0" zoomScaleNormal="100" workbookViewId="0"/>
  </sheetViews>
  <sheetFormatPr defaultColWidth="2.33203125" defaultRowHeight="15.9" customHeight="1" x14ac:dyDescent="0.25"/>
  <cols>
    <col min="1" max="1" width="1.5546875" style="7" customWidth="1"/>
    <col min="2" max="2" width="8.44140625" style="48" customWidth="1"/>
    <col min="3" max="3" width="4" style="48" customWidth="1"/>
    <col min="4" max="4" width="84" style="48" customWidth="1"/>
    <col min="5" max="5" width="16" style="48" customWidth="1"/>
    <col min="6" max="6" width="6.44140625" style="48" customWidth="1"/>
    <col min="7" max="7" width="7" style="48" customWidth="1"/>
    <col min="8" max="8" width="7.33203125" style="48" customWidth="1"/>
    <col min="9" max="9" width="7.44140625" style="48" customWidth="1"/>
    <col min="10" max="13" width="3.88671875" style="48" customWidth="1"/>
    <col min="14" max="22" width="3.88671875" style="7" customWidth="1"/>
    <col min="23" max="23" width="7.88671875" style="7" customWidth="1"/>
    <col min="24" max="24" width="3.88671875" style="300" customWidth="1"/>
    <col min="25" max="25" width="9.44140625" style="7" customWidth="1"/>
    <col min="26" max="26" width="2.33203125" style="7"/>
    <col min="27" max="27" width="6.5546875" style="7" customWidth="1"/>
    <col min="28" max="28" width="6.6640625" style="7" customWidth="1"/>
    <col min="29" max="16384" width="2.33203125" style="7"/>
  </cols>
  <sheetData>
    <row r="1" spans="2:25" ht="11.25" customHeight="1" x14ac:dyDescent="0.25"/>
    <row r="2" spans="2:25" ht="30" x14ac:dyDescent="0.5">
      <c r="B2" s="302" t="s">
        <v>391</v>
      </c>
      <c r="C2" s="27"/>
    </row>
    <row r="3" spans="2:25" ht="9" customHeight="1" x14ac:dyDescent="0.3">
      <c r="B3" s="22"/>
      <c r="C3" s="22"/>
    </row>
    <row r="4" spans="2:25" ht="22.8" x14ac:dyDescent="0.4">
      <c r="B4" s="303" t="s">
        <v>124</v>
      </c>
      <c r="C4" s="304"/>
      <c r="D4" s="305"/>
      <c r="E4" s="303" t="s">
        <v>121</v>
      </c>
      <c r="I4" s="7"/>
      <c r="J4" s="7"/>
      <c r="K4" s="7"/>
      <c r="L4" s="7"/>
      <c r="M4" s="7"/>
    </row>
    <row r="5" spans="2:25" ht="3" customHeight="1" x14ac:dyDescent="0.3">
      <c r="B5" s="22"/>
      <c r="C5" s="22"/>
      <c r="I5" s="7"/>
      <c r="J5" s="7"/>
      <c r="K5" s="7"/>
      <c r="L5" s="7"/>
      <c r="M5" s="7"/>
    </row>
    <row r="6" spans="2:25" ht="22.8" x14ac:dyDescent="0.4">
      <c r="B6" s="423" t="s">
        <v>163</v>
      </c>
      <c r="C6" s="424"/>
      <c r="D6" s="424"/>
      <c r="E6" s="423" t="s">
        <v>202</v>
      </c>
      <c r="F6" s="424"/>
      <c r="G6" s="424"/>
      <c r="H6" s="424"/>
      <c r="I6" s="424"/>
      <c r="J6" s="424"/>
      <c r="K6" s="424"/>
      <c r="L6" s="424"/>
      <c r="M6" s="424"/>
      <c r="N6" s="424"/>
      <c r="O6" s="424"/>
      <c r="P6" s="424"/>
      <c r="Q6" s="424"/>
      <c r="R6" s="424"/>
      <c r="S6" s="424"/>
      <c r="T6" s="424"/>
      <c r="U6" s="424"/>
      <c r="V6" s="424"/>
      <c r="W6" s="424"/>
    </row>
    <row r="7" spans="2:25" ht="11.25" customHeight="1" x14ac:dyDescent="0.3">
      <c r="B7" s="28"/>
      <c r="C7" s="28"/>
    </row>
    <row r="8" spans="2:25" ht="11.25" customHeight="1" x14ac:dyDescent="0.3">
      <c r="B8" s="28"/>
      <c r="C8" s="28"/>
    </row>
    <row r="9" spans="2:25" ht="11.25" customHeight="1" x14ac:dyDescent="0.3">
      <c r="B9" s="28"/>
      <c r="C9" s="28"/>
    </row>
    <row r="10" spans="2:25" ht="11.25" customHeight="1" thickBot="1" x14ac:dyDescent="0.35">
      <c r="B10" s="28"/>
      <c r="C10" s="28"/>
    </row>
    <row r="11" spans="2:25" ht="25.5" customHeight="1" x14ac:dyDescent="0.25">
      <c r="B11" s="7"/>
      <c r="C11" s="7"/>
      <c r="D11" s="7"/>
      <c r="E11" s="402" t="s">
        <v>186</v>
      </c>
      <c r="F11" s="402" t="s">
        <v>82</v>
      </c>
      <c r="G11" s="432" t="s">
        <v>84</v>
      </c>
      <c r="H11" s="414" t="s">
        <v>185</v>
      </c>
      <c r="I11" s="393" t="s">
        <v>188</v>
      </c>
      <c r="W11" s="393" t="s">
        <v>187</v>
      </c>
    </row>
    <row r="12" spans="2:25" ht="25.5" customHeight="1" thickBot="1" x14ac:dyDescent="0.3">
      <c r="B12" s="7"/>
      <c r="C12" s="7"/>
      <c r="D12" s="7"/>
      <c r="E12" s="403"/>
      <c r="F12" s="403"/>
      <c r="G12" s="433"/>
      <c r="H12" s="415"/>
      <c r="I12" s="429"/>
      <c r="J12" s="7"/>
      <c r="K12" s="7"/>
      <c r="L12" s="7"/>
      <c r="M12" s="7"/>
      <c r="W12" s="429"/>
    </row>
    <row r="13" spans="2:25" ht="32.25" customHeight="1" thickBot="1" x14ac:dyDescent="0.3">
      <c r="B13" s="30"/>
      <c r="C13" s="435" t="s">
        <v>0</v>
      </c>
      <c r="D13" s="436"/>
      <c r="E13" s="404"/>
      <c r="F13" s="404"/>
      <c r="G13" s="434"/>
      <c r="H13" s="416"/>
      <c r="I13" s="430"/>
      <c r="J13" s="431"/>
      <c r="K13" s="431"/>
      <c r="L13" s="431"/>
      <c r="M13" s="47"/>
      <c r="N13" s="47"/>
      <c r="O13" s="47"/>
      <c r="P13" s="47"/>
      <c r="Q13" s="47"/>
      <c r="R13" s="47"/>
      <c r="S13" s="47"/>
      <c r="T13" s="431"/>
      <c r="U13" s="431"/>
      <c r="V13" s="431"/>
      <c r="W13" s="430"/>
      <c r="Y13" s="49"/>
    </row>
    <row r="14" spans="2:25" ht="4.5" customHeight="1" x14ac:dyDescent="0.25">
      <c r="B14" s="427" t="s">
        <v>196</v>
      </c>
      <c r="C14" s="211"/>
      <c r="D14" s="210"/>
      <c r="E14" s="176"/>
      <c r="F14" s="44"/>
      <c r="G14" s="45"/>
      <c r="H14" s="46"/>
      <c r="I14" s="198" t="str">
        <f>IF(ISBLANK(Calculation!M10), "",Calculation!U10)</f>
        <v/>
      </c>
      <c r="J14" s="385"/>
      <c r="K14" s="386"/>
      <c r="L14" s="386"/>
      <c r="M14" s="386"/>
      <c r="N14" s="386"/>
      <c r="O14" s="386"/>
      <c r="P14" s="386"/>
      <c r="Q14" s="386"/>
      <c r="R14" s="386"/>
      <c r="S14" s="386"/>
      <c r="T14" s="386"/>
      <c r="U14" s="386"/>
      <c r="V14" s="387"/>
      <c r="W14" s="284" t="str">
        <f>IF(ISBLANK(Calculation!M10), "",Calculation!T10)</f>
        <v/>
      </c>
    </row>
    <row r="15" spans="2:25" ht="18.75" customHeight="1" x14ac:dyDescent="0.25">
      <c r="B15" s="425"/>
      <c r="C15" s="330">
        <f>Calculation!B11</f>
        <v>1</v>
      </c>
      <c r="D15" s="203" t="str">
        <f>Calculation!C11</f>
        <v>% Registered patients aged 0-4 years</v>
      </c>
      <c r="E15" s="204">
        <v>2019</v>
      </c>
      <c r="F15" s="205">
        <f ca="1">IF(Calculation!F88&lt;6,"N/A",Calculation!F88)</f>
        <v>6173</v>
      </c>
      <c r="G15" s="264">
        <f ca="1">Calculation!G88</f>
        <v>6.3209740013721207</v>
      </c>
      <c r="H15" s="265">
        <f ca="1">Calculation!M88</f>
        <v>5.476312119412877</v>
      </c>
      <c r="I15" s="266">
        <f ca="1">Calculation!U88</f>
        <v>1.3017689360138576</v>
      </c>
      <c r="J15" s="199"/>
      <c r="K15" s="50"/>
      <c r="L15" s="50"/>
      <c r="M15" s="50"/>
      <c r="N15" s="50"/>
      <c r="O15" s="50"/>
      <c r="P15" s="50"/>
      <c r="Q15" s="50"/>
      <c r="R15" s="50"/>
      <c r="S15" s="50"/>
      <c r="T15" s="50"/>
      <c r="U15" s="50"/>
      <c r="V15" s="201"/>
      <c r="W15" s="284">
        <f ca="1">Calculation!T88</f>
        <v>7.8571935552558738</v>
      </c>
    </row>
    <row r="16" spans="2:25" ht="18.75" customHeight="1" x14ac:dyDescent="0.25">
      <c r="B16" s="425"/>
      <c r="C16" s="323">
        <f>Calculation!B12</f>
        <v>2</v>
      </c>
      <c r="D16" s="206" t="str">
        <f>Calculation!C12</f>
        <v xml:space="preserve">% Registered patients aged 0-17 years </v>
      </c>
      <c r="E16" s="207">
        <v>2019</v>
      </c>
      <c r="F16" s="205">
        <f ca="1">IF(Calculation!F89&lt;6,"N/A",Calculation!F89)</f>
        <v>21318</v>
      </c>
      <c r="G16" s="267">
        <f ca="1">Calculation!G89</f>
        <v>21.829017294872976</v>
      </c>
      <c r="H16" s="268">
        <f ca="1">Calculation!M89</f>
        <v>18.814984603913228</v>
      </c>
      <c r="I16" s="269">
        <f ca="1">Calculation!U89</f>
        <v>3.9735446958164928</v>
      </c>
      <c r="J16" s="199"/>
      <c r="K16" s="50"/>
      <c r="L16" s="50"/>
      <c r="M16" s="50"/>
      <c r="N16" s="50"/>
      <c r="O16" s="50"/>
      <c r="P16" s="50"/>
      <c r="Q16" s="50"/>
      <c r="R16" s="50"/>
      <c r="S16" s="50"/>
      <c r="T16" s="50"/>
      <c r="U16" s="50"/>
      <c r="V16" s="201"/>
      <c r="W16" s="285">
        <f ca="1">Calculation!T89</f>
        <v>25.920931222939885</v>
      </c>
    </row>
    <row r="17" spans="2:31" ht="18.75" customHeight="1" x14ac:dyDescent="0.25">
      <c r="B17" s="425"/>
      <c r="C17" s="323">
        <f>Calculation!B13</f>
        <v>3</v>
      </c>
      <c r="D17" s="58" t="str">
        <f>Calculation!C13</f>
        <v xml:space="preserve">% Registered patients 18-64 years </v>
      </c>
      <c r="E17" s="208">
        <v>2019</v>
      </c>
      <c r="F17" s="205">
        <f ca="1">IF(Calculation!F90&lt;6,"N/A",Calculation!F90)</f>
        <v>60324</v>
      </c>
      <c r="G17" s="270">
        <f ca="1">Calculation!G90</f>
        <v>61.770036555770588</v>
      </c>
      <c r="H17" s="271">
        <f ca="1">Calculation!M90</f>
        <v>68.250231286505297</v>
      </c>
      <c r="I17" s="272">
        <f ca="1">Calculation!U90</f>
        <v>59.791326566825191</v>
      </c>
      <c r="J17" s="50"/>
      <c r="K17" s="50"/>
      <c r="L17" s="50"/>
      <c r="M17" s="50"/>
      <c r="N17" s="50"/>
      <c r="O17" s="50"/>
      <c r="P17" s="50"/>
      <c r="Q17" s="50"/>
      <c r="R17" s="50"/>
      <c r="S17" s="50"/>
      <c r="T17" s="50"/>
      <c r="U17" s="50"/>
      <c r="V17" s="201"/>
      <c r="W17" s="286">
        <f ca="1">Calculation!T90</f>
        <v>94.782426119363819</v>
      </c>
      <c r="Y17" s="197"/>
      <c r="Z17" s="10"/>
      <c r="AB17" s="148"/>
    </row>
    <row r="18" spans="2:31" ht="18.75" customHeight="1" x14ac:dyDescent="0.25">
      <c r="B18" s="425"/>
      <c r="C18" s="323">
        <f>Calculation!B14</f>
        <v>4</v>
      </c>
      <c r="D18" s="206" t="str">
        <f>Calculation!C14</f>
        <v>% Registered patients aged 65+ years</v>
      </c>
      <c r="E18" s="207">
        <v>2019</v>
      </c>
      <c r="F18" s="205">
        <f ca="1">IF(Calculation!F91&lt;6,"N/A",Calculation!F91)</f>
        <v>16017</v>
      </c>
      <c r="G18" s="267">
        <f ca="1">Calculation!G91</f>
        <v>16.400946149356432</v>
      </c>
      <c r="H18" s="268">
        <f ca="1">Calculation!M91</f>
        <v>12.934784109581475</v>
      </c>
      <c r="I18" s="269">
        <f ca="1">Calculation!U91</f>
        <v>1.2440291848196945</v>
      </c>
      <c r="J18" s="50"/>
      <c r="K18" s="50"/>
      <c r="L18" s="50"/>
      <c r="M18" s="50"/>
      <c r="N18" s="50"/>
      <c r="O18" s="50"/>
      <c r="P18" s="50"/>
      <c r="Q18" s="50"/>
      <c r="R18" s="50"/>
      <c r="S18" s="50"/>
      <c r="T18" s="50"/>
      <c r="U18" s="50"/>
      <c r="V18" s="201"/>
      <c r="W18" s="287">
        <f ca="1">Calculation!T91</f>
        <v>20.986823122054439</v>
      </c>
    </row>
    <row r="19" spans="2:31" ht="18.75" customHeight="1" x14ac:dyDescent="0.25">
      <c r="B19" s="425"/>
      <c r="C19" s="324">
        <f>Calculation!B15</f>
        <v>5</v>
      </c>
      <c r="D19" s="189" t="str">
        <f>Calculation!C15</f>
        <v>% Patients living in the most deprived quintile in England</v>
      </c>
      <c r="E19" s="207">
        <v>2019</v>
      </c>
      <c r="F19" s="205">
        <f ca="1">IF(Calculation!F92&lt;6,"N/A",Calculation!F92)</f>
        <v>25554</v>
      </c>
      <c r="G19" s="273">
        <f ca="1">Calculation!G92</f>
        <v>26.170310819806442</v>
      </c>
      <c r="H19" s="268">
        <f ca="1">Calculation!M92</f>
        <v>27.410865991628796</v>
      </c>
      <c r="I19" s="269">
        <f ca="1">Calculation!U92</f>
        <v>52.974739641037004</v>
      </c>
      <c r="J19" s="50"/>
      <c r="K19" s="50"/>
      <c r="L19" s="50"/>
      <c r="M19" s="50"/>
      <c r="N19" s="50"/>
      <c r="O19" s="50"/>
      <c r="P19" s="50"/>
      <c r="Q19" s="50"/>
      <c r="R19" s="50"/>
      <c r="S19" s="50"/>
      <c r="T19" s="50"/>
      <c r="U19" s="50"/>
      <c r="V19" s="201"/>
      <c r="W19" s="288">
        <f ca="1">Calculation!T92</f>
        <v>4.4858299595141702</v>
      </c>
      <c r="AB19" s="17"/>
      <c r="AC19" s="17"/>
      <c r="AD19" s="17"/>
      <c r="AE19" s="17"/>
    </row>
    <row r="20" spans="2:31" ht="18.75" customHeight="1" x14ac:dyDescent="0.25">
      <c r="B20" s="425"/>
      <c r="C20" s="324">
        <f>Calculation!B16</f>
        <v>6</v>
      </c>
      <c r="D20" s="189" t="str">
        <f>Calculation!C16</f>
        <v>% Resident population age 3+ that have English as a first language*</v>
      </c>
      <c r="E20" s="209">
        <v>2011</v>
      </c>
      <c r="F20" s="205">
        <f ca="1">IF(Calculation!F93&lt;6,"N/A",Calculation!F93)</f>
        <v>76549</v>
      </c>
      <c r="G20" s="267">
        <f ca="1">Calculation!G93</f>
        <v>95.433351618211745</v>
      </c>
      <c r="H20" s="267">
        <f ca="1">Calculation!M93</f>
        <v>88.151671279165441</v>
      </c>
      <c r="I20" s="269">
        <f ca="1">Calculation!U93</f>
        <v>74.0476335135792</v>
      </c>
      <c r="J20" s="50"/>
      <c r="K20" s="50"/>
      <c r="L20" s="50"/>
      <c r="M20" s="50"/>
      <c r="N20" s="50"/>
      <c r="O20" s="50"/>
      <c r="P20" s="50"/>
      <c r="Q20" s="50"/>
      <c r="R20" s="50"/>
      <c r="S20" s="50"/>
      <c r="T20" s="50"/>
      <c r="U20" s="50"/>
      <c r="V20" s="201"/>
      <c r="W20" s="289">
        <f ca="1">Calculation!T93</f>
        <v>96.096831575962256</v>
      </c>
      <c r="AB20" s="19"/>
      <c r="AC20" s="19"/>
      <c r="AD20" s="19"/>
      <c r="AE20" s="19"/>
    </row>
    <row r="21" spans="2:31" ht="18.75" customHeight="1" x14ac:dyDescent="0.25">
      <c r="B21" s="426"/>
      <c r="C21" s="325">
        <f>Calculation!B17</f>
        <v>7</v>
      </c>
      <c r="D21" s="191" t="str">
        <f>Calculation!C17</f>
        <v>% of residents (aged 16-64) economically active*</v>
      </c>
      <c r="E21" s="192">
        <v>2011</v>
      </c>
      <c r="F21" s="313">
        <f ca="1">IF(Calculation!F94&lt;6,"N/A",Calculation!F94)</f>
        <v>44509</v>
      </c>
      <c r="G21" s="274">
        <f ca="1">Calculation!G94</f>
        <v>82.609179828875824</v>
      </c>
      <c r="H21" s="275">
        <f ca="1">Calculation!M94</f>
        <v>75.04521783464233</v>
      </c>
      <c r="I21" s="276">
        <f ca="1">Calculation!U94</f>
        <v>55.57344909676516</v>
      </c>
      <c r="J21" s="247"/>
      <c r="K21" s="247"/>
      <c r="L21" s="247"/>
      <c r="M21" s="247"/>
      <c r="N21" s="247"/>
      <c r="O21" s="247"/>
      <c r="P21" s="247"/>
      <c r="Q21" s="247"/>
      <c r="R21" s="247"/>
      <c r="S21" s="247"/>
      <c r="T21" s="247"/>
      <c r="U21" s="247"/>
      <c r="V21" s="248"/>
      <c r="W21" s="290">
        <f ca="1">Calculation!T94</f>
        <v>84.311332767402376</v>
      </c>
      <c r="Y21" s="250"/>
      <c r="AC21" s="16"/>
      <c r="AD21" s="16"/>
      <c r="AE21" s="16"/>
    </row>
    <row r="22" spans="2:31" ht="18.75" customHeight="1" x14ac:dyDescent="0.25">
      <c r="B22" s="428" t="s">
        <v>213</v>
      </c>
      <c r="C22" s="326">
        <f>Calculation!B18</f>
        <v>8</v>
      </c>
      <c r="D22" s="203" t="str">
        <f>Calculation!C18</f>
        <v>Life expectancy at birth (males)</v>
      </c>
      <c r="E22" s="212" t="s">
        <v>218</v>
      </c>
      <c r="F22" s="381" t="str">
        <f ca="1">IF(Calculation!F95&lt;6,"N/A",Calculation!F95)</f>
        <v>N/A</v>
      </c>
      <c r="G22" s="277">
        <f ca="1">Calculation!G95</f>
        <v>79.748580051921508</v>
      </c>
      <c r="H22" s="278">
        <f ca="1">Calculation!M95</f>
        <v>79.996892875729387</v>
      </c>
      <c r="I22" s="266">
        <f ca="1">Calculation!U95</f>
        <v>74.20453444581581</v>
      </c>
      <c r="J22" s="199"/>
      <c r="K22" s="50"/>
      <c r="L22" s="50"/>
      <c r="M22" s="50"/>
      <c r="N22" s="50"/>
      <c r="O22" s="50"/>
      <c r="P22" s="50"/>
      <c r="Q22" s="50"/>
      <c r="R22" s="50"/>
      <c r="S22" s="50"/>
      <c r="T22" s="50"/>
      <c r="U22" s="50"/>
      <c r="V22" s="201"/>
      <c r="W22" s="284">
        <f ca="1">Calculation!T95</f>
        <v>89.394808474842165</v>
      </c>
    </row>
    <row r="23" spans="2:31" ht="15.75" customHeight="1" x14ac:dyDescent="0.25">
      <c r="B23" s="425"/>
      <c r="C23" s="324">
        <f>Calculation!B19</f>
        <v>9</v>
      </c>
      <c r="D23" s="214" t="str">
        <f>Calculation!C19</f>
        <v>Life expectancy at birth (females)</v>
      </c>
      <c r="E23" s="212" t="s">
        <v>218</v>
      </c>
      <c r="F23" s="205" t="str">
        <f ca="1">IF(Calculation!F96&lt;6,"N/A",Calculation!F96)</f>
        <v>N/A</v>
      </c>
      <c r="G23" s="277">
        <f ca="1">Calculation!G96</f>
        <v>83.276967942778256</v>
      </c>
      <c r="H23" s="265">
        <f ca="1">Calculation!M96</f>
        <v>83.310312746401536</v>
      </c>
      <c r="I23" s="266">
        <f ca="1">Calculation!U96</f>
        <v>77.906537997353666</v>
      </c>
      <c r="J23" s="199"/>
      <c r="K23" s="50"/>
      <c r="L23" s="50"/>
      <c r="M23" s="50"/>
      <c r="N23" s="50"/>
      <c r="O23" s="50"/>
      <c r="P23" s="50"/>
      <c r="Q23" s="50"/>
      <c r="R23" s="50"/>
      <c r="S23" s="50"/>
      <c r="T23" s="50"/>
      <c r="U23" s="50"/>
      <c r="V23" s="201"/>
      <c r="W23" s="289">
        <f ca="1">Calculation!T96</f>
        <v>88.250913297544571</v>
      </c>
      <c r="AA23" s="148"/>
      <c r="AB23" s="16"/>
    </row>
    <row r="24" spans="2:31" ht="16.5" customHeight="1" x14ac:dyDescent="0.25">
      <c r="B24" s="425"/>
      <c r="C24" s="327">
        <f>Calculation!B20</f>
        <v>10</v>
      </c>
      <c r="D24" s="213" t="str">
        <f>Calculation!C20</f>
        <v xml:space="preserve">Mortality rate from all causes (DSR per 100,000 registered population) </v>
      </c>
      <c r="E24" s="212" t="s">
        <v>218</v>
      </c>
      <c r="F24" s="205">
        <f ca="1">IF(Calculation!F97&lt;6,"N/A",Calculation!F97)</f>
        <v>2405</v>
      </c>
      <c r="G24" s="267">
        <f ca="1">Calculation!G97</f>
        <v>957.62634385360479</v>
      </c>
      <c r="H24" s="268">
        <f ca="1">Calculation!M97</f>
        <v>961.24571079814052</v>
      </c>
      <c r="I24" s="266">
        <f ca="1">Calculation!U97</f>
        <v>2189.1405588611224</v>
      </c>
      <c r="J24" s="199"/>
      <c r="K24" s="50"/>
      <c r="L24" s="50"/>
      <c r="M24" s="50"/>
      <c r="N24" s="50"/>
      <c r="O24" s="50"/>
      <c r="P24" s="50"/>
      <c r="Q24" s="50"/>
      <c r="R24" s="50"/>
      <c r="S24" s="50"/>
      <c r="T24" s="50"/>
      <c r="U24" s="50"/>
      <c r="V24" s="201"/>
      <c r="W24" s="289">
        <f ca="1">Calculation!T97</f>
        <v>401.4376879031974</v>
      </c>
      <c r="AA24" s="148"/>
    </row>
    <row r="25" spans="2:31" ht="24" customHeight="1" x14ac:dyDescent="0.25">
      <c r="B25" s="425"/>
      <c r="C25" s="327">
        <f>Calculation!B21</f>
        <v>11</v>
      </c>
      <c r="D25" s="218" t="str">
        <f>Calculation!C21</f>
        <v xml:space="preserve">Premature mortality (under 75 years) from all causes (DSR per 100,000 registered population) </v>
      </c>
      <c r="E25" s="212" t="s">
        <v>218</v>
      </c>
      <c r="F25" s="205">
        <f ca="1">IF(Calculation!F98&lt;6,"N/A",Calculation!F98)</f>
        <v>820</v>
      </c>
      <c r="G25" s="277">
        <f ca="1">Calculation!G98</f>
        <v>345.58262428209366</v>
      </c>
      <c r="H25" s="265">
        <f ca="1">Calculation!M98</f>
        <v>344.87164830165528</v>
      </c>
      <c r="I25" s="266">
        <f ca="1">Calculation!U98</f>
        <v>671.86872526024422</v>
      </c>
      <c r="J25" s="199"/>
      <c r="K25" s="50"/>
      <c r="L25" s="50"/>
      <c r="M25" s="50"/>
      <c r="N25" s="50"/>
      <c r="O25" s="50"/>
      <c r="P25" s="50"/>
      <c r="Q25" s="50"/>
      <c r="R25" s="50"/>
      <c r="S25" s="50"/>
      <c r="T25" s="50"/>
      <c r="U25" s="50"/>
      <c r="V25" s="201"/>
      <c r="W25" s="289">
        <f ca="1">Calculation!T98</f>
        <v>120.9041189017434</v>
      </c>
    </row>
    <row r="26" spans="2:31" ht="18.75" customHeight="1" x14ac:dyDescent="0.25">
      <c r="B26" s="426"/>
      <c r="C26" s="322">
        <f>Calculation!B22</f>
        <v>12</v>
      </c>
      <c r="D26" s="217" t="str">
        <f>Calculation!C22</f>
        <v>Preventable mortality (DSR per 100,000 registered population)</v>
      </c>
      <c r="E26" s="177" t="s">
        <v>218</v>
      </c>
      <c r="F26" s="380">
        <f ca="1">IF(Calculation!F99&lt;6,"N/A",Calculation!F99)</f>
        <v>532</v>
      </c>
      <c r="G26" s="270">
        <f ca="1">Calculation!G99</f>
        <v>204.31179726569945</v>
      </c>
      <c r="H26" s="271">
        <f ca="1">Calculation!M99</f>
        <v>204.14706785210666</v>
      </c>
      <c r="I26" s="279">
        <f ca="1">Calculation!U99</f>
        <v>386.97649423620487</v>
      </c>
      <c r="J26" s="200"/>
      <c r="K26" s="53"/>
      <c r="L26" s="53"/>
      <c r="M26" s="53"/>
      <c r="N26" s="50"/>
      <c r="O26" s="50"/>
      <c r="P26" s="50"/>
      <c r="Q26" s="50"/>
      <c r="R26" s="50"/>
      <c r="S26" s="50"/>
      <c r="T26" s="50"/>
      <c r="U26" s="50"/>
      <c r="V26" s="201"/>
      <c r="W26" s="285">
        <f ca="1">Calculation!T99</f>
        <v>70.066647490413089</v>
      </c>
    </row>
    <row r="27" spans="2:31" ht="18.75" customHeight="1" x14ac:dyDescent="0.25">
      <c r="B27" s="428" t="s">
        <v>417</v>
      </c>
      <c r="C27" s="328">
        <f>Calculation!B23</f>
        <v>13</v>
      </c>
      <c r="D27" s="306" t="str">
        <f>Calculation!C23</f>
        <v>Multiple (3+) chronic condition prevalence (DSR per 1,000 registered population)</v>
      </c>
      <c r="E27" s="235">
        <v>2017</v>
      </c>
      <c r="F27" s="205">
        <f ca="1">IF(Calculation!F100&lt;6,"N/A",Calculation!F100)</f>
        <v>15644</v>
      </c>
      <c r="G27" s="280">
        <f ca="1">Calculation!G100</f>
        <v>182.41164829957881</v>
      </c>
      <c r="H27" s="278">
        <f ca="1">Calculation!M100</f>
        <v>177.10942742743939</v>
      </c>
      <c r="I27" s="281">
        <f ca="1">Calculation!U100</f>
        <v>228.71451664344383</v>
      </c>
      <c r="J27" s="55"/>
      <c r="K27" s="55"/>
      <c r="L27" s="55"/>
      <c r="M27" s="55"/>
      <c r="N27" s="52"/>
      <c r="O27" s="52"/>
      <c r="P27" s="52"/>
      <c r="Q27" s="52"/>
      <c r="R27" s="52"/>
      <c r="S27" s="52"/>
      <c r="T27" s="52"/>
      <c r="U27" s="52"/>
      <c r="V27" s="52"/>
      <c r="W27" s="291">
        <f ca="1">Calculation!T100</f>
        <v>85.335855567458964</v>
      </c>
    </row>
    <row r="28" spans="2:31" ht="18.75" customHeight="1" x14ac:dyDescent="0.25">
      <c r="B28" s="425"/>
      <c r="C28" s="331">
        <f>Calculation!B24</f>
        <v>14</v>
      </c>
      <c r="D28" s="203" t="str">
        <f>Calculation!C24</f>
        <v>Diabetes prevalence 17+ years (%)</v>
      </c>
      <c r="E28" s="204" t="s">
        <v>276</v>
      </c>
      <c r="F28" s="205">
        <f ca="1">IF(Calculation!F101&lt;6,"N/A",Calculation!F101)</f>
        <v>5373</v>
      </c>
      <c r="G28" s="277">
        <f ca="1">Calculation!G101</f>
        <v>6.9604756908009797</v>
      </c>
      <c r="H28" s="265">
        <f ca="1">Calculation!M101</f>
        <v>5.6964365398100298</v>
      </c>
      <c r="I28" s="266">
        <f ca="1">Calculation!U101</f>
        <v>7.8422684980061996</v>
      </c>
      <c r="J28" s="53"/>
      <c r="K28" s="53"/>
      <c r="L28" s="53"/>
      <c r="M28" s="53"/>
      <c r="N28" s="50"/>
      <c r="O28" s="50"/>
      <c r="P28" s="50"/>
      <c r="Q28" s="50"/>
      <c r="R28" s="50"/>
      <c r="S28" s="50"/>
      <c r="T28" s="50"/>
      <c r="U28" s="50"/>
      <c r="V28" s="50"/>
      <c r="W28" s="289">
        <f ca="1">Calculation!T101</f>
        <v>0.75834175935288195</v>
      </c>
    </row>
    <row r="29" spans="2:31" ht="18.75" customHeight="1" x14ac:dyDescent="0.25">
      <c r="B29" s="425"/>
      <c r="C29" s="324">
        <f>Calculation!B25</f>
        <v>15</v>
      </c>
      <c r="D29" s="58" t="str">
        <f>Calculation!C25</f>
        <v>Asthma prevalence (%)</v>
      </c>
      <c r="E29" s="204" t="s">
        <v>276</v>
      </c>
      <c r="F29" s="205">
        <f ca="1">IF(Calculation!F102&lt;6,"N/A",Calculation!F102)</f>
        <v>5918</v>
      </c>
      <c r="G29" s="277">
        <f ca="1">Calculation!G102</f>
        <v>6.0797830263306585</v>
      </c>
      <c r="H29" s="265">
        <f ca="1">Calculation!M102</f>
        <v>5.7934579080787598</v>
      </c>
      <c r="I29" s="266">
        <f ca="1">Calculation!U102</f>
        <v>9.9487977185818899</v>
      </c>
      <c r="J29" s="53"/>
      <c r="K29" s="53"/>
      <c r="L29" s="53"/>
      <c r="M29" s="53"/>
      <c r="N29" s="50"/>
      <c r="O29" s="50"/>
      <c r="P29" s="50"/>
      <c r="Q29" s="50"/>
      <c r="R29" s="50"/>
      <c r="S29" s="50"/>
      <c r="T29" s="50"/>
      <c r="U29" s="50"/>
      <c r="V29" s="50"/>
      <c r="W29" s="289">
        <f ca="1">Calculation!T102</f>
        <v>2.4640657084188899</v>
      </c>
    </row>
    <row r="30" spans="2:31" ht="18.75" customHeight="1" x14ac:dyDescent="0.25">
      <c r="B30" s="425"/>
      <c r="C30" s="324">
        <f>Calculation!B26</f>
        <v>16</v>
      </c>
      <c r="D30" s="206" t="str">
        <f>Calculation!C26</f>
        <v>Emergency admissions for asthma (DSR per 100,000 registered population) (all ages)</v>
      </c>
      <c r="E30" s="212" t="s">
        <v>267</v>
      </c>
      <c r="F30" s="205">
        <f ca="1">IF(Calculation!F103&lt;6,"N/A",Calculation!F103)</f>
        <v>388</v>
      </c>
      <c r="G30" s="277">
        <f ca="1">Calculation!G103</f>
        <v>129.72414513846829</v>
      </c>
      <c r="H30" s="265">
        <f ca="1">Calculation!M103</f>
        <v>132.33064583324659</v>
      </c>
      <c r="I30" s="266">
        <f ca="1">Calculation!U103</f>
        <v>241.4281734131078</v>
      </c>
      <c r="J30" s="53"/>
      <c r="K30" s="53"/>
      <c r="L30" s="53"/>
      <c r="M30" s="53"/>
      <c r="N30" s="50"/>
      <c r="O30" s="50"/>
      <c r="P30" s="50"/>
      <c r="Q30" s="50"/>
      <c r="R30" s="50"/>
      <c r="S30" s="50"/>
      <c r="T30" s="50"/>
      <c r="U30" s="50"/>
      <c r="V30" s="50"/>
      <c r="W30" s="289">
        <f ca="1">Calculation!T103</f>
        <v>35.630369695278844</v>
      </c>
    </row>
    <row r="31" spans="2:31" ht="18.75" customHeight="1" x14ac:dyDescent="0.25">
      <c r="B31" s="425"/>
      <c r="C31" s="324">
        <f>Calculation!B27</f>
        <v>17</v>
      </c>
      <c r="D31" s="189" t="str">
        <f>Calculation!C27</f>
        <v>COPD prevalence (%)</v>
      </c>
      <c r="E31" s="204" t="s">
        <v>276</v>
      </c>
      <c r="F31" s="205">
        <f ca="1">IF(Calculation!F104&lt;6,"N/A",Calculation!F104)</f>
        <v>2464</v>
      </c>
      <c r="G31" s="277">
        <f ca="1">Calculation!G104</f>
        <v>2.5313594756469655</v>
      </c>
      <c r="H31" s="265">
        <f ca="1">Calculation!M104</f>
        <v>2.04505751615299</v>
      </c>
      <c r="I31" s="266">
        <f ca="1">Calculation!U104</f>
        <v>3.22632682690756</v>
      </c>
      <c r="J31" s="53"/>
      <c r="K31" s="53"/>
      <c r="L31" s="53"/>
      <c r="M31" s="53"/>
      <c r="N31" s="50"/>
      <c r="O31" s="50"/>
      <c r="P31" s="50"/>
      <c r="Q31" s="50"/>
      <c r="R31" s="50"/>
      <c r="S31" s="50"/>
      <c r="T31" s="50"/>
      <c r="U31" s="50"/>
      <c r="V31" s="50"/>
      <c r="W31" s="289">
        <f ca="1">Calculation!T104</f>
        <v>0.118880363125473</v>
      </c>
    </row>
    <row r="32" spans="2:31" ht="18.75" customHeight="1" x14ac:dyDescent="0.25">
      <c r="B32" s="425"/>
      <c r="C32" s="324">
        <f>Calculation!B28</f>
        <v>18</v>
      </c>
      <c r="D32" s="58" t="str">
        <f>Calculation!C28</f>
        <v>Emergency admissions for COPD (35+ years - DSR per 100,000 registered population)</v>
      </c>
      <c r="E32" s="212" t="s">
        <v>267</v>
      </c>
      <c r="F32" s="205">
        <f ca="1">IF(Calculation!F105&lt;6,"N/A",Calculation!F105)</f>
        <v>808</v>
      </c>
      <c r="G32" s="277">
        <f ca="1">Calculation!G105</f>
        <v>531.75897051310631</v>
      </c>
      <c r="H32" s="265">
        <f ca="1">Calculation!M105</f>
        <v>577.58610687892588</v>
      </c>
      <c r="I32" s="266">
        <f ca="1">Calculation!U105</f>
        <v>1138.9916017903447</v>
      </c>
      <c r="J32" s="53"/>
      <c r="K32" s="53"/>
      <c r="L32" s="53"/>
      <c r="M32" s="53"/>
      <c r="N32" s="50"/>
      <c r="O32" s="50"/>
      <c r="P32" s="50"/>
      <c r="Q32" s="50"/>
      <c r="R32" s="50"/>
      <c r="S32" s="50"/>
      <c r="T32" s="50"/>
      <c r="U32" s="50"/>
      <c r="V32" s="50"/>
      <c r="W32" s="289">
        <f ca="1">Calculation!T105</f>
        <v>96.15384615384616</v>
      </c>
    </row>
    <row r="33" spans="2:27" ht="18.75" customHeight="1" x14ac:dyDescent="0.25">
      <c r="B33" s="425"/>
      <c r="C33" s="327">
        <f>Calculation!B29</f>
        <v>19</v>
      </c>
      <c r="D33" s="189" t="str">
        <f>Calculation!C29</f>
        <v>Premature mortality (under 75 years) from respiratory disease (DSR per 100,000 registered population)</v>
      </c>
      <c r="E33" s="257" t="s">
        <v>218</v>
      </c>
      <c r="F33" s="205">
        <f ca="1">IF(Calculation!F106&lt;6,"N/A",Calculation!F106)</f>
        <v>90</v>
      </c>
      <c r="G33" s="277">
        <f ca="1">Calculation!G106</f>
        <v>39.332440431653325</v>
      </c>
      <c r="H33" s="265">
        <f ca="1">Calculation!M106</f>
        <v>41.764257200581525</v>
      </c>
      <c r="I33" s="266">
        <f ca="1">Calculation!U106</f>
        <v>98.805534872264218</v>
      </c>
      <c r="J33" s="53"/>
      <c r="K33" s="53"/>
      <c r="L33" s="53"/>
      <c r="M33" s="53"/>
      <c r="N33" s="50"/>
      <c r="O33" s="50"/>
      <c r="P33" s="50"/>
      <c r="Q33" s="50"/>
      <c r="R33" s="50"/>
      <c r="S33" s="50"/>
      <c r="T33" s="50"/>
      <c r="U33" s="50"/>
      <c r="V33" s="50"/>
      <c r="W33" s="289">
        <f ca="1">Calculation!T106</f>
        <v>12.845815183753546</v>
      </c>
    </row>
    <row r="34" spans="2:27" ht="18.75" customHeight="1" x14ac:dyDescent="0.25">
      <c r="B34" s="425"/>
      <c r="C34" s="331">
        <f>Calculation!B30</f>
        <v>20</v>
      </c>
      <c r="D34" s="58" t="str">
        <f>Calculation!C30</f>
        <v>Coronary Heart Disease prevalence (%)</v>
      </c>
      <c r="E34" s="204" t="s">
        <v>276</v>
      </c>
      <c r="F34" s="205">
        <f ca="1">IF(Calculation!F107&lt;6,"N/A",Calculation!F107)</f>
        <v>2735</v>
      </c>
      <c r="G34" s="277">
        <f ca="1">Calculation!G107</f>
        <v>2.8097679244701506</v>
      </c>
      <c r="H34" s="265">
        <f ca="1">Calculation!M107</f>
        <v>2.2549679381008301</v>
      </c>
      <c r="I34" s="266">
        <f ca="1">Calculation!U107</f>
        <v>3.6466026587887699</v>
      </c>
      <c r="J34" s="53"/>
      <c r="K34" s="53"/>
      <c r="L34" s="53"/>
      <c r="M34" s="53"/>
      <c r="N34" s="50"/>
      <c r="O34" s="50"/>
      <c r="P34" s="50"/>
      <c r="Q34" s="50"/>
      <c r="R34" s="50"/>
      <c r="S34" s="50"/>
      <c r="T34" s="50"/>
      <c r="U34" s="50"/>
      <c r="V34" s="50"/>
      <c r="W34" s="289">
        <f ca="1">Calculation!T107</f>
        <v>0.151302280341511</v>
      </c>
    </row>
    <row r="35" spans="2:27" ht="18.75" customHeight="1" x14ac:dyDescent="0.25">
      <c r="B35" s="425"/>
      <c r="C35" s="327">
        <f>Calculation!B31</f>
        <v>21</v>
      </c>
      <c r="D35" s="217" t="str">
        <f>Calculation!C31</f>
        <v>Hypertension prevalence (%)</v>
      </c>
      <c r="E35" s="204" t="s">
        <v>276</v>
      </c>
      <c r="F35" s="205">
        <f ca="1">IF(Calculation!F108&lt;6,"N/A",Calculation!F108)</f>
        <v>12470</v>
      </c>
      <c r="G35" s="277">
        <f ca="1">Calculation!G108</f>
        <v>12.810897995664636</v>
      </c>
      <c r="H35" s="265">
        <f ca="1">Calculation!M108</f>
        <v>10.5262056773447</v>
      </c>
      <c r="I35" s="266">
        <f ca="1">Calculation!U108</f>
        <v>14.9874231414198</v>
      </c>
      <c r="J35" s="53"/>
      <c r="K35" s="53"/>
      <c r="L35" s="53"/>
      <c r="M35" s="53"/>
      <c r="N35" s="50"/>
      <c r="O35" s="50"/>
      <c r="P35" s="50"/>
      <c r="Q35" s="50"/>
      <c r="R35" s="50"/>
      <c r="S35" s="50"/>
      <c r="T35" s="50"/>
      <c r="U35" s="50"/>
      <c r="V35" s="50"/>
      <c r="W35" s="289">
        <f ca="1">Calculation!T108</f>
        <v>1.24824381281747</v>
      </c>
    </row>
    <row r="36" spans="2:27" ht="18.75" customHeight="1" x14ac:dyDescent="0.25">
      <c r="B36" s="425"/>
      <c r="C36" s="331">
        <f>Calculation!B32</f>
        <v>22</v>
      </c>
      <c r="D36" s="217" t="str">
        <f>Calculation!C32</f>
        <v>Premature mortality (under 75 years) from circulatory disease (DSR per 100,000 registered population)</v>
      </c>
      <c r="E36" s="212" t="s">
        <v>218</v>
      </c>
      <c r="F36" s="205">
        <f ca="1">IF(Calculation!F109&lt;6,"N/A",Calculation!F109)</f>
        <v>177</v>
      </c>
      <c r="G36" s="277">
        <f ca="1">Calculation!G109</f>
        <v>74.778086438162859</v>
      </c>
      <c r="H36" s="265">
        <f ca="1">Calculation!M109</f>
        <v>74.662565234312666</v>
      </c>
      <c r="I36" s="266">
        <f ca="1">Calculation!U109</f>
        <v>127.60934194505236</v>
      </c>
      <c r="J36" s="53"/>
      <c r="K36" s="53"/>
      <c r="L36" s="53"/>
      <c r="M36" s="53"/>
      <c r="N36" s="50"/>
      <c r="O36" s="50"/>
      <c r="P36" s="50"/>
      <c r="Q36" s="50"/>
      <c r="R36" s="50"/>
      <c r="S36" s="50"/>
      <c r="T36" s="50"/>
      <c r="U36" s="50"/>
      <c r="V36" s="50"/>
      <c r="W36" s="289">
        <f ca="1">Calculation!T109</f>
        <v>3.1307723615415921</v>
      </c>
    </row>
    <row r="37" spans="2:27" ht="18.75" customHeight="1" x14ac:dyDescent="0.25">
      <c r="B37" s="425"/>
      <c r="C37" s="324">
        <f>Calculation!B33</f>
        <v>23</v>
      </c>
      <c r="D37" s="217" t="str">
        <f>Calculation!C33</f>
        <v>Cancer incidence* (all cancers) (persons) (DSR per 100,000 resident population)</v>
      </c>
      <c r="E37" s="212" t="s">
        <v>273</v>
      </c>
      <c r="F37" s="205">
        <f ca="1">IF(Calculation!F110&lt;6,"N/A",Calculation!F110)</f>
        <v>1483</v>
      </c>
      <c r="G37" s="277">
        <f ca="1">Calculation!G110</f>
        <v>660.61849375100326</v>
      </c>
      <c r="H37" s="265">
        <f ca="1">Calculation!M110</f>
        <v>652.18616308014555</v>
      </c>
      <c r="I37" s="266">
        <f ca="1">Calculation!U110</f>
        <v>785.83076374632401</v>
      </c>
      <c r="J37" s="53"/>
      <c r="K37" s="53"/>
      <c r="L37" s="53"/>
      <c r="M37" s="53"/>
      <c r="N37" s="50"/>
      <c r="O37" s="50"/>
      <c r="P37" s="50"/>
      <c r="Q37" s="50"/>
      <c r="R37" s="50"/>
      <c r="S37" s="50"/>
      <c r="T37" s="50"/>
      <c r="U37" s="50"/>
      <c r="V37" s="50"/>
      <c r="W37" s="289">
        <f ca="1">Calculation!T110</f>
        <v>538.99964780180619</v>
      </c>
    </row>
    <row r="38" spans="2:27" ht="18.75" customHeight="1" x14ac:dyDescent="0.25">
      <c r="B38" s="425"/>
      <c r="C38" s="324">
        <f>Calculation!B34</f>
        <v>24</v>
      </c>
      <c r="D38" s="217" t="str">
        <f>Calculation!C34</f>
        <v>Cancer incidence* (all cancers) (males) (DSR per 100,000 resident population)</v>
      </c>
      <c r="E38" s="212" t="s">
        <v>273</v>
      </c>
      <c r="F38" s="205">
        <f ca="1">IF(Calculation!F111&lt;6,"N/A",Calculation!F111)</f>
        <v>743</v>
      </c>
      <c r="G38" s="277">
        <f ca="1">Calculation!G111</f>
        <v>729.77723876366792</v>
      </c>
      <c r="H38" s="265">
        <f ca="1">Calculation!M111</f>
        <v>742.59383804112838</v>
      </c>
      <c r="I38" s="266">
        <f ca="1">Calculation!U111</f>
        <v>876.68695192082794</v>
      </c>
      <c r="J38" s="53"/>
      <c r="K38" s="53"/>
      <c r="L38" s="53"/>
      <c r="M38" s="53"/>
      <c r="N38" s="50"/>
      <c r="O38" s="50"/>
      <c r="P38" s="50"/>
      <c r="Q38" s="50"/>
      <c r="R38" s="50"/>
      <c r="S38" s="50"/>
      <c r="T38" s="50"/>
      <c r="U38" s="50"/>
      <c r="V38" s="50"/>
      <c r="W38" s="289">
        <f ca="1">Calculation!T111</f>
        <v>568.97341686204425</v>
      </c>
    </row>
    <row r="39" spans="2:27" ht="18.75" customHeight="1" x14ac:dyDescent="0.25">
      <c r="B39" s="425"/>
      <c r="C39" s="324">
        <f>Calculation!B35</f>
        <v>25</v>
      </c>
      <c r="D39" s="189" t="str">
        <f>Calculation!C35</f>
        <v>Cancer incidence* (all cancers) (females) (DSR per 100,000 resident population)</v>
      </c>
      <c r="E39" s="212" t="s">
        <v>273</v>
      </c>
      <c r="F39" s="205">
        <f ca="1">IF(Calculation!F112&lt;6,"N/A",Calculation!F112)</f>
        <v>740</v>
      </c>
      <c r="G39" s="277">
        <f ca="1">Calculation!G112</f>
        <v>610.11984226579921</v>
      </c>
      <c r="H39" s="265">
        <f ca="1">Calculation!M112</f>
        <v>587.10505122555446</v>
      </c>
      <c r="I39" s="266">
        <f ca="1">Calculation!U112</f>
        <v>718.04480255815304</v>
      </c>
      <c r="J39" s="53"/>
      <c r="K39" s="53"/>
      <c r="L39" s="53"/>
      <c r="M39" s="53"/>
      <c r="N39" s="50"/>
      <c r="O39" s="50"/>
      <c r="P39" s="50"/>
      <c r="Q39" s="50"/>
      <c r="R39" s="50"/>
      <c r="S39" s="50"/>
      <c r="T39" s="50"/>
      <c r="U39" s="50"/>
      <c r="V39" s="50"/>
      <c r="W39" s="289">
        <f ca="1">Calculation!T112</f>
        <v>461.93502392399483</v>
      </c>
    </row>
    <row r="40" spans="2:27" ht="18.75" customHeight="1" x14ac:dyDescent="0.25">
      <c r="B40" s="425"/>
      <c r="C40" s="324">
        <f>Calculation!B36</f>
        <v>26</v>
      </c>
      <c r="D40" s="189" t="str">
        <f>Calculation!C36</f>
        <v>Colorectal cancer incidence* (persons) (DSR per 100,000 resident population)</v>
      </c>
      <c r="E40" s="212" t="s">
        <v>273</v>
      </c>
      <c r="F40" s="205">
        <f ca="1">IF(Calculation!F113&lt;6,"N/A",Calculation!F113)</f>
        <v>160</v>
      </c>
      <c r="G40" s="277">
        <f ca="1">Calculation!G113</f>
        <v>71.599078215424043</v>
      </c>
      <c r="H40" s="265">
        <f ca="1">Calculation!M113</f>
        <v>72.521498279672301</v>
      </c>
      <c r="I40" s="266">
        <f ca="1">Calculation!U113</f>
        <v>105.12680216602915</v>
      </c>
      <c r="J40" s="53"/>
      <c r="K40" s="53"/>
      <c r="L40" s="53"/>
      <c r="M40" s="53"/>
      <c r="N40" s="50"/>
      <c r="O40" s="50"/>
      <c r="P40" s="50"/>
      <c r="Q40" s="50"/>
      <c r="R40" s="50"/>
      <c r="S40" s="50"/>
      <c r="T40" s="50"/>
      <c r="U40" s="50"/>
      <c r="V40" s="50"/>
      <c r="W40" s="289">
        <f ca="1">Calculation!T113</f>
        <v>44.334041733063991</v>
      </c>
    </row>
    <row r="41" spans="2:27" ht="18.75" customHeight="1" x14ac:dyDescent="0.25">
      <c r="B41" s="425"/>
      <c r="C41" s="324">
        <f>Calculation!B37</f>
        <v>27</v>
      </c>
      <c r="D41" s="58" t="str">
        <f>Calculation!C37</f>
        <v>Lung cancer incidence* (persons) (DSR per 100,000 resident population)</v>
      </c>
      <c r="E41" s="212" t="s">
        <v>273</v>
      </c>
      <c r="F41" s="205">
        <f ca="1">IF(Calculation!F114&lt;6,"N/A",Calculation!F114)</f>
        <v>230</v>
      </c>
      <c r="G41" s="277">
        <f ca="1">Calculation!G114</f>
        <v>104.90163144519751</v>
      </c>
      <c r="H41" s="265">
        <f ca="1">Calculation!M114</f>
        <v>105.35274830777894</v>
      </c>
      <c r="I41" s="266">
        <f ca="1">Calculation!U114</f>
        <v>156.08630055503525</v>
      </c>
      <c r="J41" s="53"/>
      <c r="K41" s="53"/>
      <c r="L41" s="53"/>
      <c r="M41" s="53"/>
      <c r="N41" s="50"/>
      <c r="O41" s="50"/>
      <c r="P41" s="50"/>
      <c r="Q41" s="50"/>
      <c r="R41" s="50"/>
      <c r="S41" s="50"/>
      <c r="T41" s="50"/>
      <c r="U41" s="50"/>
      <c r="V41" s="50"/>
      <c r="W41" s="289">
        <f ca="1">Calculation!T114</f>
        <v>51.064235980336264</v>
      </c>
    </row>
    <row r="42" spans="2:27" ht="18.75" customHeight="1" x14ac:dyDescent="0.25">
      <c r="B42" s="425"/>
      <c r="C42" s="327">
        <f>Calculation!B38</f>
        <v>28</v>
      </c>
      <c r="D42" s="217" t="str">
        <f>Calculation!C38</f>
        <v>Female breast cancer incidence* (DSR per 100,000 resident population)</v>
      </c>
      <c r="E42" s="212" t="s">
        <v>273</v>
      </c>
      <c r="F42" s="205">
        <f ca="1">IF(Calculation!F115&lt;6,"N/A",Calculation!F115)</f>
        <v>227</v>
      </c>
      <c r="G42" s="267">
        <f ca="1">Calculation!G115</f>
        <v>186.77712388547107</v>
      </c>
      <c r="H42" s="268">
        <f ca="1">Calculation!M115</f>
        <v>175.67583764175842</v>
      </c>
      <c r="I42" s="272">
        <f ca="1">Calculation!U115</f>
        <v>244.30958277018706</v>
      </c>
      <c r="J42" s="53"/>
      <c r="K42" s="53"/>
      <c r="L42" s="53"/>
      <c r="M42" s="53"/>
      <c r="N42" s="50"/>
      <c r="O42" s="50"/>
      <c r="P42" s="50"/>
      <c r="Q42" s="50"/>
      <c r="R42" s="50"/>
      <c r="S42" s="50"/>
      <c r="T42" s="50"/>
      <c r="U42" s="50"/>
      <c r="V42" s="201"/>
      <c r="W42" s="289">
        <f ca="1">Calculation!T115</f>
        <v>120.98080377397729</v>
      </c>
      <c r="AA42" s="320"/>
    </row>
    <row r="43" spans="2:27" ht="18.75" customHeight="1" x14ac:dyDescent="0.25">
      <c r="B43" s="425"/>
      <c r="C43" s="331">
        <f>Calculation!B39</f>
        <v>29</v>
      </c>
      <c r="D43" s="217" t="str">
        <f>Calculation!C39</f>
        <v>Premature mortality from all cancers (under 75 years) (DSR per 100,000 registered population)</v>
      </c>
      <c r="E43" s="244" t="s">
        <v>218</v>
      </c>
      <c r="F43" s="205">
        <f ca="1">IF(Calculation!F116&lt;6,"N/A",Calculation!F116)</f>
        <v>330</v>
      </c>
      <c r="G43" s="277">
        <f ca="1">Calculation!G116</f>
        <v>139.56350171296356</v>
      </c>
      <c r="H43" s="265">
        <f ca="1">Calculation!M116</f>
        <v>137.75180364641668</v>
      </c>
      <c r="I43" s="269">
        <f ca="1">Calculation!U116</f>
        <v>278.25636653650866</v>
      </c>
      <c r="J43" s="53"/>
      <c r="K43" s="53"/>
      <c r="L43" s="53"/>
      <c r="M43" s="53"/>
      <c r="N43" s="50"/>
      <c r="O43" s="50"/>
      <c r="P43" s="50"/>
      <c r="Q43" s="50"/>
      <c r="R43" s="50"/>
      <c r="S43" s="50"/>
      <c r="T43" s="50"/>
      <c r="U43" s="50"/>
      <c r="V43" s="50"/>
      <c r="W43" s="292">
        <f ca="1">Calculation!T116</f>
        <v>50.555753076102455</v>
      </c>
    </row>
    <row r="44" spans="2:27" ht="18.75" customHeight="1" x14ac:dyDescent="0.25">
      <c r="B44" s="425"/>
      <c r="C44" s="324">
        <f>Calculation!B40</f>
        <v>30</v>
      </c>
      <c r="D44" s="217" t="str">
        <f>Calculation!C40</f>
        <v>Osteoporosis prevalence 50+ years (%)</v>
      </c>
      <c r="E44" s="204" t="s">
        <v>276</v>
      </c>
      <c r="F44" s="205">
        <f ca="1">IF(Calculation!F117&lt;6,"N/A",Calculation!F117)</f>
        <v>202</v>
      </c>
      <c r="G44" s="277">
        <f ca="1">Calculation!G117</f>
        <v>0.58773895079868488</v>
      </c>
      <c r="H44" s="265">
        <f ca="1">Calculation!M117</f>
        <v>0.48117746957260099</v>
      </c>
      <c r="I44" s="266">
        <f ca="1">Calculation!U117</f>
        <v>3.0390738060781501</v>
      </c>
      <c r="J44" s="53"/>
      <c r="K44" s="53"/>
      <c r="L44" s="53"/>
      <c r="M44" s="53"/>
      <c r="N44" s="50"/>
      <c r="O44" s="50"/>
      <c r="P44" s="50"/>
      <c r="Q44" s="50"/>
      <c r="R44" s="50"/>
      <c r="S44" s="50"/>
      <c r="T44" s="50"/>
      <c r="U44" s="50"/>
      <c r="V44" s="50"/>
      <c r="W44" s="289">
        <f ca="1">Calculation!T117</f>
        <v>0.126710593005575</v>
      </c>
    </row>
    <row r="45" spans="2:27" ht="18.75" customHeight="1" x14ac:dyDescent="0.25">
      <c r="B45" s="425"/>
      <c r="C45" s="324">
        <f>Calculation!B41</f>
        <v>31</v>
      </c>
      <c r="D45" s="189" t="str">
        <f>Calculation!C41</f>
        <v>Rheumatoid arthritus prevalence 16+ years (%)</v>
      </c>
      <c r="E45" s="244" t="s">
        <v>276</v>
      </c>
      <c r="F45" s="205">
        <f ca="1">IF(Calculation!F118&lt;6,"N/A",Calculation!F118)</f>
        <v>623</v>
      </c>
      <c r="G45" s="277">
        <f ca="1">Calculation!G118</f>
        <v>0.79724610974610965</v>
      </c>
      <c r="H45" s="265">
        <f ca="1">Calculation!M118</f>
        <v>0.60064354665713304</v>
      </c>
      <c r="I45" s="269">
        <f ca="1">Calculation!U118</f>
        <v>0.94741828517290405</v>
      </c>
      <c r="J45" s="53"/>
      <c r="K45" s="53"/>
      <c r="L45" s="53"/>
      <c r="M45" s="53"/>
      <c r="N45" s="50"/>
      <c r="O45" s="50"/>
      <c r="P45" s="50"/>
      <c r="Q45" s="50"/>
      <c r="R45" s="50"/>
      <c r="S45" s="50"/>
      <c r="T45" s="50"/>
      <c r="U45" s="50"/>
      <c r="V45" s="50"/>
      <c r="W45" s="292">
        <f ca="1">Calculation!T118</f>
        <v>0.10103277952402299</v>
      </c>
    </row>
    <row r="46" spans="2:27" ht="18.75" customHeight="1" x14ac:dyDescent="0.25">
      <c r="B46" s="426"/>
      <c r="C46" s="324">
        <f>Calculation!B42</f>
        <v>32</v>
      </c>
      <c r="D46" s="307" t="str">
        <f>Calculation!C42</f>
        <v>Emergency hospital admissions (all age) (DSR per 1,000 registered population)</v>
      </c>
      <c r="E46" s="246" t="s">
        <v>267</v>
      </c>
      <c r="F46" s="380">
        <f ca="1">IF(Calculation!F119&lt;6,"N/A",Calculation!F119)</f>
        <v>34542</v>
      </c>
      <c r="G46" s="274">
        <f ca="1">Calculation!G119</f>
        <v>124.79232994699034</v>
      </c>
      <c r="H46" s="275">
        <f ca="1">Calculation!M119</f>
        <v>125.78549810659193</v>
      </c>
      <c r="I46" s="276">
        <f ca="1">Calculation!U119</f>
        <v>163.17724756274475</v>
      </c>
      <c r="J46" s="54"/>
      <c r="K46" s="54"/>
      <c r="L46" s="54"/>
      <c r="M46" s="54"/>
      <c r="N46" s="51"/>
      <c r="O46" s="51"/>
      <c r="P46" s="51"/>
      <c r="Q46" s="51"/>
      <c r="R46" s="51"/>
      <c r="S46" s="51"/>
      <c r="T46" s="51"/>
      <c r="U46" s="51"/>
      <c r="V46" s="202"/>
      <c r="W46" s="285">
        <f ca="1">Calculation!T119</f>
        <v>84.667934090288284</v>
      </c>
    </row>
    <row r="47" spans="2:27" ht="18.75" customHeight="1" x14ac:dyDescent="0.25">
      <c r="B47" s="428" t="s">
        <v>416</v>
      </c>
      <c r="C47" s="328">
        <f>Calculation!B43</f>
        <v>33</v>
      </c>
      <c r="D47" s="306" t="str">
        <f>Calculation!C43</f>
        <v>Depression prevalence 18+ years (%)</v>
      </c>
      <c r="E47" s="204" t="s">
        <v>276</v>
      </c>
      <c r="F47" s="205">
        <f ca="1">IF(Calculation!F120&lt;6,"N/A",Calculation!F120)</f>
        <v>8731</v>
      </c>
      <c r="G47" s="277">
        <f ca="1">Calculation!G120</f>
        <v>11.456501771421072</v>
      </c>
      <c r="H47" s="265">
        <f ca="1">Calculation!M120</f>
        <v>10.0511965914753</v>
      </c>
      <c r="I47" s="266">
        <f ca="1">Calculation!U120</f>
        <v>17.0999914755775</v>
      </c>
      <c r="J47" s="53"/>
      <c r="K47" s="53"/>
      <c r="L47" s="53"/>
      <c r="M47" s="53"/>
      <c r="N47" s="50"/>
      <c r="O47" s="50"/>
      <c r="P47" s="50"/>
      <c r="Q47" s="50"/>
      <c r="R47" s="50"/>
      <c r="S47" s="50"/>
      <c r="T47" s="50"/>
      <c r="U47" s="50"/>
      <c r="V47" s="50"/>
      <c r="W47" s="291">
        <f ca="1">Calculation!T120</f>
        <v>3.7056643726839602</v>
      </c>
    </row>
    <row r="48" spans="2:27" ht="18.75" customHeight="1" x14ac:dyDescent="0.25">
      <c r="B48" s="425"/>
      <c r="C48" s="327">
        <f>Calculation!B44</f>
        <v>34</v>
      </c>
      <c r="D48" s="189" t="str">
        <f>Calculation!C44</f>
        <v>Mental health prevalence (%) (schizophrenia, bipolar affective disorder and other psychoses)</v>
      </c>
      <c r="E48" s="204" t="s">
        <v>276</v>
      </c>
      <c r="F48" s="205">
        <f ca="1">IF(Calculation!F121&lt;6,"N/A",Calculation!F121)</f>
        <v>1046</v>
      </c>
      <c r="G48" s="277">
        <f ca="1">Calculation!G121</f>
        <v>1.0745949722105221</v>
      </c>
      <c r="H48" s="265">
        <f ca="1">Calculation!M121</f>
        <v>1.1283556900717999</v>
      </c>
      <c r="I48" s="266">
        <f ca="1">Calculation!U121</f>
        <v>2.2130725681935099</v>
      </c>
      <c r="J48" s="53"/>
      <c r="K48" s="53"/>
      <c r="L48" s="53"/>
      <c r="M48" s="53"/>
      <c r="N48" s="50"/>
      <c r="O48" s="50"/>
      <c r="P48" s="50"/>
      <c r="Q48" s="50"/>
      <c r="R48" s="50"/>
      <c r="S48" s="50"/>
      <c r="T48" s="50"/>
      <c r="U48" s="50"/>
      <c r="V48" s="50"/>
      <c r="W48" s="289">
        <f ca="1">Calculation!T121</f>
        <v>0.35664108937641797</v>
      </c>
    </row>
    <row r="49" spans="2:24" ht="18.75" customHeight="1" x14ac:dyDescent="0.25">
      <c r="B49" s="425"/>
      <c r="C49" s="331">
        <f>Calculation!B45</f>
        <v>35</v>
      </c>
      <c r="D49" s="189" t="str">
        <f>Calculation!C45</f>
        <v>Learning disability prevalence (%)</v>
      </c>
      <c r="E49" s="204" t="s">
        <v>276</v>
      </c>
      <c r="F49" s="205">
        <f ca="1">IF(Calculation!F122&lt;6,"N/A",Calculation!F122)</f>
        <v>489</v>
      </c>
      <c r="G49" s="277">
        <f ca="1">Calculation!G122</f>
        <v>0.50236801282117138</v>
      </c>
      <c r="H49" s="265">
        <f ca="1">Calculation!M122</f>
        <v>0.46026869928762998</v>
      </c>
      <c r="I49" s="266">
        <f ca="1">Calculation!U122</f>
        <v>0.93798124037519304</v>
      </c>
      <c r="J49" s="53"/>
      <c r="K49" s="53"/>
      <c r="L49" s="53"/>
      <c r="M49" s="53"/>
      <c r="N49" s="50"/>
      <c r="O49" s="50"/>
      <c r="P49" s="50"/>
      <c r="Q49" s="50"/>
      <c r="R49" s="50"/>
      <c r="S49" s="50"/>
      <c r="T49" s="50"/>
      <c r="U49" s="50"/>
      <c r="V49" s="50"/>
      <c r="W49" s="289">
        <f ca="1">Calculation!T122</f>
        <v>3.2421917216038001E-2</v>
      </c>
    </row>
    <row r="50" spans="2:24" ht="18.75" customHeight="1" x14ac:dyDescent="0.25">
      <c r="B50" s="425"/>
      <c r="C50" s="324">
        <f>Calculation!B46</f>
        <v>36</v>
      </c>
      <c r="D50" s="189" t="str">
        <f>Calculation!C46</f>
        <v>Dementia prevalence (all ages) (%)</v>
      </c>
      <c r="E50" s="204" t="s">
        <v>276</v>
      </c>
      <c r="F50" s="205">
        <f ca="1">IF(Calculation!F123&lt;6,"N/A",Calculation!F123)</f>
        <v>643</v>
      </c>
      <c r="G50" s="277">
        <f ca="1">Calculation!G123</f>
        <v>0.66057798004910673</v>
      </c>
      <c r="H50" s="265">
        <f ca="1">Calculation!M123</f>
        <v>0.56348046821879505</v>
      </c>
      <c r="I50" s="266">
        <f ca="1">Calculation!U123</f>
        <v>2.6638869585360201</v>
      </c>
      <c r="J50" s="53"/>
      <c r="K50" s="53"/>
      <c r="L50" s="53"/>
      <c r="M50" s="53"/>
      <c r="N50" s="50"/>
      <c r="O50" s="50"/>
      <c r="P50" s="50"/>
      <c r="Q50" s="50"/>
      <c r="R50" s="50"/>
      <c r="S50" s="50"/>
      <c r="T50" s="50"/>
      <c r="U50" s="50"/>
      <c r="V50" s="50"/>
      <c r="W50" s="289">
        <f ca="1">Calculation!T123</f>
        <v>1.6210958608019001E-2</v>
      </c>
    </row>
    <row r="51" spans="2:24" ht="18.75" customHeight="1" x14ac:dyDescent="0.25">
      <c r="B51" s="425"/>
      <c r="C51" s="324">
        <f>Calculation!B47</f>
        <v>37</v>
      </c>
      <c r="D51" s="58" t="str">
        <f>Calculation!C47</f>
        <v>Emergency admissions for intentional self-harm (all ages) (DSR per 100,000 registered population)</v>
      </c>
      <c r="E51" s="212" t="s">
        <v>267</v>
      </c>
      <c r="F51" s="205">
        <f ca="1">IF(Calculation!F124&lt;6,"N/A",Calculation!F124)</f>
        <v>935</v>
      </c>
      <c r="G51" s="277">
        <f ca="1">Calculation!G124</f>
        <v>320.80300218877915</v>
      </c>
      <c r="H51" s="265">
        <f ca="1">Calculation!M124</f>
        <v>290.20054734741814</v>
      </c>
      <c r="I51" s="266">
        <f ca="1">Calculation!U124</f>
        <v>492.10422820753524</v>
      </c>
      <c r="J51" s="53"/>
      <c r="K51" s="53"/>
      <c r="L51" s="53"/>
      <c r="M51" s="53"/>
      <c r="N51" s="50"/>
      <c r="O51" s="50"/>
      <c r="P51" s="50"/>
      <c r="Q51" s="50"/>
      <c r="R51" s="50"/>
      <c r="S51" s="50"/>
      <c r="T51" s="50"/>
      <c r="U51" s="50"/>
      <c r="V51" s="50"/>
      <c r="W51" s="289">
        <f ca="1">Calculation!T124</f>
        <v>73.523761865252311</v>
      </c>
    </row>
    <row r="52" spans="2:24" ht="18.75" customHeight="1" x14ac:dyDescent="0.25">
      <c r="B52" s="425"/>
      <c r="C52" s="324">
        <f>Calculation!B48</f>
        <v>38</v>
      </c>
      <c r="D52" s="189" t="str">
        <f>Calculation!C48</f>
        <v>Drug related mental health and behavioural admissions (DSR per 100,000 registered population)</v>
      </c>
      <c r="E52" s="212" t="s">
        <v>267</v>
      </c>
      <c r="F52" s="205">
        <f ca="1">IF(Calculation!F125&lt;6,"N/A",Calculation!F125)</f>
        <v>433</v>
      </c>
      <c r="G52" s="277">
        <f ca="1">Calculation!G125</f>
        <v>147.50493055819391</v>
      </c>
      <c r="H52" s="265">
        <f ca="1">Calculation!M125</f>
        <v>190.10606641164873</v>
      </c>
      <c r="I52" s="266">
        <f ca="1">Calculation!U125</f>
        <v>304.38187960556934</v>
      </c>
      <c r="J52" s="53"/>
      <c r="K52" s="53"/>
      <c r="L52" s="53"/>
      <c r="M52" s="53"/>
      <c r="N52" s="50"/>
      <c r="O52" s="50"/>
      <c r="P52" s="50"/>
      <c r="Q52" s="50"/>
      <c r="R52" s="50"/>
      <c r="S52" s="50"/>
      <c r="T52" s="50"/>
      <c r="U52" s="50"/>
      <c r="V52" s="50"/>
      <c r="W52" s="289">
        <f ca="1">Calculation!T125</f>
        <v>20.460780963236843</v>
      </c>
    </row>
    <row r="53" spans="2:24" ht="18.75" customHeight="1" x14ac:dyDescent="0.25">
      <c r="B53" s="426"/>
      <c r="C53" s="321">
        <f>Calculation!B49</f>
        <v>39</v>
      </c>
      <c r="D53" s="191" t="str">
        <f>Calculation!C49</f>
        <v>Mortality from suicide and injury undetermined (DSR per 100,000 registered population)</v>
      </c>
      <c r="E53" s="178" t="s">
        <v>218</v>
      </c>
      <c r="F53" s="313">
        <f ca="1">IF(Calculation!F126&lt;6,"N/A",Calculation!F126)</f>
        <v>29</v>
      </c>
      <c r="G53" s="274">
        <f ca="1">Calculation!G126</f>
        <v>10.231008827837405</v>
      </c>
      <c r="H53" s="275">
        <f ca="1">Calculation!M126</f>
        <v>10.144808778604332</v>
      </c>
      <c r="I53" s="276">
        <f ca="1">Calculation!U126</f>
        <v>23.858184065065792</v>
      </c>
      <c r="J53" s="54"/>
      <c r="K53" s="54"/>
      <c r="L53" s="54"/>
      <c r="M53" s="54"/>
      <c r="N53" s="51"/>
      <c r="O53" s="51"/>
      <c r="P53" s="51"/>
      <c r="Q53" s="51"/>
      <c r="R53" s="51"/>
      <c r="S53" s="51"/>
      <c r="T53" s="51"/>
      <c r="U53" s="51"/>
      <c r="V53" s="51"/>
      <c r="W53" s="293">
        <f ca="1">Calculation!T126</f>
        <v>2.176848027564807</v>
      </c>
    </row>
    <row r="54" spans="2:24" ht="18.75" customHeight="1" x14ac:dyDescent="0.25">
      <c r="B54" s="425" t="s">
        <v>453</v>
      </c>
      <c r="C54" s="331">
        <f>Calculation!B50</f>
        <v>40</v>
      </c>
      <c r="D54" s="306" t="str">
        <f>Calculation!C50</f>
        <v>Estimated smoking prevalence 15+ years (%)</v>
      </c>
      <c r="E54" s="251" t="s">
        <v>276</v>
      </c>
      <c r="F54" s="381">
        <f ca="1">IF(Calculation!F127&lt;6,"N/A",Calculation!F127)</f>
        <v>17254</v>
      </c>
      <c r="G54" s="280">
        <f ca="1">Calculation!G127</f>
        <v>21.796637148018544</v>
      </c>
      <c r="H54" s="278">
        <f ca="1">Calculation!M127</f>
        <v>20.548931776930399</v>
      </c>
      <c r="I54" s="281">
        <f ca="1">Calculation!U127</f>
        <v>27.1110659485825</v>
      </c>
      <c r="J54" s="55"/>
      <c r="K54" s="55"/>
      <c r="L54" s="55"/>
      <c r="M54" s="55"/>
      <c r="N54" s="52"/>
      <c r="O54" s="52"/>
      <c r="P54" s="52"/>
      <c r="Q54" s="52"/>
      <c r="R54" s="52"/>
      <c r="S54" s="52"/>
      <c r="T54" s="52"/>
      <c r="U54" s="52"/>
      <c r="V54" s="52"/>
      <c r="W54" s="294">
        <f ca="1">Calculation!T127</f>
        <v>6.7466771353261201</v>
      </c>
    </row>
    <row r="55" spans="2:24" ht="18.75" customHeight="1" x14ac:dyDescent="0.25">
      <c r="B55" s="425"/>
      <c r="C55" s="324">
        <f>Calculation!B51</f>
        <v>41</v>
      </c>
      <c r="D55" s="189" t="str">
        <f>Calculation!C51</f>
        <v>Obesity prevalence 18+ years (%)</v>
      </c>
      <c r="E55" s="212" t="s">
        <v>276</v>
      </c>
      <c r="F55" s="205">
        <f ca="1">IF(Calculation!F128&lt;6,"N/A",Calculation!F128)</f>
        <v>8144</v>
      </c>
      <c r="G55" s="277">
        <f ca="1">Calculation!G128</f>
        <v>10.686261645453353</v>
      </c>
      <c r="H55" s="265">
        <f ca="1">Calculation!M128</f>
        <v>8.7425051969694394</v>
      </c>
      <c r="I55" s="266">
        <f ca="1">Calculation!U128</f>
        <v>16.959504685408302</v>
      </c>
      <c r="J55" s="53"/>
      <c r="K55" s="53"/>
      <c r="L55" s="53"/>
      <c r="M55" s="53"/>
      <c r="N55" s="50"/>
      <c r="O55" s="50"/>
      <c r="P55" s="50"/>
      <c r="Q55" s="50"/>
      <c r="R55" s="50"/>
      <c r="S55" s="50"/>
      <c r="T55" s="50"/>
      <c r="U55" s="50"/>
      <c r="V55" s="50"/>
      <c r="W55" s="289">
        <f ca="1">Calculation!T128</f>
        <v>2.0747821197638499</v>
      </c>
    </row>
    <row r="56" spans="2:24" ht="18.75" customHeight="1" x14ac:dyDescent="0.25">
      <c r="B56" s="425"/>
      <c r="C56" s="324">
        <f>Calculation!B52</f>
        <v>42</v>
      </c>
      <c r="D56" s="58" t="str">
        <f>Calculation!C52</f>
        <v>Alcohol-specific hospital admissions (DSR per 100,000 registered population)</v>
      </c>
      <c r="E56" s="212" t="s">
        <v>267</v>
      </c>
      <c r="F56" s="205">
        <f ca="1">IF(Calculation!F129&lt;6,"N/A",Calculation!F129)</f>
        <v>2117</v>
      </c>
      <c r="G56" s="277">
        <f ca="1">Calculation!G129</f>
        <v>769.96255324486162</v>
      </c>
      <c r="H56" s="265">
        <f ca="1">Calculation!M129</f>
        <v>937.56617676650262</v>
      </c>
      <c r="I56" s="266">
        <f ca="1">Calculation!U129</f>
        <v>1858.4826359216281</v>
      </c>
      <c r="J56" s="53"/>
      <c r="K56" s="53"/>
      <c r="L56" s="53"/>
      <c r="M56" s="53"/>
      <c r="N56" s="50"/>
      <c r="O56" s="50"/>
      <c r="P56" s="50"/>
      <c r="Q56" s="50"/>
      <c r="R56" s="50"/>
      <c r="S56" s="50"/>
      <c r="T56" s="50"/>
      <c r="U56" s="50"/>
      <c r="V56" s="50"/>
      <c r="W56" s="289">
        <f ca="1">Calculation!T129</f>
        <v>194.16851135322827</v>
      </c>
      <c r="X56" s="301"/>
    </row>
    <row r="57" spans="2:24" ht="18.75" customHeight="1" x14ac:dyDescent="0.25">
      <c r="B57" s="425"/>
      <c r="C57" s="321">
        <f>Calculation!B53</f>
        <v>43</v>
      </c>
      <c r="D57" s="216" t="str">
        <f>Calculation!C53</f>
        <v>Admissions for poisoning by illicit drugs (DSR per 100,000 registered population)</v>
      </c>
      <c r="E57" s="178" t="s">
        <v>267</v>
      </c>
      <c r="F57" s="380">
        <f ca="1">IF(Calculation!F130&lt;6,"N/A",Calculation!F130)</f>
        <v>120</v>
      </c>
      <c r="G57" s="274">
        <f ca="1">Calculation!G130</f>
        <v>41.019754461440435</v>
      </c>
      <c r="H57" s="275">
        <f ca="1">Calculation!M130</f>
        <v>49.491593757294879</v>
      </c>
      <c r="I57" s="276">
        <f ca="1">Calculation!U130</f>
        <v>85.869077570142508</v>
      </c>
      <c r="J57" s="54"/>
      <c r="K57" s="54"/>
      <c r="L57" s="54"/>
      <c r="M57" s="54"/>
      <c r="N57" s="51"/>
      <c r="O57" s="51"/>
      <c r="P57" s="51"/>
      <c r="Q57" s="51"/>
      <c r="R57" s="51"/>
      <c r="S57" s="51"/>
      <c r="T57" s="51"/>
      <c r="U57" s="51"/>
      <c r="V57" s="51"/>
      <c r="W57" s="293">
        <f ca="1">Calculation!T130</f>
        <v>6.1383928571428559</v>
      </c>
    </row>
    <row r="58" spans="2:24" ht="18.75" customHeight="1" x14ac:dyDescent="0.25">
      <c r="B58" s="428" t="s">
        <v>238</v>
      </c>
      <c r="C58" s="331">
        <f>Calculation!B54</f>
        <v>44</v>
      </c>
      <c r="D58" s="58" t="str">
        <f>Calculation!C54</f>
        <v>Mothers breastfeeding (%)*</v>
      </c>
      <c r="E58" s="212" t="s">
        <v>282</v>
      </c>
      <c r="F58" s="205">
        <f ca="1">IF(Calculation!F131&lt;6,"N/A",Calculation!F131)</f>
        <v>2361</v>
      </c>
      <c r="G58" s="277">
        <f ca="1">Calculation!G131</f>
        <v>70.752172610128866</v>
      </c>
      <c r="H58" s="265">
        <f ca="1">Calculation!M131</f>
        <v>76.56903765690376</v>
      </c>
      <c r="I58" s="266">
        <f ca="1">Calculation!U131</f>
        <v>66.182749786507259</v>
      </c>
      <c r="J58" s="53"/>
      <c r="K58" s="53"/>
      <c r="L58" s="53"/>
      <c r="M58" s="53"/>
      <c r="N58" s="50"/>
      <c r="O58" s="50"/>
      <c r="P58" s="50"/>
      <c r="Q58" s="50"/>
      <c r="R58" s="50"/>
      <c r="S58" s="50"/>
      <c r="T58" s="50"/>
      <c r="U58" s="50"/>
      <c r="V58" s="50"/>
      <c r="W58" s="292">
        <f ca="1">Calculation!T131</f>
        <v>91.28289473684211</v>
      </c>
    </row>
    <row r="59" spans="2:24" ht="18.75" customHeight="1" x14ac:dyDescent="0.25">
      <c r="B59" s="425"/>
      <c r="C59" s="324">
        <f>Calculation!B55</f>
        <v>45</v>
      </c>
      <c r="D59" s="189" t="str">
        <f>Calculation!C55</f>
        <v>Mothers smoking at time of discharge (%)*</v>
      </c>
      <c r="E59" s="177" t="s">
        <v>282</v>
      </c>
      <c r="F59" s="205">
        <f ca="1">IF(Calculation!F132&lt;6,"N/A",Calculation!F132)</f>
        <v>532</v>
      </c>
      <c r="G59" s="267">
        <f ca="1">Calculation!G132</f>
        <v>15.772309516750669</v>
      </c>
      <c r="H59" s="268">
        <f ca="1">Calculation!M132</f>
        <v>14.004253890070526</v>
      </c>
      <c r="I59" s="269">
        <f ca="1">Calculation!U132</f>
        <v>19.882055602358889</v>
      </c>
      <c r="J59" s="53"/>
      <c r="K59" s="53"/>
      <c r="L59" s="53"/>
      <c r="M59" s="53"/>
      <c r="N59" s="50"/>
      <c r="O59" s="50"/>
      <c r="P59" s="50"/>
      <c r="Q59" s="50"/>
      <c r="R59" s="50"/>
      <c r="S59" s="50"/>
      <c r="T59" s="50"/>
      <c r="U59" s="50"/>
      <c r="V59" s="201"/>
      <c r="W59" s="289">
        <f ca="1">Calculation!T132</f>
        <v>6.3106796116504853</v>
      </c>
    </row>
    <row r="60" spans="2:24" ht="18.75" customHeight="1" x14ac:dyDescent="0.25">
      <c r="B60" s="425"/>
      <c r="C60" s="324">
        <f>Calculation!B56</f>
        <v>46</v>
      </c>
      <c r="D60" s="58" t="str">
        <f>Calculation!C56</f>
        <v>Low-birth weight of full term babies (%)*</v>
      </c>
      <c r="E60" s="244" t="s">
        <v>282</v>
      </c>
      <c r="F60" s="205">
        <f ca="1">IF(Calculation!F133&lt;6,"N/A",Calculation!F133)</f>
        <v>60</v>
      </c>
      <c r="G60" s="277">
        <f ca="1">Calculation!G133</f>
        <v>1.8674136321195143</v>
      </c>
      <c r="H60" s="265">
        <f ca="1">Calculation!M133</f>
        <v>2.4223894637817498</v>
      </c>
      <c r="I60" s="266">
        <f ca="1">Calculation!U133</f>
        <v>4.1189931350114417</v>
      </c>
      <c r="J60" s="53"/>
      <c r="K60" s="53"/>
      <c r="L60" s="53"/>
      <c r="M60" s="53"/>
      <c r="N60" s="50"/>
      <c r="O60" s="50"/>
      <c r="P60" s="50"/>
      <c r="Q60" s="50"/>
      <c r="R60" s="50"/>
      <c r="S60" s="50"/>
      <c r="T60" s="50"/>
      <c r="U60" s="50"/>
      <c r="V60" s="50"/>
      <c r="W60" s="292">
        <f ca="1">Calculation!T133</f>
        <v>1.7318159327065807</v>
      </c>
    </row>
    <row r="61" spans="2:24" ht="18.75" customHeight="1" x14ac:dyDescent="0.25">
      <c r="B61" s="426"/>
      <c r="C61" s="321">
        <f>Calculation!B57</f>
        <v>47</v>
      </c>
      <c r="D61" s="216" t="str">
        <f>Calculation!C57</f>
        <v>Teenage maternities (U20 years) (%)*</v>
      </c>
      <c r="E61" s="178" t="s">
        <v>282</v>
      </c>
      <c r="F61" s="380">
        <f ca="1">IF(Calculation!F134&lt;6,"N/A",Calculation!F134)</f>
        <v>163</v>
      </c>
      <c r="G61" s="274">
        <f ca="1">Calculation!G134</f>
        <v>4.8153618906942395</v>
      </c>
      <c r="H61" s="275">
        <f ca="1">Calculation!M134</f>
        <v>4.616928738708598</v>
      </c>
      <c r="I61" s="276">
        <f ca="1">Calculation!U134</f>
        <v>6.3100137174211248</v>
      </c>
      <c r="J61" s="54"/>
      <c r="K61" s="54"/>
      <c r="L61" s="54"/>
      <c r="M61" s="54"/>
      <c r="N61" s="51"/>
      <c r="O61" s="51"/>
      <c r="P61" s="51"/>
      <c r="Q61" s="51"/>
      <c r="R61" s="51"/>
      <c r="S61" s="51"/>
      <c r="T61" s="51"/>
      <c r="U61" s="51"/>
      <c r="V61" s="51"/>
      <c r="W61" s="293">
        <f ca="1">Calculation!T134</f>
        <v>1.932367149758454</v>
      </c>
    </row>
    <row r="62" spans="2:24" ht="18.75" customHeight="1" x14ac:dyDescent="0.25">
      <c r="B62" s="428" t="s">
        <v>239</v>
      </c>
      <c r="C62" s="331">
        <f>Calculation!B58</f>
        <v>48</v>
      </c>
      <c r="D62" s="58" t="str">
        <f>Calculation!C58</f>
        <v>0-4 years emergency admissions (crude rate per 1,000 registered population)</v>
      </c>
      <c r="E62" s="253" t="s">
        <v>267</v>
      </c>
      <c r="F62" s="205">
        <f ca="1">IF(Calculation!F135&lt;6,"N/A",Calculation!F135)</f>
        <v>3094</v>
      </c>
      <c r="G62" s="277">
        <f ca="1">Calculation!G135</f>
        <v>161.40643747717669</v>
      </c>
      <c r="H62" s="265">
        <f ca="1">Calculation!M135</f>
        <v>164.94697031982241</v>
      </c>
      <c r="I62" s="266">
        <f ca="1">Calculation!U135</f>
        <v>231.45400593471811</v>
      </c>
      <c r="J62" s="53"/>
      <c r="K62" s="53"/>
      <c r="L62" s="53"/>
      <c r="M62" s="53"/>
      <c r="N62" s="50"/>
      <c r="O62" s="50"/>
      <c r="P62" s="50"/>
      <c r="Q62" s="50"/>
      <c r="R62" s="50"/>
      <c r="S62" s="50"/>
      <c r="T62" s="50"/>
      <c r="U62" s="50"/>
      <c r="V62" s="50"/>
      <c r="W62" s="292">
        <f ca="1">Calculation!T135</f>
        <v>115.07936507936508</v>
      </c>
    </row>
    <row r="63" spans="2:24" ht="18.75" customHeight="1" x14ac:dyDescent="0.25">
      <c r="B63" s="425"/>
      <c r="C63" s="324">
        <f>Calculation!B59</f>
        <v>49</v>
      </c>
      <c r="D63" s="217" t="str">
        <f>Calculation!C59</f>
        <v>Admissions caused by unintentional and deliberate injuries (0-14 years) (crude rate per 10,000 registered population)</v>
      </c>
      <c r="E63" s="212" t="s">
        <v>267</v>
      </c>
      <c r="F63" s="205">
        <f ca="1">IF(Calculation!F136&lt;6,"N/A",Calculation!F136)</f>
        <v>627</v>
      </c>
      <c r="G63" s="277">
        <f ca="1">Calculation!G136</f>
        <v>116.8729495973755</v>
      </c>
      <c r="H63" s="265">
        <f ca="1">Calculation!M136</f>
        <v>112.7210564426429</v>
      </c>
      <c r="I63" s="266">
        <f ca="1">Calculation!U136</f>
        <v>159.37605968124788</v>
      </c>
      <c r="J63" s="53"/>
      <c r="K63" s="53"/>
      <c r="L63" s="53"/>
      <c r="M63" s="53"/>
      <c r="N63" s="50"/>
      <c r="O63" s="50"/>
      <c r="P63" s="50"/>
      <c r="Q63" s="50"/>
      <c r="R63" s="50"/>
      <c r="S63" s="50"/>
      <c r="T63" s="50"/>
      <c r="U63" s="50"/>
      <c r="V63" s="50"/>
      <c r="W63" s="292">
        <f ca="1">Calculation!T136</f>
        <v>37.650602409638552</v>
      </c>
    </row>
    <row r="64" spans="2:24" ht="18.75" customHeight="1" x14ac:dyDescent="0.25">
      <c r="B64" s="425"/>
      <c r="C64" s="324">
        <f>Calculation!B60</f>
        <v>50</v>
      </c>
      <c r="D64" s="217" t="str">
        <f>Calculation!C60</f>
        <v>Admissions caused by unintentional and deliberate injuries (15-24 years) (crude rate per 10,000 registered population)</v>
      </c>
      <c r="E64" s="212" t="s">
        <v>267</v>
      </c>
      <c r="F64" s="205">
        <f ca="1">IF(Calculation!F137&lt;6,"N/A",Calculation!F137)</f>
        <v>680</v>
      </c>
      <c r="G64" s="277">
        <f ca="1">Calculation!G137</f>
        <v>209.64360587002096</v>
      </c>
      <c r="H64" s="265">
        <f ca="1">Calculation!M137</f>
        <v>159.68281681943839</v>
      </c>
      <c r="I64" s="266">
        <f ca="1">Calculation!U137</f>
        <v>273.66863905325442</v>
      </c>
      <c r="J64" s="53"/>
      <c r="K64" s="53"/>
      <c r="L64" s="53"/>
      <c r="M64" s="53"/>
      <c r="N64" s="50"/>
      <c r="O64" s="50"/>
      <c r="P64" s="50"/>
      <c r="Q64" s="50"/>
      <c r="R64" s="50"/>
      <c r="S64" s="50"/>
      <c r="T64" s="50"/>
      <c r="U64" s="50"/>
      <c r="V64" s="50"/>
      <c r="W64" s="289">
        <f ca="1">Calculation!T137</f>
        <v>76.412628192238088</v>
      </c>
    </row>
    <row r="65" spans="2:23" ht="18.75" customHeight="1" x14ac:dyDescent="0.25">
      <c r="B65" s="425"/>
      <c r="C65" s="324">
        <f>Calculation!B61</f>
        <v>51</v>
      </c>
      <c r="D65" s="189" t="str">
        <f>Calculation!C61</f>
        <v>Hospital admissions as a result of self harm (10-24 years) (crude rate per 10,000 registered population)</v>
      </c>
      <c r="E65" s="212" t="s">
        <v>267</v>
      </c>
      <c r="F65" s="205">
        <f ca="1">IF(Calculation!F138&lt;6,"N/A",Calculation!F138)</f>
        <v>399</v>
      </c>
      <c r="G65" s="277">
        <f ca="1">Calculation!G138</f>
        <v>82.979785375592712</v>
      </c>
      <c r="H65" s="265">
        <f ca="1">Calculation!M138</f>
        <v>62.50391717803646</v>
      </c>
      <c r="I65" s="266">
        <f ca="1">Calculation!U138</f>
        <v>107.42926312604024</v>
      </c>
      <c r="J65" s="53"/>
      <c r="K65" s="53"/>
      <c r="L65" s="53"/>
      <c r="M65" s="53"/>
      <c r="N65" s="50"/>
      <c r="O65" s="50"/>
      <c r="P65" s="50"/>
      <c r="Q65" s="50"/>
      <c r="R65" s="50"/>
      <c r="S65" s="50"/>
      <c r="T65" s="50"/>
      <c r="U65" s="50"/>
      <c r="V65" s="50"/>
      <c r="W65" s="289">
        <f ca="1">Calculation!T138</f>
        <v>31.835205992509362</v>
      </c>
    </row>
    <row r="66" spans="2:23" ht="18.75" customHeight="1" x14ac:dyDescent="0.25">
      <c r="B66" s="425"/>
      <c r="C66" s="324">
        <f>Calculation!B62</f>
        <v>52</v>
      </c>
      <c r="D66" s="189" t="str">
        <f>Calculation!C62</f>
        <v>Prevalence of obesity among Year R children (%)*</v>
      </c>
      <c r="E66" s="212" t="s">
        <v>267</v>
      </c>
      <c r="F66" s="205">
        <f ca="1">IF(Calculation!F139&lt;6,"N/A",Calculation!F139)</f>
        <v>341</v>
      </c>
      <c r="G66" s="277">
        <f ca="1">Calculation!G139</f>
        <v>9.9156731608025588</v>
      </c>
      <c r="H66" s="265">
        <f ca="1">Calculation!M139</f>
        <v>10.411872986654394</v>
      </c>
      <c r="I66" s="266">
        <f ca="1">Calculation!U139</f>
        <v>13.864306784660767</v>
      </c>
      <c r="J66" s="53"/>
      <c r="K66" s="53"/>
      <c r="L66" s="53"/>
      <c r="M66" s="53"/>
      <c r="N66" s="50"/>
      <c r="O66" s="50"/>
      <c r="P66" s="50"/>
      <c r="Q66" s="50"/>
      <c r="R66" s="50"/>
      <c r="S66" s="50"/>
      <c r="T66" s="50"/>
      <c r="U66" s="50"/>
      <c r="V66" s="50"/>
      <c r="W66" s="289">
        <f ca="1">Calculation!T139</f>
        <v>4.7904191616766472</v>
      </c>
    </row>
    <row r="67" spans="2:23" ht="18.75" customHeight="1" x14ac:dyDescent="0.25">
      <c r="B67" s="425"/>
      <c r="C67" s="324">
        <f>Calculation!B63</f>
        <v>53</v>
      </c>
      <c r="D67" s="189" t="str">
        <f>Calculation!C63</f>
        <v>Prevalence of obesity among Year 6 children (%)*</v>
      </c>
      <c r="E67" s="212" t="s">
        <v>267</v>
      </c>
      <c r="F67" s="205">
        <f ca="1">IF(Calculation!F140&lt;6,"N/A",Calculation!F140)</f>
        <v>572</v>
      </c>
      <c r="G67" s="277">
        <f ca="1">Calculation!G140</f>
        <v>20.891161431701974</v>
      </c>
      <c r="H67" s="265">
        <f ca="1">Calculation!M140</f>
        <v>22.175305765870704</v>
      </c>
      <c r="I67" s="266">
        <f ca="1">Calculation!U140</f>
        <v>26.717557251908396</v>
      </c>
      <c r="J67" s="53"/>
      <c r="K67" s="53"/>
      <c r="L67" s="53"/>
      <c r="M67" s="53"/>
      <c r="N67" s="50"/>
      <c r="O67" s="50"/>
      <c r="P67" s="50"/>
      <c r="Q67" s="50"/>
      <c r="R67" s="50"/>
      <c r="S67" s="50"/>
      <c r="T67" s="50"/>
      <c r="U67" s="50"/>
      <c r="V67" s="50"/>
      <c r="W67" s="292">
        <f ca="1">Calculation!T140</f>
        <v>14.986376021798366</v>
      </c>
    </row>
    <row r="68" spans="2:23" ht="18.75" customHeight="1" x14ac:dyDescent="0.25">
      <c r="B68" s="425"/>
      <c r="C68" s="327">
        <f>Calculation!B64</f>
        <v>54</v>
      </c>
      <c r="D68" s="189" t="str">
        <f>Calculation!C64</f>
        <v>Looked after children (crude rate per 10,000 children aged 0-17 years)*</v>
      </c>
      <c r="E68" s="257" t="s">
        <v>370</v>
      </c>
      <c r="F68" s="205">
        <f ca="1">IF(Calculation!F141&lt;6,"N/A",Calculation!F141)</f>
        <v>209</v>
      </c>
      <c r="G68" s="277">
        <f ca="1">Calculation!G141</f>
        <v>109.38972050664712</v>
      </c>
      <c r="H68" s="265">
        <f ca="1">Calculation!M141</f>
        <v>90.485055952595431</v>
      </c>
      <c r="I68" s="266">
        <f ca="1">Calculation!U141</f>
        <v>131.40943055913422</v>
      </c>
      <c r="J68" s="53"/>
      <c r="K68" s="53"/>
      <c r="L68" s="53"/>
      <c r="M68" s="53"/>
      <c r="N68" s="50"/>
      <c r="O68" s="50"/>
      <c r="P68" s="50"/>
      <c r="Q68" s="50"/>
      <c r="R68" s="50"/>
      <c r="S68" s="50"/>
      <c r="T68" s="50"/>
      <c r="U68" s="50"/>
      <c r="V68" s="50"/>
      <c r="W68" s="289">
        <f ca="1">Calculation!T141</f>
        <v>30.807147258163891</v>
      </c>
    </row>
    <row r="69" spans="2:23" ht="18.75" customHeight="1" x14ac:dyDescent="0.25">
      <c r="B69" s="426"/>
      <c r="C69" s="322">
        <f>Calculation!B65</f>
        <v>55</v>
      </c>
      <c r="D69" s="191" t="str">
        <f>Calculation!C65</f>
        <v>Child poverty (%)*</v>
      </c>
      <c r="E69" s="258" t="s">
        <v>455</v>
      </c>
      <c r="F69" s="313">
        <f ca="1">IF(Calculation!F142&lt;6,"N/A",Calculation!F142)</f>
        <v>3620</v>
      </c>
      <c r="G69" s="274">
        <f ca="1">Calculation!G142</f>
        <v>20.44042913608131</v>
      </c>
      <c r="H69" s="275">
        <f ca="1">Calculation!M142</f>
        <v>20.11754068716094</v>
      </c>
      <c r="I69" s="276">
        <f ca="1">Calculation!U142</f>
        <v>25.525525525525527</v>
      </c>
      <c r="J69" s="54"/>
      <c r="K69" s="54"/>
      <c r="L69" s="54"/>
      <c r="M69" s="54"/>
      <c r="N69" s="51"/>
      <c r="O69" s="51"/>
      <c r="P69" s="51"/>
      <c r="Q69" s="51"/>
      <c r="R69" s="51"/>
      <c r="S69" s="51"/>
      <c r="T69" s="51"/>
      <c r="U69" s="51"/>
      <c r="V69" s="51"/>
      <c r="W69" s="293">
        <f ca="1">Calculation!T142</f>
        <v>8.0246913580246915</v>
      </c>
    </row>
    <row r="70" spans="2:23" ht="18.75" customHeight="1" x14ac:dyDescent="0.25">
      <c r="B70" s="425" t="s">
        <v>240</v>
      </c>
      <c r="C70" s="331">
        <f>Calculation!B66</f>
        <v>56</v>
      </c>
      <c r="D70" s="306" t="str">
        <f>Calculation!C66</f>
        <v>Flu vaccination coverage 65+ years (%)</v>
      </c>
      <c r="E70" s="257" t="s">
        <v>374</v>
      </c>
      <c r="F70" s="381">
        <f ca="1">IF(Calculation!F143&lt;6,"N/A",Calculation!F143)</f>
        <v>11412</v>
      </c>
      <c r="G70" s="277">
        <f ca="1">Calculation!G143</f>
        <v>75.153111623312483</v>
      </c>
      <c r="H70" s="265">
        <f ca="1">Calculation!M143</f>
        <v>73.192206309954074</v>
      </c>
      <c r="I70" s="266">
        <f ca="1">Calculation!U143</f>
        <v>51.162790697674417</v>
      </c>
      <c r="W70" s="292">
        <f ca="1">Calculation!T143</f>
        <v>89.495798319327733</v>
      </c>
    </row>
    <row r="71" spans="2:23" ht="18.75" customHeight="1" x14ac:dyDescent="0.25">
      <c r="B71" s="425"/>
      <c r="C71" s="324">
        <f>Calculation!B67</f>
        <v>57</v>
      </c>
      <c r="D71" s="189" t="str">
        <f>Calculation!C67</f>
        <v>Emergency admissions due to falls in people aged 65 and over (DSR per 100,000 registered population)</v>
      </c>
      <c r="E71" s="212" t="s">
        <v>267</v>
      </c>
      <c r="F71" s="205">
        <f ca="1">IF(Calculation!F144&lt;6,"N/A",Calculation!F144)</f>
        <v>1483</v>
      </c>
      <c r="G71" s="277">
        <f ca="1">Calculation!G144</f>
        <v>3068.3957813556617</v>
      </c>
      <c r="H71" s="265">
        <f ca="1">Calculation!M144</f>
        <v>3071.5794179164795</v>
      </c>
      <c r="I71" s="266">
        <f ca="1">Calculation!U144</f>
        <v>5339.3510967946149</v>
      </c>
      <c r="J71" s="53"/>
      <c r="K71" s="53"/>
      <c r="L71" s="53"/>
      <c r="M71" s="53"/>
      <c r="N71" s="50"/>
      <c r="O71" s="50"/>
      <c r="P71" s="50"/>
      <c r="Q71" s="50"/>
      <c r="R71" s="50"/>
      <c r="S71" s="50"/>
      <c r="T71" s="50"/>
      <c r="U71" s="50"/>
      <c r="V71" s="50"/>
      <c r="W71" s="289">
        <f ca="1">Calculation!T144</f>
        <v>1833.2618332618331</v>
      </c>
    </row>
    <row r="72" spans="2:23" ht="18.75" customHeight="1" x14ac:dyDescent="0.25">
      <c r="B72" s="425"/>
      <c r="C72" s="324">
        <f>Calculation!B68</f>
        <v>58</v>
      </c>
      <c r="D72" s="189" t="str">
        <f>Calculation!C68</f>
        <v>Emergency admissions due to hip fractures in those aged 65 and over (DSR per 100,000 registered population)</v>
      </c>
      <c r="E72" s="212" t="s">
        <v>267</v>
      </c>
      <c r="F72" s="205">
        <f ca="1">IF(Calculation!F145&lt;6,"N/A",Calculation!F145)</f>
        <v>300</v>
      </c>
      <c r="G72" s="277">
        <f ca="1">Calculation!G145</f>
        <v>618.64289583767481</v>
      </c>
      <c r="H72" s="265">
        <f ca="1">Calculation!M145</f>
        <v>612.57115474457419</v>
      </c>
      <c r="I72" s="266">
        <f ca="1">Calculation!U145</f>
        <v>1737.0940750698362</v>
      </c>
      <c r="J72" s="53"/>
      <c r="K72" s="53"/>
      <c r="L72" s="53"/>
      <c r="M72" s="53"/>
      <c r="N72" s="50"/>
      <c r="O72" s="50"/>
      <c r="P72" s="50"/>
      <c r="Q72" s="50"/>
      <c r="R72" s="50"/>
      <c r="S72" s="50"/>
      <c r="T72" s="50"/>
      <c r="U72" s="50"/>
      <c r="V72" s="50"/>
      <c r="W72" s="289">
        <f ca="1">Calculation!T145</f>
        <v>328.32159121953197</v>
      </c>
    </row>
    <row r="73" spans="2:23" ht="18.75" customHeight="1" x14ac:dyDescent="0.25">
      <c r="B73" s="425"/>
      <c r="C73" s="327">
        <f>Calculation!B69</f>
        <v>59</v>
      </c>
      <c r="D73" s="189" t="str">
        <f>Calculation!C69</f>
        <v>Social care support 65 years and over (crude rate per 1,000 resident population)*</v>
      </c>
      <c r="E73" s="257" t="s">
        <v>388</v>
      </c>
      <c r="F73" s="205">
        <f ca="1">IF(Calculation!F146&lt;6,"N/A",Calculation!F146)</f>
        <v>533</v>
      </c>
      <c r="G73" s="277">
        <f ca="1">Calculation!G146</f>
        <v>36.263437202340455</v>
      </c>
      <c r="H73" s="265">
        <f ca="1">Calculation!M146</f>
        <v>38.165990869651516</v>
      </c>
      <c r="I73" s="266">
        <f ca="1">Calculation!U146</f>
        <v>20.595690747782001</v>
      </c>
      <c r="W73" s="292">
        <f ca="1">Calculation!T146</f>
        <v>94.962362478286039</v>
      </c>
    </row>
    <row r="74" spans="2:23" ht="18.75" customHeight="1" x14ac:dyDescent="0.25">
      <c r="B74" s="425"/>
      <c r="C74" s="331">
        <f>Calculation!B70</f>
        <v>60</v>
      </c>
      <c r="D74" s="189" t="str">
        <f>Calculation!C70</f>
        <v>Excess Winter Deaths (%) all ages</v>
      </c>
      <c r="E74" s="212" t="s">
        <v>379</v>
      </c>
      <c r="F74" s="205">
        <f ca="1">IF(Calculation!F147&lt;6,"N/A",Calculation!F147)</f>
        <v>167</v>
      </c>
      <c r="G74" s="277">
        <f ca="1">Calculation!G147</f>
        <v>22.659430122116689</v>
      </c>
      <c r="H74" s="265">
        <f ca="1">Calculation!M147</f>
        <v>21.994134897360702</v>
      </c>
      <c r="I74" s="266">
        <f ca="1">Calculation!U147</f>
        <v>54.117647058823529</v>
      </c>
      <c r="W74" s="289">
        <f ca="1">Calculation!T147</f>
        <v>-26.530612244897959</v>
      </c>
    </row>
    <row r="75" spans="2:23" ht="18.75" customHeight="1" x14ac:dyDescent="0.25">
      <c r="B75" s="426"/>
      <c r="C75" s="321">
        <f>Calculation!B71</f>
        <v>61</v>
      </c>
      <c r="D75" s="191" t="str">
        <f>Calculation!C71</f>
        <v>Deaths occuring at home (%) all ages</v>
      </c>
      <c r="E75" s="258" t="s">
        <v>218</v>
      </c>
      <c r="F75" s="313">
        <f ca="1">IF(Calculation!F148&lt;6,"N/A",Calculation!F148)</f>
        <v>573</v>
      </c>
      <c r="G75" s="274">
        <f ca="1">Calculation!G148</f>
        <v>23.825363825363823</v>
      </c>
      <c r="H75" s="275">
        <f ca="1">Calculation!M148</f>
        <v>25.308531568592382</v>
      </c>
      <c r="I75" s="276">
        <f ca="1">Calculation!U148</f>
        <v>6.1224489795918364</v>
      </c>
      <c r="J75" s="263"/>
      <c r="K75" s="263"/>
      <c r="L75" s="263"/>
      <c r="M75" s="263"/>
      <c r="N75" s="247"/>
      <c r="O75" s="247"/>
      <c r="P75" s="247"/>
      <c r="Q75" s="247"/>
      <c r="R75" s="247"/>
      <c r="S75" s="247"/>
      <c r="T75" s="247"/>
      <c r="U75" s="247"/>
      <c r="V75" s="247"/>
      <c r="W75" s="293">
        <f ca="1">Calculation!T148</f>
        <v>37.878787878787875</v>
      </c>
    </row>
    <row r="76" spans="2:23" ht="18.75" customHeight="1" x14ac:dyDescent="0.25">
      <c r="B76" s="425" t="s">
        <v>241</v>
      </c>
      <c r="C76" s="331">
        <f>Calculation!B72</f>
        <v>62</v>
      </c>
      <c r="D76" s="306" t="str">
        <f>Calculation!C72</f>
        <v>Unemployment (claimant count) (%)*</v>
      </c>
      <c r="E76" s="257" t="s">
        <v>370</v>
      </c>
      <c r="F76" s="381">
        <f ca="1">IF(Calculation!F149&lt;6,"N/A",Calculation!F149)</f>
        <v>1795</v>
      </c>
      <c r="G76" s="277">
        <f ca="1">Calculation!G149</f>
        <v>3.3432669025889368</v>
      </c>
      <c r="H76" s="265">
        <f ca="1">Calculation!M149</f>
        <v>2.9116025921911395</v>
      </c>
      <c r="I76" s="266">
        <f ca="1">Calculation!U149</f>
        <v>4.3053960964408731</v>
      </c>
      <c r="J76" s="53"/>
      <c r="K76" s="53"/>
      <c r="L76" s="53"/>
      <c r="M76" s="53"/>
      <c r="N76" s="50"/>
      <c r="O76" s="50"/>
      <c r="P76" s="50"/>
      <c r="Q76" s="50"/>
      <c r="R76" s="50"/>
      <c r="S76" s="50"/>
      <c r="T76" s="50"/>
      <c r="U76" s="50"/>
      <c r="V76" s="50"/>
      <c r="W76" s="292">
        <f ca="1">Calculation!T149</f>
        <v>1.5315170078994036</v>
      </c>
    </row>
    <row r="77" spans="2:23" ht="18.75" customHeight="1" x14ac:dyDescent="0.25">
      <c r="B77" s="425"/>
      <c r="C77" s="324">
        <f>Calculation!B73</f>
        <v>63</v>
      </c>
      <c r="D77" s="58" t="str">
        <f>Calculation!C73</f>
        <v>Fuel poverty (%)*</v>
      </c>
      <c r="E77" s="257" t="s">
        <v>373</v>
      </c>
      <c r="F77" s="205">
        <f ca="1">IF(Calculation!F150&lt;6,"N/A",Calculation!F150)</f>
        <v>3473</v>
      </c>
      <c r="G77" s="277">
        <f ca="1">Calculation!G150</f>
        <v>9.0013736619754816</v>
      </c>
      <c r="H77" s="265">
        <f ca="1">Calculation!M150</f>
        <v>11.470826773531797</v>
      </c>
      <c r="I77" s="266">
        <f ca="1">Calculation!U150</f>
        <v>18.022741629816803</v>
      </c>
      <c r="W77" s="289">
        <f ca="1">Calculation!T150</f>
        <v>8.4733382030679323</v>
      </c>
    </row>
    <row r="78" spans="2:23" ht="18.75" customHeight="1" x14ac:dyDescent="0.25">
      <c r="B78" s="425"/>
      <c r="C78" s="324">
        <f>Calculation!B74</f>
        <v>64</v>
      </c>
      <c r="D78" s="217" t="str">
        <f>Calculation!C74</f>
        <v>Lone parent households (%)*</v>
      </c>
      <c r="E78" s="257" t="s">
        <v>380</v>
      </c>
      <c r="F78" s="205">
        <f ca="1">IF(Calculation!F151&lt;6,"N/A",Calculation!F151)</f>
        <v>2957</v>
      </c>
      <c r="G78" s="277">
        <f ca="1">Calculation!G151</f>
        <v>8.1737015230671428</v>
      </c>
      <c r="H78" s="265">
        <f ca="1">Calculation!M151</f>
        <v>7.0409347202149535</v>
      </c>
      <c r="I78" s="266">
        <f ca="1">Calculation!U151</f>
        <v>2.5883379380543845</v>
      </c>
      <c r="W78" s="289">
        <f ca="1">Calculation!T151</f>
        <v>11.318805185046028</v>
      </c>
    </row>
    <row r="79" spans="2:23" ht="18.75" customHeight="1" thickBot="1" x14ac:dyDescent="0.3">
      <c r="B79" s="437"/>
      <c r="C79" s="329">
        <f>Calculation!B75</f>
        <v>65</v>
      </c>
      <c r="D79" s="308" t="str">
        <f>Calculation!C75</f>
        <v>Police recorded crime (crude rate per 1,000 resident population)*</v>
      </c>
      <c r="E79" s="257" t="s">
        <v>359</v>
      </c>
      <c r="F79" s="205">
        <f ca="1">IF(Calculation!F152&lt;6,"N/A",Calculation!F152)</f>
        <v>8280</v>
      </c>
      <c r="G79" s="277">
        <f ca="1">Calculation!G152</f>
        <v>93.547694636824801</v>
      </c>
      <c r="H79" s="282">
        <f ca="1">Calculation!M152</f>
        <v>120.58020743975669</v>
      </c>
      <c r="I79" s="283">
        <f ca="1">Calculation!U152</f>
        <v>262.32869860958283</v>
      </c>
      <c r="J79" s="261"/>
      <c r="K79" s="261"/>
      <c r="L79" s="261"/>
      <c r="M79" s="261"/>
      <c r="N79" s="262"/>
      <c r="O79" s="262"/>
      <c r="P79" s="262"/>
      <c r="Q79" s="262"/>
      <c r="R79" s="262"/>
      <c r="S79" s="262"/>
      <c r="T79" s="262"/>
      <c r="U79" s="262"/>
      <c r="V79" s="262"/>
      <c r="W79" s="295">
        <f ca="1">Calculation!T152</f>
        <v>63.531815335947542</v>
      </c>
    </row>
    <row r="80" spans="2:23" ht="18.75" customHeight="1" x14ac:dyDescent="0.25">
      <c r="B80" s="400" t="s">
        <v>457</v>
      </c>
      <c r="C80" s="400"/>
      <c r="D80" s="400"/>
      <c r="E80" s="400"/>
      <c r="F80" s="400"/>
      <c r="G80" s="400"/>
      <c r="H80" s="401"/>
      <c r="I80" s="401"/>
      <c r="J80" s="53"/>
      <c r="K80" s="53"/>
      <c r="L80" s="53"/>
      <c r="M80" s="53"/>
      <c r="N80" s="50"/>
      <c r="O80" s="50"/>
      <c r="P80" s="50"/>
      <c r="Q80" s="50"/>
      <c r="R80" s="50"/>
      <c r="S80" s="50"/>
      <c r="T80" s="50"/>
      <c r="U80" s="50"/>
      <c r="V80" s="50"/>
      <c r="W80" s="35"/>
    </row>
    <row r="81" spans="2:23" ht="14.25" customHeight="1" x14ac:dyDescent="0.25">
      <c r="B81" s="401"/>
      <c r="C81" s="401"/>
      <c r="D81" s="401"/>
      <c r="E81" s="401"/>
      <c r="F81" s="401"/>
      <c r="G81" s="401"/>
      <c r="H81" s="401"/>
      <c r="I81" s="401"/>
      <c r="P81" s="14"/>
      <c r="Q81" s="14"/>
    </row>
    <row r="82" spans="2:23" ht="15.9" customHeight="1" x14ac:dyDescent="0.25">
      <c r="H82" s="16"/>
      <c r="I82" s="16"/>
      <c r="W82" s="16"/>
    </row>
    <row r="83" spans="2:23" ht="15.9" customHeight="1" x14ac:dyDescent="0.25">
      <c r="B83" s="7"/>
      <c r="C83" s="7"/>
      <c r="D83" s="10"/>
      <c r="E83" s="10"/>
      <c r="F83" s="10"/>
      <c r="G83" s="10"/>
      <c r="H83" s="17"/>
      <c r="I83" s="17"/>
      <c r="J83" s="17"/>
      <c r="K83" s="17"/>
      <c r="L83" s="17"/>
      <c r="M83" s="17"/>
      <c r="N83" s="17"/>
      <c r="O83" s="17"/>
      <c r="P83" s="17"/>
      <c r="Q83" s="17"/>
      <c r="R83" s="17"/>
      <c r="S83" s="17"/>
      <c r="T83" s="17"/>
      <c r="U83" s="17"/>
      <c r="V83" s="17"/>
      <c r="W83" s="17"/>
    </row>
    <row r="84" spans="2:23" ht="15.9" customHeight="1" x14ac:dyDescent="0.25">
      <c r="B84" s="18"/>
      <c r="C84" s="18"/>
      <c r="D84" s="18"/>
      <c r="E84" s="18"/>
      <c r="F84" s="18"/>
      <c r="G84" s="18"/>
      <c r="H84" s="19"/>
      <c r="I84" s="19"/>
      <c r="J84" s="19"/>
      <c r="K84" s="19"/>
      <c r="L84" s="19"/>
      <c r="M84" s="19"/>
      <c r="N84" s="19"/>
      <c r="O84" s="19"/>
      <c r="P84" s="19"/>
      <c r="Q84" s="19"/>
      <c r="R84" s="19"/>
      <c r="S84" s="19"/>
      <c r="T84" s="19"/>
      <c r="U84" s="19"/>
      <c r="V84" s="19"/>
      <c r="W84" s="19"/>
    </row>
    <row r="85" spans="2:23" ht="15.9" customHeight="1" x14ac:dyDescent="0.25">
      <c r="B85" s="20"/>
      <c r="C85" s="20"/>
      <c r="D85" s="20"/>
      <c r="E85" s="20"/>
      <c r="F85" s="20"/>
      <c r="G85" s="20"/>
      <c r="H85" s="392"/>
      <c r="I85" s="392"/>
      <c r="J85" s="392"/>
      <c r="K85" s="392"/>
      <c r="L85" s="392"/>
      <c r="M85" s="392"/>
      <c r="N85" s="392"/>
      <c r="O85" s="391"/>
      <c r="P85" s="391"/>
      <c r="Q85" s="391"/>
      <c r="R85" s="391"/>
      <c r="S85" s="391"/>
      <c r="T85" s="391"/>
      <c r="U85" s="391"/>
      <c r="V85" s="391"/>
      <c r="W85" s="391"/>
    </row>
    <row r="89" spans="2:23" ht="15.9" customHeight="1" x14ac:dyDescent="0.25">
      <c r="B89" s="7"/>
      <c r="C89" s="7"/>
      <c r="D89" s="7"/>
      <c r="E89" s="7"/>
      <c r="F89" s="7"/>
      <c r="G89" s="7"/>
      <c r="H89" s="7"/>
      <c r="I89" s="7"/>
      <c r="J89" s="7"/>
      <c r="K89" s="7"/>
    </row>
    <row r="90" spans="2:23" ht="15.9" customHeight="1" x14ac:dyDescent="0.25">
      <c r="B90" s="7"/>
      <c r="C90" s="7"/>
      <c r="D90" s="7"/>
      <c r="E90" s="7"/>
      <c r="F90" s="7"/>
      <c r="G90" s="7"/>
      <c r="H90" s="7"/>
      <c r="I90" s="7"/>
      <c r="J90" s="7"/>
      <c r="K90" s="7"/>
    </row>
    <row r="91" spans="2:23" ht="15.9" customHeight="1" x14ac:dyDescent="0.25">
      <c r="B91" s="7"/>
      <c r="C91" s="7"/>
      <c r="D91" s="7"/>
      <c r="E91" s="7"/>
      <c r="F91" s="7"/>
      <c r="G91" s="7"/>
      <c r="H91" s="7"/>
      <c r="I91" s="7"/>
      <c r="J91" s="7"/>
      <c r="K91" s="7"/>
    </row>
    <row r="92" spans="2:23" ht="15.9" customHeight="1" x14ac:dyDescent="0.25">
      <c r="B92" s="7"/>
      <c r="C92" s="7"/>
      <c r="D92" s="7"/>
      <c r="E92" s="7"/>
      <c r="F92" s="7"/>
      <c r="G92" s="7"/>
      <c r="H92" s="7"/>
      <c r="I92" s="7"/>
      <c r="J92" s="7"/>
      <c r="K92" s="7"/>
    </row>
    <row r="93" spans="2:23" ht="15.9" hidden="1" customHeight="1" x14ac:dyDescent="0.25">
      <c r="B93" s="43"/>
      <c r="C93"/>
      <c r="D93" s="121" t="s">
        <v>153</v>
      </c>
      <c r="E93" s="121"/>
      <c r="G93" s="56"/>
      <c r="H93" s="7"/>
      <c r="I93" s="121" t="s">
        <v>99</v>
      </c>
      <c r="J93" s="7"/>
      <c r="K93" s="7"/>
    </row>
    <row r="94" spans="2:23" ht="15.9" hidden="1" customHeight="1" x14ac:dyDescent="0.25">
      <c r="B94" s="43"/>
      <c r="C94"/>
      <c r="D94" s="148" t="s">
        <v>200</v>
      </c>
      <c r="E94" s="148"/>
      <c r="G94" s="56"/>
      <c r="H94" s="7"/>
      <c r="I94" s="1" t="s">
        <v>100</v>
      </c>
      <c r="J94" s="7"/>
      <c r="K94" s="7"/>
    </row>
    <row r="95" spans="2:23" ht="15.9" hidden="1" customHeight="1" x14ac:dyDescent="0.25">
      <c r="B95" s="43"/>
      <c r="C95"/>
      <c r="D95" s="148" t="s">
        <v>201</v>
      </c>
      <c r="E95" s="148"/>
      <c r="G95" s="56"/>
      <c r="H95" s="7"/>
      <c r="I95" s="148" t="s">
        <v>202</v>
      </c>
      <c r="J95" s="7"/>
      <c r="K95" s="7"/>
    </row>
    <row r="96" spans="2:23" ht="15.9" hidden="1" customHeight="1" x14ac:dyDescent="0.25">
      <c r="B96" s="43"/>
      <c r="C96"/>
      <c r="D96" s="148" t="s">
        <v>163</v>
      </c>
      <c r="E96" s="148"/>
      <c r="G96" s="56"/>
      <c r="H96" s="7"/>
      <c r="I96" s="148" t="s">
        <v>200</v>
      </c>
      <c r="J96" s="7"/>
      <c r="K96" s="7"/>
    </row>
    <row r="97" spans="2:11" ht="15.9" hidden="1" customHeight="1" x14ac:dyDescent="0.25">
      <c r="B97" s="7"/>
      <c r="C97" s="7"/>
      <c r="D97" s="7"/>
      <c r="E97" s="7"/>
      <c r="F97" s="7"/>
      <c r="G97" s="7"/>
      <c r="H97" s="7"/>
      <c r="I97" s="148" t="s">
        <v>201</v>
      </c>
      <c r="J97" s="7"/>
      <c r="K97" s="7"/>
    </row>
    <row r="98" spans="2:11" ht="15.9" hidden="1" customHeight="1" x14ac:dyDescent="0.25">
      <c r="I98" s="148" t="s">
        <v>163</v>
      </c>
    </row>
    <row r="99" spans="2:11" ht="15.9" hidden="1" customHeight="1" x14ac:dyDescent="0.25">
      <c r="I99" s="8" t="s">
        <v>102</v>
      </c>
    </row>
    <row r="100" spans="2:11" ht="15.9" hidden="1" customHeight="1" x14ac:dyDescent="0.25">
      <c r="I100" s="8" t="s">
        <v>103</v>
      </c>
    </row>
    <row r="101" spans="2:11" ht="15.9" hidden="1" customHeight="1" x14ac:dyDescent="0.25">
      <c r="I101" s="8" t="s">
        <v>88</v>
      </c>
    </row>
    <row r="102" spans="2:11" ht="15.9" hidden="1" customHeight="1" x14ac:dyDescent="0.25">
      <c r="I102" s="8" t="s">
        <v>164</v>
      </c>
    </row>
    <row r="103" spans="2:11" ht="15.9" hidden="1" customHeight="1" x14ac:dyDescent="0.25">
      <c r="I103" s="8" t="s">
        <v>104</v>
      </c>
    </row>
    <row r="104" spans="2:11" ht="15.9" hidden="1" customHeight="1" x14ac:dyDescent="0.25">
      <c r="I104" s="8" t="s">
        <v>105</v>
      </c>
    </row>
    <row r="105" spans="2:11" ht="15.9" hidden="1" customHeight="1" x14ac:dyDescent="0.25">
      <c r="I105" s="8" t="s">
        <v>106</v>
      </c>
    </row>
    <row r="106" spans="2:11" ht="15.9" hidden="1" customHeight="1" x14ac:dyDescent="0.25">
      <c r="I106" s="8" t="s">
        <v>107</v>
      </c>
    </row>
    <row r="107" spans="2:11" ht="15.9" hidden="1" customHeight="1" x14ac:dyDescent="0.25">
      <c r="I107" s="8" t="s">
        <v>165</v>
      </c>
    </row>
    <row r="108" spans="2:11" ht="15.9" hidden="1" customHeight="1" x14ac:dyDescent="0.25">
      <c r="I108" s="8" t="s">
        <v>108</v>
      </c>
    </row>
    <row r="109" spans="2:11" ht="15.9" hidden="1" customHeight="1" x14ac:dyDescent="0.25">
      <c r="I109" s="8" t="s">
        <v>166</v>
      </c>
    </row>
    <row r="110" spans="2:11" ht="15.9" hidden="1" customHeight="1" x14ac:dyDescent="0.25">
      <c r="I110" s="8" t="s">
        <v>109</v>
      </c>
    </row>
    <row r="111" spans="2:11" ht="15.9" hidden="1" customHeight="1" x14ac:dyDescent="0.25">
      <c r="I111" s="8" t="s">
        <v>110</v>
      </c>
    </row>
    <row r="112" spans="2:11" ht="15.9" hidden="1" customHeight="1" x14ac:dyDescent="0.25">
      <c r="I112" s="8" t="s">
        <v>111</v>
      </c>
    </row>
    <row r="113" spans="9:9" ht="15.9" hidden="1" customHeight="1" x14ac:dyDescent="0.25">
      <c r="I113" s="8" t="s">
        <v>167</v>
      </c>
    </row>
    <row r="114" spans="9:9" ht="15.9" hidden="1" customHeight="1" x14ac:dyDescent="0.25">
      <c r="I114" s="8" t="s">
        <v>112</v>
      </c>
    </row>
    <row r="115" spans="9:9" ht="15.9" hidden="1" customHeight="1" x14ac:dyDescent="0.25">
      <c r="I115" s="8" t="s">
        <v>113</v>
      </c>
    </row>
    <row r="116" spans="9:9" ht="15.9" hidden="1" customHeight="1" x14ac:dyDescent="0.25">
      <c r="I116" s="8" t="s">
        <v>114</v>
      </c>
    </row>
    <row r="117" spans="9:9" ht="15.9" hidden="1" customHeight="1" x14ac:dyDescent="0.25">
      <c r="I117" s="8" t="s">
        <v>115</v>
      </c>
    </row>
    <row r="118" spans="9:9" ht="15.9" hidden="1" customHeight="1" x14ac:dyDescent="0.25">
      <c r="I118" s="8" t="s">
        <v>168</v>
      </c>
    </row>
    <row r="119" spans="9:9" ht="15.9" hidden="1" customHeight="1" x14ac:dyDescent="0.25">
      <c r="I119" s="8" t="s">
        <v>116</v>
      </c>
    </row>
    <row r="120" spans="9:9" ht="15.9" hidden="1" customHeight="1" x14ac:dyDescent="0.25">
      <c r="I120" s="8" t="s">
        <v>169</v>
      </c>
    </row>
    <row r="121" spans="9:9" ht="15.9" hidden="1" customHeight="1" x14ac:dyDescent="0.25">
      <c r="I121" s="8" t="s">
        <v>117</v>
      </c>
    </row>
    <row r="122" spans="9:9" ht="15.9" hidden="1" customHeight="1" x14ac:dyDescent="0.25">
      <c r="I122" s="8" t="s">
        <v>118</v>
      </c>
    </row>
    <row r="123" spans="9:9" ht="15.9" hidden="1" customHeight="1" x14ac:dyDescent="0.25">
      <c r="I123" s="8" t="s">
        <v>170</v>
      </c>
    </row>
    <row r="124" spans="9:9" ht="15.9" hidden="1" customHeight="1" x14ac:dyDescent="0.25">
      <c r="I124" s="8" t="s">
        <v>119</v>
      </c>
    </row>
    <row r="125" spans="9:9" ht="15.9" customHeight="1" x14ac:dyDescent="0.25">
      <c r="I125" s="8"/>
    </row>
    <row r="126" spans="9:9" ht="15.9" customHeight="1" x14ac:dyDescent="0.25">
      <c r="I126" s="8"/>
    </row>
    <row r="127" spans="9:9" ht="15.9" customHeight="1" x14ac:dyDescent="0.25">
      <c r="I127" s="8"/>
    </row>
    <row r="128" spans="9:9" ht="15.9" customHeight="1" x14ac:dyDescent="0.25">
      <c r="I128" s="8"/>
    </row>
    <row r="129" spans="9:9" ht="15.9" customHeight="1" x14ac:dyDescent="0.25">
      <c r="I129" s="8"/>
    </row>
    <row r="130" spans="9:9" ht="15.9" customHeight="1" x14ac:dyDescent="0.25">
      <c r="I130" s="8"/>
    </row>
    <row r="131" spans="9:9" ht="15.9" customHeight="1" x14ac:dyDescent="0.25">
      <c r="I131" s="8"/>
    </row>
  </sheetData>
  <sheetProtection algorithmName="SHA-512" hashValue="/s0PlwoEy8jHdDNxUa4muNSEEMPcFGciIAdZMKY2SsGKBKVSN/jQBge7rI2+8vhl/d4CPc/9i/d5PM7KCA3eRQ==" saltValue="vO8uXks+XOQZ9DL5Gv8lJQ==" spinCount="100000" sheet="1" objects="1" scenarios="1"/>
  <mergeCells count="24">
    <mergeCell ref="H85:N85"/>
    <mergeCell ref="O85:S85"/>
    <mergeCell ref="T85:W85"/>
    <mergeCell ref="W11:W13"/>
    <mergeCell ref="J13:L13"/>
    <mergeCell ref="T13:V13"/>
    <mergeCell ref="B80:I81"/>
    <mergeCell ref="H11:H13"/>
    <mergeCell ref="I11:I13"/>
    <mergeCell ref="F11:F13"/>
    <mergeCell ref="G11:G13"/>
    <mergeCell ref="C13:D13"/>
    <mergeCell ref="B76:B79"/>
    <mergeCell ref="E11:E13"/>
    <mergeCell ref="B62:B69"/>
    <mergeCell ref="B6:D6"/>
    <mergeCell ref="E6:W6"/>
    <mergeCell ref="B70:B75"/>
    <mergeCell ref="B14:B21"/>
    <mergeCell ref="B22:B26"/>
    <mergeCell ref="B47:B53"/>
    <mergeCell ref="B54:B57"/>
    <mergeCell ref="B27:B46"/>
    <mergeCell ref="B58:B61"/>
  </mergeCells>
  <phoneticPr fontId="5" type="noConversion"/>
  <dataValidations count="2">
    <dataValidation type="list" allowBlank="1" showInputMessage="1" showErrorMessage="1" sqref="B6" xr:uid="{00000000-0002-0000-0200-000000000000}">
      <formula1>$D$94:$D$96</formula1>
    </dataValidation>
    <dataValidation type="list" allowBlank="1" showInputMessage="1" showErrorMessage="1" sqref="E6" xr:uid="{00000000-0002-0000-0200-000001000000}">
      <formula1>$I$95:$I$124</formula1>
    </dataValidation>
  </dataValidations>
  <pageMargins left="3.937007874015748E-2" right="3.937007874015748E-2" top="0.15748031496062992" bottom="0.15748031496062992" header="0.31496062992125984" footer="0.31496062992125984"/>
  <pageSetup paperSize="8" scale="72"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theme="6" tint="0.39997558519241921"/>
  </sheetPr>
  <dimension ref="A1:AK55"/>
  <sheetViews>
    <sheetView topLeftCell="A2" workbookViewId="0">
      <selection activeCell="D97" sqref="D97"/>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8" width="7.33203125" style="21" customWidth="1"/>
    <col min="9" max="9" width="6.886718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5.554687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14</v>
      </c>
      <c r="F6" s="128" t="s">
        <v>79</v>
      </c>
      <c r="G6" s="129">
        <v>735.84471152246795</v>
      </c>
      <c r="H6" s="129">
        <v>633.14551741597575</v>
      </c>
      <c r="I6" s="129">
        <v>850.25907791798409</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5</v>
      </c>
      <c r="N6" s="61">
        <f>MIN($G$6:$G$32)</f>
        <v>568.97341686204425</v>
      </c>
      <c r="O6" s="61">
        <f>VLOOKUP(7,$E$5:$G$39,3,FALSE)</f>
        <v>708.717306793185</v>
      </c>
      <c r="P6" s="129">
        <f>$G$32</f>
        <v>742.59383804112838</v>
      </c>
      <c r="Q6" s="129">
        <f>$H$32</f>
        <v>707.83904190733097</v>
      </c>
      <c r="R6" s="129">
        <f>$I$32</f>
        <v>778.58836836202329</v>
      </c>
      <c r="S6" s="61">
        <f>VLOOKUP(20,$E$5:$G$39,3,FALSE)</f>
        <v>753.51350651618009</v>
      </c>
      <c r="T6" s="61">
        <f t="shared" ref="T6:T31" si="1">MAX($G$6:$G$31)</f>
        <v>876.68695192082794</v>
      </c>
      <c r="U6" s="61">
        <f>VLOOKUP(C6,$C$43:$I$46,5,FALSE)</f>
        <v>745.38513332517823</v>
      </c>
      <c r="V6" s="61"/>
      <c r="Y6" s="159" t="s">
        <v>33</v>
      </c>
      <c r="Z6" s="159" t="s">
        <v>58</v>
      </c>
      <c r="AA6" s="159" t="s">
        <v>163</v>
      </c>
      <c r="AB6" s="159">
        <f>RANK(AH6,$AH$6:$AH$13,1)</f>
        <v>7</v>
      </c>
      <c r="AC6" s="164">
        <f>MIN($AH$6:$AH$13)</f>
        <v>708.717306793185</v>
      </c>
      <c r="AD6" s="164">
        <f>MAX($AH$6:$AH$13)</f>
        <v>775.64983244508687</v>
      </c>
      <c r="AE6" s="159"/>
      <c r="AF6" s="159">
        <f>VLOOKUP($Y6,$A$6:$I$31,5,FALSE)</f>
        <v>21</v>
      </c>
      <c r="AG6" s="160" t="str">
        <f>VLOOKUP($Y6,$A$6:$I$31,6,FALSE)</f>
        <v>N/A</v>
      </c>
      <c r="AH6" s="161">
        <f>VLOOKUP($Y6,$A$6:$I$31,7,FALSE)</f>
        <v>754.52752941995732</v>
      </c>
      <c r="AI6" s="161">
        <f>VLOOKUP($Y6,$A$6:$I$31,8,FALSE)</f>
        <v>692.15083347417635</v>
      </c>
      <c r="AJ6" s="161">
        <f>VLOOKUP($Y6,$A$6:$I$31,9,FALSE)</f>
        <v>820.98017009693967</v>
      </c>
      <c r="AK6" s="160">
        <f>VLOOKUP($Y6,$A$6:$M$31,13,FALSE)</f>
        <v>5</v>
      </c>
    </row>
    <row r="7" spans="1:37" x14ac:dyDescent="0.2">
      <c r="A7" s="62" t="s">
        <v>30</v>
      </c>
      <c r="B7" s="62" t="s">
        <v>56</v>
      </c>
      <c r="C7" s="62" t="s">
        <v>200</v>
      </c>
      <c r="D7" s="62"/>
      <c r="E7" s="62">
        <f t="shared" ref="E7:E31" si="2">RANK(G7,$G$6:$G$31,1)</f>
        <v>26</v>
      </c>
      <c r="F7" s="128" t="s">
        <v>79</v>
      </c>
      <c r="G7" s="129">
        <v>876.68695192082794</v>
      </c>
      <c r="H7" s="129">
        <v>767.20990549032194</v>
      </c>
      <c r="I7" s="129">
        <v>996.89199030111206</v>
      </c>
      <c r="J7" s="129"/>
      <c r="K7" s="129"/>
      <c r="L7" s="129"/>
      <c r="M7" s="60">
        <f t="shared" si="0"/>
        <v>5</v>
      </c>
      <c r="N7" s="61">
        <f t="shared" ref="N7:N31" si="3">MIN($G$6:$G$32)</f>
        <v>568.97341686204425</v>
      </c>
      <c r="O7" s="61">
        <f>VLOOKUP(7,$E$5:$G$39,3,FALSE)</f>
        <v>708.717306793185</v>
      </c>
      <c r="P7" s="129">
        <f t="shared" ref="P7:P31" si="4">$G$32</f>
        <v>742.59383804112838</v>
      </c>
      <c r="Q7" s="129">
        <f t="shared" ref="Q7:Q31" si="5">$H$32</f>
        <v>707.83904190733097</v>
      </c>
      <c r="R7" s="129">
        <f t="shared" ref="R7:R31" si="6">$I$32</f>
        <v>778.58836836202329</v>
      </c>
      <c r="S7" s="61">
        <f t="shared" ref="S7:S31" si="7">VLOOKUP(20,$E$5:$G$39,3,FALSE)</f>
        <v>753.51350651618009</v>
      </c>
      <c r="T7" s="61">
        <f t="shared" si="1"/>
        <v>876.68695192082794</v>
      </c>
      <c r="U7" s="61">
        <f>VLOOKUP(C7,$C$43:$I$46,5,FALSE)</f>
        <v>760.12779455305576</v>
      </c>
      <c r="V7" s="61"/>
      <c r="Y7" s="159" t="s">
        <v>35</v>
      </c>
      <c r="Z7" s="159" t="s">
        <v>60</v>
      </c>
      <c r="AA7" s="159" t="s">
        <v>163</v>
      </c>
      <c r="AB7" s="159">
        <f t="shared" ref="AB7:AB12" si="8">RANK(AH7,$AH$6:$AH$13,1)</f>
        <v>3</v>
      </c>
      <c r="AC7" s="164">
        <f>MIN($AH$6:$AH$13)</f>
        <v>708.717306793185</v>
      </c>
      <c r="AD7" s="164">
        <f t="shared" ref="AD7:AD13" si="9">MAX($AH$6:$AH$13)</f>
        <v>775.64983244508687</v>
      </c>
      <c r="AE7" s="159"/>
      <c r="AF7" s="159">
        <f t="shared" ref="AF7:AF31" si="10">VLOOKUP($Y7,$A$6:$I$31,5,FALSE)</f>
        <v>10</v>
      </c>
      <c r="AG7" s="160" t="str">
        <f t="shared" ref="AG7:AG31" si="11">VLOOKUP($Y7,$A$6:$I$31,6,FALSE)</f>
        <v>N/A</v>
      </c>
      <c r="AH7" s="161">
        <f t="shared" ref="AH7:AH31" si="12">VLOOKUP($Y7,$A$6:$I$31,7,FALSE)</f>
        <v>727.18674866856907</v>
      </c>
      <c r="AI7" s="161">
        <f t="shared" ref="AI7:AI31" si="13">VLOOKUP($Y7,$A$6:$I$31,8,FALSE)</f>
        <v>656.67460980284</v>
      </c>
      <c r="AJ7" s="161">
        <f t="shared" ref="AJ7:AJ31" si="14">VLOOKUP($Y7,$A$6:$I$31,9,FALSE)</f>
        <v>803.09646522812875</v>
      </c>
      <c r="AK7" s="160">
        <f t="shared" ref="AK7:AK31" si="15">VLOOKUP($Y7,$A$6:$M$31,13,FALSE)</f>
        <v>5</v>
      </c>
    </row>
    <row r="8" spans="1:37" x14ac:dyDescent="0.2">
      <c r="A8" s="62" t="s">
        <v>31</v>
      </c>
      <c r="B8" s="62" t="s">
        <v>57</v>
      </c>
      <c r="C8" s="62" t="s">
        <v>200</v>
      </c>
      <c r="D8" s="62"/>
      <c r="E8" s="62">
        <f t="shared" si="2"/>
        <v>13</v>
      </c>
      <c r="F8" s="128" t="s">
        <v>79</v>
      </c>
      <c r="G8" s="129">
        <v>734.5323281525699</v>
      </c>
      <c r="H8" s="129">
        <v>673.18508004123248</v>
      </c>
      <c r="I8" s="129">
        <v>799.89966123205943</v>
      </c>
      <c r="J8" s="129"/>
      <c r="K8" s="129"/>
      <c r="L8" s="129"/>
      <c r="M8" s="60">
        <f t="shared" si="0"/>
        <v>5</v>
      </c>
      <c r="N8" s="61">
        <f t="shared" si="3"/>
        <v>568.97341686204425</v>
      </c>
      <c r="O8" s="61">
        <f t="shared" ref="O8:O31" si="16">VLOOKUP(7,$E$5:$G$39,3,FALSE)</f>
        <v>708.717306793185</v>
      </c>
      <c r="P8" s="129">
        <f t="shared" si="4"/>
        <v>742.59383804112838</v>
      </c>
      <c r="Q8" s="129">
        <f t="shared" si="5"/>
        <v>707.83904190733097</v>
      </c>
      <c r="R8" s="129">
        <f t="shared" si="6"/>
        <v>778.58836836202329</v>
      </c>
      <c r="S8" s="61">
        <f t="shared" si="7"/>
        <v>753.51350651618009</v>
      </c>
      <c r="T8" s="61">
        <f t="shared" si="1"/>
        <v>876.68695192082794</v>
      </c>
      <c r="U8" s="61">
        <f t="shared" ref="U8:U31" si="17">VLOOKUP(C8,$C$43:$I$46,5,FALSE)</f>
        <v>760.12779455305576</v>
      </c>
      <c r="V8" s="61"/>
      <c r="Y8" s="159" t="s">
        <v>41</v>
      </c>
      <c r="Z8" s="159" t="s">
        <v>64</v>
      </c>
      <c r="AA8" s="159" t="s">
        <v>163</v>
      </c>
      <c r="AB8" s="159">
        <f t="shared" si="8"/>
        <v>6</v>
      </c>
      <c r="AC8" s="164">
        <f t="shared" ref="AC8:AC13" si="18">MIN($AH$6:$AH$13)</f>
        <v>708.717306793185</v>
      </c>
      <c r="AD8" s="164">
        <f>MAX($AH$6:$AH$13)</f>
        <v>775.64983244508687</v>
      </c>
      <c r="AE8" s="159"/>
      <c r="AF8" s="159">
        <f t="shared" si="10"/>
        <v>18</v>
      </c>
      <c r="AG8" s="160" t="str">
        <f t="shared" si="11"/>
        <v>N/A</v>
      </c>
      <c r="AH8" s="161">
        <f t="shared" si="12"/>
        <v>751.69944595909885</v>
      </c>
      <c r="AI8" s="161">
        <f t="shared" si="13"/>
        <v>685.59141359749742</v>
      </c>
      <c r="AJ8" s="161">
        <f t="shared" si="14"/>
        <v>822.40947703301708</v>
      </c>
      <c r="AK8" s="160">
        <f t="shared" si="15"/>
        <v>5</v>
      </c>
    </row>
    <row r="9" spans="1:37" x14ac:dyDescent="0.2">
      <c r="A9" s="62" t="s">
        <v>32</v>
      </c>
      <c r="B9" s="62" t="s">
        <v>156</v>
      </c>
      <c r="C9" s="62" t="s">
        <v>201</v>
      </c>
      <c r="D9" s="62"/>
      <c r="E9" s="62">
        <f t="shared" si="2"/>
        <v>24</v>
      </c>
      <c r="F9" s="128" t="s">
        <v>79</v>
      </c>
      <c r="G9" s="129">
        <v>801.32599973238712</v>
      </c>
      <c r="H9" s="129">
        <v>726.9499611594465</v>
      </c>
      <c r="I9" s="129">
        <v>881.06634962566636</v>
      </c>
      <c r="J9" s="129"/>
      <c r="K9" s="129"/>
      <c r="L9" s="129"/>
      <c r="M9" s="60">
        <f t="shared" si="0"/>
        <v>5</v>
      </c>
      <c r="N9" s="61">
        <f t="shared" si="3"/>
        <v>568.97341686204425</v>
      </c>
      <c r="O9" s="61">
        <f t="shared" si="16"/>
        <v>708.717306793185</v>
      </c>
      <c r="P9" s="129">
        <f t="shared" si="4"/>
        <v>742.59383804112838</v>
      </c>
      <c r="Q9" s="129">
        <f t="shared" si="5"/>
        <v>707.83904190733097</v>
      </c>
      <c r="R9" s="129">
        <f t="shared" si="6"/>
        <v>778.58836836202329</v>
      </c>
      <c r="S9" s="61">
        <f t="shared" si="7"/>
        <v>753.51350651618009</v>
      </c>
      <c r="T9" s="61">
        <f t="shared" si="1"/>
        <v>876.68695192082794</v>
      </c>
      <c r="U9" s="61">
        <f t="shared" si="17"/>
        <v>745.38513332517823</v>
      </c>
      <c r="V9" s="61"/>
      <c r="X9" s="63"/>
      <c r="Y9" s="159" t="s">
        <v>45</v>
      </c>
      <c r="Z9" s="159" t="s">
        <v>67</v>
      </c>
      <c r="AA9" s="159" t="s">
        <v>163</v>
      </c>
      <c r="AB9" s="159">
        <f t="shared" si="8"/>
        <v>1</v>
      </c>
      <c r="AC9" s="164">
        <f t="shared" si="18"/>
        <v>708.717306793185</v>
      </c>
      <c r="AD9" s="164">
        <f t="shared" si="9"/>
        <v>775.64983244508687</v>
      </c>
      <c r="AE9" s="159"/>
      <c r="AF9" s="159">
        <f t="shared" si="10"/>
        <v>7</v>
      </c>
      <c r="AG9" s="160" t="str">
        <f t="shared" si="11"/>
        <v>N/A</v>
      </c>
      <c r="AH9" s="161">
        <f t="shared" si="12"/>
        <v>708.717306793185</v>
      </c>
      <c r="AI9" s="161">
        <f t="shared" si="13"/>
        <v>634.15348019361818</v>
      </c>
      <c r="AJ9" s="161">
        <f t="shared" si="14"/>
        <v>789.53567751848391</v>
      </c>
      <c r="AK9" s="160">
        <f t="shared" si="15"/>
        <v>5</v>
      </c>
    </row>
    <row r="10" spans="1:37" x14ac:dyDescent="0.2">
      <c r="A10" s="62" t="s">
        <v>33</v>
      </c>
      <c r="B10" s="62" t="s">
        <v>58</v>
      </c>
      <c r="C10" s="62" t="s">
        <v>163</v>
      </c>
      <c r="D10" s="62"/>
      <c r="E10" s="62">
        <f t="shared" si="2"/>
        <v>21</v>
      </c>
      <c r="F10" s="128" t="s">
        <v>79</v>
      </c>
      <c r="G10" s="129">
        <v>754.52752941995732</v>
      </c>
      <c r="H10" s="129">
        <v>692.15083347417635</v>
      </c>
      <c r="I10" s="129">
        <v>820.98017009693967</v>
      </c>
      <c r="J10" s="129"/>
      <c r="K10" s="129"/>
      <c r="L10" s="129"/>
      <c r="M10" s="60">
        <f t="shared" si="0"/>
        <v>5</v>
      </c>
      <c r="N10" s="61">
        <f t="shared" si="3"/>
        <v>568.97341686204425</v>
      </c>
      <c r="O10" s="61">
        <f t="shared" si="16"/>
        <v>708.717306793185</v>
      </c>
      <c r="P10" s="129">
        <f t="shared" si="4"/>
        <v>742.59383804112838</v>
      </c>
      <c r="Q10" s="129">
        <f t="shared" si="5"/>
        <v>707.83904190733097</v>
      </c>
      <c r="R10" s="129">
        <f t="shared" si="6"/>
        <v>778.58836836202329</v>
      </c>
      <c r="S10" s="61">
        <f t="shared" si="7"/>
        <v>753.51350651618009</v>
      </c>
      <c r="T10" s="61">
        <f t="shared" si="1"/>
        <v>876.68695192082794</v>
      </c>
      <c r="U10" s="61">
        <f t="shared" si="17"/>
        <v>729.77723876366792</v>
      </c>
      <c r="V10" s="61"/>
      <c r="Y10" s="159" t="s">
        <v>46</v>
      </c>
      <c r="Z10" s="159" t="s">
        <v>68</v>
      </c>
      <c r="AA10" s="159" t="s">
        <v>163</v>
      </c>
      <c r="AB10" s="159">
        <f t="shared" si="8"/>
        <v>4</v>
      </c>
      <c r="AC10" s="164">
        <f t="shared" si="18"/>
        <v>708.717306793185</v>
      </c>
      <c r="AD10" s="164">
        <f t="shared" si="9"/>
        <v>775.64983244508687</v>
      </c>
      <c r="AE10" s="159"/>
      <c r="AF10" s="159">
        <f t="shared" si="10"/>
        <v>11</v>
      </c>
      <c r="AG10" s="160" t="str">
        <f t="shared" si="11"/>
        <v>N/A</v>
      </c>
      <c r="AH10" s="161">
        <f t="shared" si="12"/>
        <v>729.38869309780011</v>
      </c>
      <c r="AI10" s="161">
        <f t="shared" si="13"/>
        <v>665.11413664542056</v>
      </c>
      <c r="AJ10" s="161">
        <f t="shared" si="14"/>
        <v>798.15204103603037</v>
      </c>
      <c r="AK10" s="160">
        <f t="shared" si="15"/>
        <v>5</v>
      </c>
    </row>
    <row r="11" spans="1:37" x14ac:dyDescent="0.2">
      <c r="A11" s="62" t="s">
        <v>34</v>
      </c>
      <c r="B11" s="62" t="s">
        <v>59</v>
      </c>
      <c r="C11" s="62" t="s">
        <v>200</v>
      </c>
      <c r="D11" s="62"/>
      <c r="E11" s="62">
        <f t="shared" si="2"/>
        <v>20</v>
      </c>
      <c r="F11" s="128" t="s">
        <v>79</v>
      </c>
      <c r="G11" s="129">
        <v>753.51350651618009</v>
      </c>
      <c r="H11" s="129">
        <v>685.957527202969</v>
      </c>
      <c r="I11" s="129">
        <v>825.79253138750482</v>
      </c>
      <c r="J11" s="129"/>
      <c r="K11" s="129"/>
      <c r="L11" s="129"/>
      <c r="M11" s="60">
        <f t="shared" si="0"/>
        <v>5</v>
      </c>
      <c r="N11" s="61">
        <f t="shared" si="3"/>
        <v>568.97341686204425</v>
      </c>
      <c r="O11" s="61">
        <f t="shared" si="16"/>
        <v>708.717306793185</v>
      </c>
      <c r="P11" s="129">
        <f t="shared" si="4"/>
        <v>742.59383804112838</v>
      </c>
      <c r="Q11" s="129">
        <f t="shared" si="5"/>
        <v>707.83904190733097</v>
      </c>
      <c r="R11" s="129">
        <f t="shared" si="6"/>
        <v>778.58836836202329</v>
      </c>
      <c r="S11" s="61">
        <f t="shared" si="7"/>
        <v>753.51350651618009</v>
      </c>
      <c r="T11" s="61">
        <f t="shared" si="1"/>
        <v>876.68695192082794</v>
      </c>
      <c r="U11" s="61">
        <f t="shared" si="17"/>
        <v>760.12779455305576</v>
      </c>
      <c r="V11" s="61"/>
      <c r="Y11" s="159" t="s">
        <v>47</v>
      </c>
      <c r="Z11" s="159" t="s">
        <v>69</v>
      </c>
      <c r="AA11" s="159" t="s">
        <v>163</v>
      </c>
      <c r="AB11" s="159">
        <f t="shared" si="8"/>
        <v>8</v>
      </c>
      <c r="AC11" s="164">
        <f t="shared" si="18"/>
        <v>708.717306793185</v>
      </c>
      <c r="AD11" s="164">
        <f t="shared" si="9"/>
        <v>775.64983244508687</v>
      </c>
      <c r="AE11" s="159"/>
      <c r="AF11" s="159">
        <f t="shared" si="10"/>
        <v>22</v>
      </c>
      <c r="AG11" s="160" t="str">
        <f t="shared" si="11"/>
        <v>N/A</v>
      </c>
      <c r="AH11" s="161">
        <f t="shared" si="12"/>
        <v>775.64983244508687</v>
      </c>
      <c r="AI11" s="161">
        <f t="shared" si="13"/>
        <v>622.51783904103161</v>
      </c>
      <c r="AJ11" s="161">
        <f t="shared" si="14"/>
        <v>954.79471989255285</v>
      </c>
      <c r="AK11" s="160">
        <f t="shared" si="15"/>
        <v>5</v>
      </c>
    </row>
    <row r="12" spans="1:37" x14ac:dyDescent="0.2">
      <c r="A12" s="62" t="s">
        <v>35</v>
      </c>
      <c r="B12" s="62" t="s">
        <v>60</v>
      </c>
      <c r="C12" s="62" t="s">
        <v>163</v>
      </c>
      <c r="D12" s="62"/>
      <c r="E12" s="62">
        <f t="shared" si="2"/>
        <v>10</v>
      </c>
      <c r="F12" s="128" t="s">
        <v>79</v>
      </c>
      <c r="G12" s="129">
        <v>727.18674866856907</v>
      </c>
      <c r="H12" s="129">
        <v>656.67460980284</v>
      </c>
      <c r="I12" s="129">
        <v>803.09646522812875</v>
      </c>
      <c r="J12" s="129"/>
      <c r="K12" s="129"/>
      <c r="L12" s="129"/>
      <c r="M12" s="60">
        <f t="shared" si="0"/>
        <v>5</v>
      </c>
      <c r="N12" s="61">
        <f t="shared" si="3"/>
        <v>568.97341686204425</v>
      </c>
      <c r="O12" s="61">
        <f t="shared" si="16"/>
        <v>708.717306793185</v>
      </c>
      <c r="P12" s="129">
        <f t="shared" si="4"/>
        <v>742.59383804112838</v>
      </c>
      <c r="Q12" s="129">
        <f t="shared" si="5"/>
        <v>707.83904190733097</v>
      </c>
      <c r="R12" s="129">
        <f t="shared" si="6"/>
        <v>778.58836836202329</v>
      </c>
      <c r="S12" s="61">
        <f t="shared" si="7"/>
        <v>753.51350651618009</v>
      </c>
      <c r="T12" s="61">
        <f t="shared" si="1"/>
        <v>876.68695192082794</v>
      </c>
      <c r="U12" s="61">
        <f t="shared" si="17"/>
        <v>729.77723876366792</v>
      </c>
      <c r="V12" s="61"/>
      <c r="Y12" s="159" t="s">
        <v>50</v>
      </c>
      <c r="Z12" s="159" t="s">
        <v>161</v>
      </c>
      <c r="AA12" s="159" t="s">
        <v>163</v>
      </c>
      <c r="AB12" s="159">
        <f t="shared" si="8"/>
        <v>2</v>
      </c>
      <c r="AC12" s="164">
        <f t="shared" si="18"/>
        <v>708.717306793185</v>
      </c>
      <c r="AD12" s="164">
        <f t="shared" si="9"/>
        <v>775.64983244508687</v>
      </c>
      <c r="AE12" s="159"/>
      <c r="AF12" s="159">
        <f t="shared" si="10"/>
        <v>8</v>
      </c>
      <c r="AG12" s="160" t="str">
        <f t="shared" si="11"/>
        <v>N/A</v>
      </c>
      <c r="AH12" s="161">
        <f t="shared" si="12"/>
        <v>711.91465338071271</v>
      </c>
      <c r="AI12" s="161">
        <f t="shared" si="13"/>
        <v>622.44698502786753</v>
      </c>
      <c r="AJ12" s="161">
        <f t="shared" si="14"/>
        <v>810.45766948622224</v>
      </c>
      <c r="AK12" s="160">
        <f t="shared" si="15"/>
        <v>5</v>
      </c>
    </row>
    <row r="13" spans="1:37" x14ac:dyDescent="0.2">
      <c r="A13" s="62" t="s">
        <v>36</v>
      </c>
      <c r="B13" s="62" t="s">
        <v>61</v>
      </c>
      <c r="C13" s="62" t="s">
        <v>201</v>
      </c>
      <c r="D13" s="62"/>
      <c r="E13" s="62">
        <f t="shared" si="2"/>
        <v>9</v>
      </c>
      <c r="F13" s="128" t="s">
        <v>79</v>
      </c>
      <c r="G13" s="129">
        <v>719.70765534184886</v>
      </c>
      <c r="H13" s="129">
        <v>640.51328372523267</v>
      </c>
      <c r="I13" s="129">
        <v>805.81652389106</v>
      </c>
      <c r="J13" s="129"/>
      <c r="K13" s="129"/>
      <c r="L13" s="129"/>
      <c r="M13" s="60">
        <f t="shared" si="0"/>
        <v>5</v>
      </c>
      <c r="N13" s="61">
        <f t="shared" si="3"/>
        <v>568.97341686204425</v>
      </c>
      <c r="O13" s="61">
        <f t="shared" si="16"/>
        <v>708.717306793185</v>
      </c>
      <c r="P13" s="129">
        <f t="shared" si="4"/>
        <v>742.59383804112838</v>
      </c>
      <c r="Q13" s="129">
        <f t="shared" si="5"/>
        <v>707.83904190733097</v>
      </c>
      <c r="R13" s="129">
        <f t="shared" si="6"/>
        <v>778.58836836202329</v>
      </c>
      <c r="S13" s="61">
        <f t="shared" si="7"/>
        <v>753.51350651618009</v>
      </c>
      <c r="T13" s="61">
        <f t="shared" si="1"/>
        <v>876.68695192082794</v>
      </c>
      <c r="U13" s="61">
        <f t="shared" si="17"/>
        <v>745.38513332517823</v>
      </c>
      <c r="V13" s="61"/>
      <c r="Y13" s="159" t="s">
        <v>53</v>
      </c>
      <c r="Z13" s="159" t="s">
        <v>162</v>
      </c>
      <c r="AA13" s="159" t="s">
        <v>163</v>
      </c>
      <c r="AB13" s="159">
        <f>RANK(AH13,$AH$6:$AH$13,1)</f>
        <v>5</v>
      </c>
      <c r="AC13" s="164">
        <f t="shared" si="18"/>
        <v>708.717306793185</v>
      </c>
      <c r="AD13" s="164">
        <f t="shared" si="9"/>
        <v>775.64983244508687</v>
      </c>
      <c r="AE13" s="159"/>
      <c r="AF13" s="159">
        <f t="shared" si="10"/>
        <v>15</v>
      </c>
      <c r="AG13" s="160" t="str">
        <f t="shared" si="11"/>
        <v>N/A</v>
      </c>
      <c r="AH13" s="161">
        <f t="shared" si="12"/>
        <v>737.18917085668829</v>
      </c>
      <c r="AI13" s="161">
        <f t="shared" si="13"/>
        <v>684.46725825169153</v>
      </c>
      <c r="AJ13" s="161">
        <f t="shared" si="14"/>
        <v>792.85500534256698</v>
      </c>
      <c r="AK13" s="160">
        <f t="shared" si="15"/>
        <v>5</v>
      </c>
    </row>
    <row r="14" spans="1:37" x14ac:dyDescent="0.2">
      <c r="A14" s="62" t="s">
        <v>37</v>
      </c>
      <c r="B14" s="62" t="s">
        <v>157</v>
      </c>
      <c r="C14" s="62" t="s">
        <v>201</v>
      </c>
      <c r="D14" s="62"/>
      <c r="E14" s="62">
        <f t="shared" si="2"/>
        <v>25</v>
      </c>
      <c r="F14" s="128" t="s">
        <v>79</v>
      </c>
      <c r="G14" s="129">
        <v>849.96393502493186</v>
      </c>
      <c r="H14" s="129">
        <v>711.47440664468502</v>
      </c>
      <c r="I14" s="129">
        <v>1004.9603104635853</v>
      </c>
      <c r="J14" s="129"/>
      <c r="K14" s="129"/>
      <c r="L14" s="129"/>
      <c r="M14" s="60">
        <f t="shared" si="0"/>
        <v>5</v>
      </c>
      <c r="N14" s="61">
        <f t="shared" si="3"/>
        <v>568.97341686204425</v>
      </c>
      <c r="O14" s="61">
        <f t="shared" si="16"/>
        <v>708.717306793185</v>
      </c>
      <c r="P14" s="129">
        <f t="shared" si="4"/>
        <v>742.59383804112838</v>
      </c>
      <c r="Q14" s="129">
        <f t="shared" si="5"/>
        <v>707.83904190733097</v>
      </c>
      <c r="R14" s="129">
        <f t="shared" si="6"/>
        <v>778.58836836202329</v>
      </c>
      <c r="S14" s="61">
        <f t="shared" si="7"/>
        <v>753.51350651618009</v>
      </c>
      <c r="T14" s="61">
        <f t="shared" si="1"/>
        <v>876.68695192082794</v>
      </c>
      <c r="U14" s="61">
        <f t="shared" si="17"/>
        <v>745.38513332517823</v>
      </c>
      <c r="V14" s="61"/>
      <c r="Y14" s="162" t="s">
        <v>29</v>
      </c>
      <c r="Z14" s="162" t="s">
        <v>55</v>
      </c>
      <c r="AA14" s="162" t="s">
        <v>201</v>
      </c>
      <c r="AB14" s="162">
        <f>RANK(AH14,$AH$14:$AH$22,1)</f>
        <v>6</v>
      </c>
      <c r="AC14" s="165">
        <f t="shared" ref="AC14:AC22" si="19">MIN($AH$14:$AH$22)</f>
        <v>694.0469859309801</v>
      </c>
      <c r="AD14" s="165">
        <f>MAX($AH$14:$AH$22)</f>
        <v>849.96393502493186</v>
      </c>
      <c r="AE14" s="162"/>
      <c r="AF14" s="162">
        <f t="shared" si="10"/>
        <v>14</v>
      </c>
      <c r="AG14" s="167" t="str">
        <f t="shared" si="11"/>
        <v>N/A</v>
      </c>
      <c r="AH14" s="165">
        <f t="shared" si="12"/>
        <v>735.84471152246795</v>
      </c>
      <c r="AI14" s="165">
        <f t="shared" si="13"/>
        <v>633.14551741597575</v>
      </c>
      <c r="AJ14" s="165">
        <f t="shared" si="14"/>
        <v>850.25907791798409</v>
      </c>
      <c r="AK14" s="167">
        <f t="shared" si="15"/>
        <v>5</v>
      </c>
    </row>
    <row r="15" spans="1:37" x14ac:dyDescent="0.2">
      <c r="A15" s="62" t="s">
        <v>38</v>
      </c>
      <c r="B15" s="62" t="s">
        <v>62</v>
      </c>
      <c r="C15" s="62" t="s">
        <v>201</v>
      </c>
      <c r="D15" s="62"/>
      <c r="E15" s="62">
        <f t="shared" si="2"/>
        <v>16</v>
      </c>
      <c r="F15" s="128" t="s">
        <v>79</v>
      </c>
      <c r="G15" s="129">
        <v>742.44570160426076</v>
      </c>
      <c r="H15" s="129">
        <v>631.19024537737062</v>
      </c>
      <c r="I15" s="129">
        <v>867.47586378183848</v>
      </c>
      <c r="J15" s="129"/>
      <c r="K15" s="129"/>
      <c r="L15" s="129"/>
      <c r="M15" s="60">
        <f t="shared" si="0"/>
        <v>5</v>
      </c>
      <c r="N15" s="61">
        <f t="shared" si="3"/>
        <v>568.97341686204425</v>
      </c>
      <c r="O15" s="61">
        <f t="shared" si="16"/>
        <v>708.717306793185</v>
      </c>
      <c r="P15" s="129">
        <f t="shared" si="4"/>
        <v>742.59383804112838</v>
      </c>
      <c r="Q15" s="129">
        <f t="shared" si="5"/>
        <v>707.83904190733097</v>
      </c>
      <c r="R15" s="129">
        <f t="shared" si="6"/>
        <v>778.58836836202329</v>
      </c>
      <c r="S15" s="61">
        <f t="shared" si="7"/>
        <v>753.51350651618009</v>
      </c>
      <c r="T15" s="61">
        <f t="shared" si="1"/>
        <v>876.68695192082794</v>
      </c>
      <c r="U15" s="61">
        <f t="shared" si="17"/>
        <v>745.38513332517823</v>
      </c>
      <c r="V15" s="61"/>
      <c r="Y15" s="162" t="s">
        <v>32</v>
      </c>
      <c r="Z15" s="162" t="s">
        <v>156</v>
      </c>
      <c r="AA15" s="162" t="s">
        <v>201</v>
      </c>
      <c r="AB15" s="162">
        <f>RANK(AH15,$AH$14:$AH$22,1)</f>
        <v>8</v>
      </c>
      <c r="AC15" s="165">
        <f t="shared" si="19"/>
        <v>694.0469859309801</v>
      </c>
      <c r="AD15" s="165">
        <f t="shared" ref="AD15:AD22" si="20">MAX($AH$14:$AH$22)</f>
        <v>849.96393502493186</v>
      </c>
      <c r="AE15" s="162"/>
      <c r="AF15" s="162">
        <f t="shared" si="10"/>
        <v>24</v>
      </c>
      <c r="AG15" s="167" t="str">
        <f t="shared" si="11"/>
        <v>N/A</v>
      </c>
      <c r="AH15" s="165">
        <f t="shared" si="12"/>
        <v>801.32599973238712</v>
      </c>
      <c r="AI15" s="165">
        <f t="shared" si="13"/>
        <v>726.9499611594465</v>
      </c>
      <c r="AJ15" s="165">
        <f t="shared" si="14"/>
        <v>881.06634962566636</v>
      </c>
      <c r="AK15" s="167">
        <f t="shared" si="15"/>
        <v>5</v>
      </c>
    </row>
    <row r="16" spans="1:37" x14ac:dyDescent="0.2">
      <c r="A16" s="62" t="s">
        <v>39</v>
      </c>
      <c r="B16" s="62" t="s">
        <v>158</v>
      </c>
      <c r="C16" s="62" t="s">
        <v>200</v>
      </c>
      <c r="D16" s="62"/>
      <c r="E16" s="62">
        <f t="shared" si="2"/>
        <v>19</v>
      </c>
      <c r="F16" s="128" t="s">
        <v>79</v>
      </c>
      <c r="G16" s="129">
        <v>752.12679017827429</v>
      </c>
      <c r="H16" s="129">
        <v>683.39884793509873</v>
      </c>
      <c r="I16" s="129">
        <v>825.73937800247461</v>
      </c>
      <c r="J16" s="129"/>
      <c r="K16" s="129"/>
      <c r="L16" s="129"/>
      <c r="M16" s="60">
        <f t="shared" si="0"/>
        <v>5</v>
      </c>
      <c r="N16" s="61">
        <f t="shared" si="3"/>
        <v>568.97341686204425</v>
      </c>
      <c r="O16" s="61">
        <f t="shared" si="16"/>
        <v>708.717306793185</v>
      </c>
      <c r="P16" s="129">
        <f t="shared" si="4"/>
        <v>742.59383804112838</v>
      </c>
      <c r="Q16" s="129">
        <f t="shared" si="5"/>
        <v>707.83904190733097</v>
      </c>
      <c r="R16" s="129">
        <f t="shared" si="6"/>
        <v>778.58836836202329</v>
      </c>
      <c r="S16" s="61">
        <f t="shared" si="7"/>
        <v>753.51350651618009</v>
      </c>
      <c r="T16" s="61">
        <f t="shared" si="1"/>
        <v>876.68695192082794</v>
      </c>
      <c r="U16" s="61">
        <f t="shared" si="17"/>
        <v>760.12779455305576</v>
      </c>
      <c r="V16" s="61"/>
      <c r="Y16" s="162" t="s">
        <v>36</v>
      </c>
      <c r="Z16" s="162" t="s">
        <v>61</v>
      </c>
      <c r="AA16" s="162" t="s">
        <v>201</v>
      </c>
      <c r="AB16" s="162">
        <f>RANK(AH16,$AH$14:$AH$22,1)</f>
        <v>4</v>
      </c>
      <c r="AC16" s="165">
        <f t="shared" si="19"/>
        <v>694.0469859309801</v>
      </c>
      <c r="AD16" s="165">
        <f t="shared" si="20"/>
        <v>849.96393502493186</v>
      </c>
      <c r="AE16" s="162"/>
      <c r="AF16" s="162">
        <f t="shared" si="10"/>
        <v>9</v>
      </c>
      <c r="AG16" s="167" t="str">
        <f t="shared" si="11"/>
        <v>N/A</v>
      </c>
      <c r="AH16" s="165">
        <f t="shared" si="12"/>
        <v>719.70765534184886</v>
      </c>
      <c r="AI16" s="165">
        <f t="shared" si="13"/>
        <v>640.51328372523267</v>
      </c>
      <c r="AJ16" s="165">
        <f t="shared" si="14"/>
        <v>805.81652389106</v>
      </c>
      <c r="AK16" s="167">
        <f t="shared" si="15"/>
        <v>5</v>
      </c>
    </row>
    <row r="17" spans="1:37" x14ac:dyDescent="0.2">
      <c r="A17" s="62" t="s">
        <v>40</v>
      </c>
      <c r="B17" s="62" t="s">
        <v>63</v>
      </c>
      <c r="C17" s="62" t="s">
        <v>200</v>
      </c>
      <c r="D17" s="62"/>
      <c r="E17" s="62">
        <f t="shared" si="2"/>
        <v>17</v>
      </c>
      <c r="F17" s="128" t="s">
        <v>79</v>
      </c>
      <c r="G17" s="129">
        <v>744.18431172495798</v>
      </c>
      <c r="H17" s="129">
        <v>642.61528330558178</v>
      </c>
      <c r="I17" s="129">
        <v>856.88025270399748</v>
      </c>
      <c r="J17" s="129"/>
      <c r="K17" s="129"/>
      <c r="L17" s="129"/>
      <c r="M17" s="60">
        <f t="shared" si="0"/>
        <v>5</v>
      </c>
      <c r="N17" s="61">
        <f t="shared" si="3"/>
        <v>568.97341686204425</v>
      </c>
      <c r="O17" s="61">
        <f t="shared" si="16"/>
        <v>708.717306793185</v>
      </c>
      <c r="P17" s="129">
        <f t="shared" si="4"/>
        <v>742.59383804112838</v>
      </c>
      <c r="Q17" s="129">
        <f t="shared" si="5"/>
        <v>707.83904190733097</v>
      </c>
      <c r="R17" s="129">
        <f t="shared" si="6"/>
        <v>778.58836836202329</v>
      </c>
      <c r="S17" s="61">
        <f t="shared" si="7"/>
        <v>753.51350651618009</v>
      </c>
      <c r="T17" s="61">
        <f t="shared" si="1"/>
        <v>876.68695192082794</v>
      </c>
      <c r="U17" s="61">
        <f t="shared" si="17"/>
        <v>760.12779455305576</v>
      </c>
      <c r="V17" s="61"/>
      <c r="Y17" s="162" t="s">
        <v>37</v>
      </c>
      <c r="Z17" s="162" t="s">
        <v>157</v>
      </c>
      <c r="AA17" s="162" t="s">
        <v>201</v>
      </c>
      <c r="AB17" s="162">
        <f t="shared" ref="AB17:AB22" si="21">RANK(AH17,$AH$14:$AH$22,1)</f>
        <v>9</v>
      </c>
      <c r="AC17" s="165">
        <f t="shared" si="19"/>
        <v>694.0469859309801</v>
      </c>
      <c r="AD17" s="165">
        <f>MAX($AH$14:$AH$22)</f>
        <v>849.96393502493186</v>
      </c>
      <c r="AE17" s="162"/>
      <c r="AF17" s="162">
        <f t="shared" si="10"/>
        <v>25</v>
      </c>
      <c r="AG17" s="167" t="str">
        <f t="shared" si="11"/>
        <v>N/A</v>
      </c>
      <c r="AH17" s="165">
        <f t="shared" si="12"/>
        <v>849.96393502493186</v>
      </c>
      <c r="AI17" s="165">
        <f t="shared" si="13"/>
        <v>711.47440664468502</v>
      </c>
      <c r="AJ17" s="165">
        <f t="shared" si="14"/>
        <v>1004.9603104635853</v>
      </c>
      <c r="AK17" s="167">
        <f t="shared" si="15"/>
        <v>5</v>
      </c>
    </row>
    <row r="18" spans="1:37" x14ac:dyDescent="0.2">
      <c r="A18" s="62" t="s">
        <v>41</v>
      </c>
      <c r="B18" s="62" t="s">
        <v>64</v>
      </c>
      <c r="C18" s="62" t="s">
        <v>163</v>
      </c>
      <c r="D18" s="62"/>
      <c r="E18" s="62">
        <f t="shared" si="2"/>
        <v>18</v>
      </c>
      <c r="F18" s="128" t="s">
        <v>79</v>
      </c>
      <c r="G18" s="129">
        <v>751.69944595909885</v>
      </c>
      <c r="H18" s="129">
        <v>685.59141359749742</v>
      </c>
      <c r="I18" s="129">
        <v>822.40947703301708</v>
      </c>
      <c r="J18" s="129"/>
      <c r="K18" s="129"/>
      <c r="L18" s="129"/>
      <c r="M18" s="60">
        <f t="shared" si="0"/>
        <v>5</v>
      </c>
      <c r="N18" s="61">
        <f t="shared" si="3"/>
        <v>568.97341686204425</v>
      </c>
      <c r="O18" s="61">
        <f t="shared" si="16"/>
        <v>708.717306793185</v>
      </c>
      <c r="P18" s="129">
        <f t="shared" si="4"/>
        <v>742.59383804112838</v>
      </c>
      <c r="Q18" s="129">
        <f t="shared" si="5"/>
        <v>707.83904190733097</v>
      </c>
      <c r="R18" s="129">
        <f t="shared" si="6"/>
        <v>778.58836836202329</v>
      </c>
      <c r="S18" s="61">
        <f t="shared" si="7"/>
        <v>753.51350651618009</v>
      </c>
      <c r="T18" s="61">
        <f t="shared" si="1"/>
        <v>876.68695192082794</v>
      </c>
      <c r="U18" s="61">
        <f t="shared" si="17"/>
        <v>729.77723876366792</v>
      </c>
      <c r="V18" s="61"/>
      <c r="Y18" s="162" t="s">
        <v>38</v>
      </c>
      <c r="Z18" s="162" t="s">
        <v>62</v>
      </c>
      <c r="AA18" s="162" t="s">
        <v>201</v>
      </c>
      <c r="AB18" s="162">
        <f t="shared" si="21"/>
        <v>7</v>
      </c>
      <c r="AC18" s="165">
        <f t="shared" si="19"/>
        <v>694.0469859309801</v>
      </c>
      <c r="AD18" s="165">
        <f t="shared" si="20"/>
        <v>849.96393502493186</v>
      </c>
      <c r="AE18" s="162"/>
      <c r="AF18" s="162">
        <f t="shared" si="10"/>
        <v>16</v>
      </c>
      <c r="AG18" s="167" t="str">
        <f t="shared" si="11"/>
        <v>N/A</v>
      </c>
      <c r="AH18" s="165">
        <f t="shared" si="12"/>
        <v>742.44570160426076</v>
      </c>
      <c r="AI18" s="165">
        <f t="shared" si="13"/>
        <v>631.19024537737062</v>
      </c>
      <c r="AJ18" s="165">
        <f t="shared" si="14"/>
        <v>867.47586378183848</v>
      </c>
      <c r="AK18" s="167">
        <f t="shared" si="15"/>
        <v>5</v>
      </c>
    </row>
    <row r="19" spans="1:37" x14ac:dyDescent="0.2">
      <c r="A19" s="62" t="s">
        <v>42</v>
      </c>
      <c r="B19" s="62" t="s">
        <v>65</v>
      </c>
      <c r="C19" s="62" t="s">
        <v>200</v>
      </c>
      <c r="D19" s="62"/>
      <c r="E19" s="62">
        <f t="shared" si="2"/>
        <v>3</v>
      </c>
      <c r="F19" s="128" t="s">
        <v>79</v>
      </c>
      <c r="G19" s="129">
        <v>683.42024649367227</v>
      </c>
      <c r="H19" s="129">
        <v>542.43581993210069</v>
      </c>
      <c r="I19" s="129">
        <v>847.93084710947926</v>
      </c>
      <c r="J19" s="129"/>
      <c r="K19" s="129"/>
      <c r="L19" s="129"/>
      <c r="M19" s="60">
        <f t="shared" si="0"/>
        <v>5</v>
      </c>
      <c r="N19" s="61">
        <f t="shared" si="3"/>
        <v>568.97341686204425</v>
      </c>
      <c r="O19" s="61">
        <f t="shared" si="16"/>
        <v>708.717306793185</v>
      </c>
      <c r="P19" s="129">
        <f t="shared" si="4"/>
        <v>742.59383804112838</v>
      </c>
      <c r="Q19" s="129">
        <f t="shared" si="5"/>
        <v>707.83904190733097</v>
      </c>
      <c r="R19" s="129">
        <f t="shared" si="6"/>
        <v>778.58836836202329</v>
      </c>
      <c r="S19" s="61">
        <f t="shared" si="7"/>
        <v>753.51350651618009</v>
      </c>
      <c r="T19" s="61">
        <f t="shared" si="1"/>
        <v>876.68695192082794</v>
      </c>
      <c r="U19" s="61">
        <f t="shared" si="17"/>
        <v>760.12779455305576</v>
      </c>
      <c r="V19" s="61"/>
      <c r="Y19" s="162" t="s">
        <v>43</v>
      </c>
      <c r="Z19" s="162" t="s">
        <v>159</v>
      </c>
      <c r="AA19" s="162" t="s">
        <v>201</v>
      </c>
      <c r="AB19" s="162">
        <f t="shared" si="21"/>
        <v>5</v>
      </c>
      <c r="AC19" s="165">
        <f t="shared" si="19"/>
        <v>694.0469859309801</v>
      </c>
      <c r="AD19" s="165">
        <f t="shared" si="20"/>
        <v>849.96393502493186</v>
      </c>
      <c r="AE19" s="162"/>
      <c r="AF19" s="162">
        <f t="shared" si="10"/>
        <v>12</v>
      </c>
      <c r="AG19" s="167" t="str">
        <f t="shared" si="11"/>
        <v>N/A</v>
      </c>
      <c r="AH19" s="165">
        <f t="shared" si="12"/>
        <v>729.39281319165002</v>
      </c>
      <c r="AI19" s="165">
        <f t="shared" si="13"/>
        <v>631.39287071420051</v>
      </c>
      <c r="AJ19" s="165">
        <f t="shared" si="14"/>
        <v>837.91249341390244</v>
      </c>
      <c r="AK19" s="167">
        <f t="shared" si="15"/>
        <v>5</v>
      </c>
    </row>
    <row r="20" spans="1:37" x14ac:dyDescent="0.2">
      <c r="A20" s="62" t="s">
        <v>43</v>
      </c>
      <c r="B20" s="62" t="s">
        <v>159</v>
      </c>
      <c r="C20" s="62" t="s">
        <v>201</v>
      </c>
      <c r="D20" s="62"/>
      <c r="E20" s="62">
        <f t="shared" si="2"/>
        <v>12</v>
      </c>
      <c r="F20" s="128" t="s">
        <v>79</v>
      </c>
      <c r="G20" s="129">
        <v>729.39281319165002</v>
      </c>
      <c r="H20" s="129">
        <v>631.39287071420051</v>
      </c>
      <c r="I20" s="129">
        <v>837.91249341390244</v>
      </c>
      <c r="J20" s="129"/>
      <c r="K20" s="129"/>
      <c r="L20" s="129"/>
      <c r="M20" s="60">
        <f t="shared" si="0"/>
        <v>5</v>
      </c>
      <c r="N20" s="61">
        <f t="shared" si="3"/>
        <v>568.97341686204425</v>
      </c>
      <c r="O20" s="61">
        <f t="shared" si="16"/>
        <v>708.717306793185</v>
      </c>
      <c r="P20" s="129">
        <f t="shared" si="4"/>
        <v>742.59383804112838</v>
      </c>
      <c r="Q20" s="129">
        <f t="shared" si="5"/>
        <v>707.83904190733097</v>
      </c>
      <c r="R20" s="129">
        <f t="shared" si="6"/>
        <v>778.58836836202329</v>
      </c>
      <c r="S20" s="61">
        <f t="shared" si="7"/>
        <v>753.51350651618009</v>
      </c>
      <c r="T20" s="61">
        <f t="shared" si="1"/>
        <v>876.68695192082794</v>
      </c>
      <c r="U20" s="61">
        <f t="shared" si="17"/>
        <v>745.38513332517823</v>
      </c>
      <c r="V20" s="61"/>
      <c r="Y20" s="162" t="s">
        <v>48</v>
      </c>
      <c r="Z20" s="162" t="s">
        <v>160</v>
      </c>
      <c r="AA20" s="162" t="s">
        <v>201</v>
      </c>
      <c r="AB20" s="162">
        <f t="shared" si="21"/>
        <v>3</v>
      </c>
      <c r="AC20" s="165">
        <f t="shared" si="19"/>
        <v>694.0469859309801</v>
      </c>
      <c r="AD20" s="165">
        <f t="shared" si="20"/>
        <v>849.96393502493186</v>
      </c>
      <c r="AE20" s="162"/>
      <c r="AF20" s="162">
        <f t="shared" si="10"/>
        <v>6</v>
      </c>
      <c r="AG20" s="167" t="str">
        <f t="shared" si="11"/>
        <v>N/A</v>
      </c>
      <c r="AH20" s="165">
        <f t="shared" si="12"/>
        <v>704.49697278894087</v>
      </c>
      <c r="AI20" s="165">
        <f t="shared" si="13"/>
        <v>600.72342178983979</v>
      </c>
      <c r="AJ20" s="165">
        <f t="shared" si="14"/>
        <v>820.83277478682737</v>
      </c>
      <c r="AK20" s="167">
        <f t="shared" si="15"/>
        <v>5</v>
      </c>
    </row>
    <row r="21" spans="1:37" x14ac:dyDescent="0.2">
      <c r="A21" s="62" t="s">
        <v>44</v>
      </c>
      <c r="B21" s="62" t="s">
        <v>66</v>
      </c>
      <c r="C21" s="62" t="s">
        <v>200</v>
      </c>
      <c r="D21" s="62"/>
      <c r="E21" s="62">
        <f t="shared" si="2"/>
        <v>1</v>
      </c>
      <c r="F21" s="128" t="s">
        <v>79</v>
      </c>
      <c r="G21" s="129">
        <v>568.97341686204425</v>
      </c>
      <c r="H21" s="129">
        <v>465.5646612635714</v>
      </c>
      <c r="I21" s="129">
        <v>687.62296385671823</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2</v>
      </c>
      <c r="N21" s="61">
        <f t="shared" si="3"/>
        <v>568.97341686204425</v>
      </c>
      <c r="O21" s="61">
        <f t="shared" si="16"/>
        <v>708.717306793185</v>
      </c>
      <c r="P21" s="129">
        <f t="shared" si="4"/>
        <v>742.59383804112838</v>
      </c>
      <c r="Q21" s="129">
        <f t="shared" si="5"/>
        <v>707.83904190733097</v>
      </c>
      <c r="R21" s="129">
        <f t="shared" si="6"/>
        <v>778.58836836202329</v>
      </c>
      <c r="S21" s="61">
        <f t="shared" si="7"/>
        <v>753.51350651618009</v>
      </c>
      <c r="T21" s="61">
        <f t="shared" si="1"/>
        <v>876.68695192082794</v>
      </c>
      <c r="U21" s="61">
        <f t="shared" si="17"/>
        <v>760.12779455305576</v>
      </c>
      <c r="V21" s="61"/>
      <c r="Y21" s="162" t="s">
        <v>52</v>
      </c>
      <c r="Z21" s="162" t="s">
        <v>72</v>
      </c>
      <c r="AA21" s="162" t="s">
        <v>201</v>
      </c>
      <c r="AB21" s="162">
        <f t="shared" si="21"/>
        <v>1</v>
      </c>
      <c r="AC21" s="165">
        <f t="shared" si="19"/>
        <v>694.0469859309801</v>
      </c>
      <c r="AD21" s="165">
        <f t="shared" si="20"/>
        <v>849.96393502493186</v>
      </c>
      <c r="AE21" s="162"/>
      <c r="AF21" s="162">
        <f t="shared" si="10"/>
        <v>4</v>
      </c>
      <c r="AG21" s="167" t="str">
        <f t="shared" si="11"/>
        <v>N/A</v>
      </c>
      <c r="AH21" s="165">
        <f t="shared" si="12"/>
        <v>694.0469859309801</v>
      </c>
      <c r="AI21" s="165">
        <f t="shared" si="13"/>
        <v>532.53305917437092</v>
      </c>
      <c r="AJ21" s="165">
        <f t="shared" si="14"/>
        <v>887.04101423364432</v>
      </c>
      <c r="AK21" s="167">
        <f t="shared" si="15"/>
        <v>5</v>
      </c>
    </row>
    <row r="22" spans="1:37" x14ac:dyDescent="0.2">
      <c r="A22" s="62" t="s">
        <v>45</v>
      </c>
      <c r="B22" s="62" t="s">
        <v>67</v>
      </c>
      <c r="C22" s="62" t="s">
        <v>163</v>
      </c>
      <c r="D22" s="62"/>
      <c r="E22" s="62">
        <f t="shared" si="2"/>
        <v>7</v>
      </c>
      <c r="F22" s="128" t="s">
        <v>79</v>
      </c>
      <c r="G22" s="129">
        <v>708.717306793185</v>
      </c>
      <c r="H22" s="129">
        <v>634.15348019361818</v>
      </c>
      <c r="I22" s="129">
        <v>789.53567751848391</v>
      </c>
      <c r="J22" s="129"/>
      <c r="K22" s="129"/>
      <c r="L22" s="129"/>
      <c r="M22" s="60">
        <f t="shared" si="0"/>
        <v>5</v>
      </c>
      <c r="N22" s="61">
        <f t="shared" si="3"/>
        <v>568.97341686204425</v>
      </c>
      <c r="O22" s="61">
        <f t="shared" si="16"/>
        <v>708.717306793185</v>
      </c>
      <c r="P22" s="129">
        <f t="shared" si="4"/>
        <v>742.59383804112838</v>
      </c>
      <c r="Q22" s="129">
        <f t="shared" si="5"/>
        <v>707.83904190733097</v>
      </c>
      <c r="R22" s="129">
        <f t="shared" si="6"/>
        <v>778.58836836202329</v>
      </c>
      <c r="S22" s="61">
        <f t="shared" si="7"/>
        <v>753.51350651618009</v>
      </c>
      <c r="T22" s="61">
        <f t="shared" si="1"/>
        <v>876.68695192082794</v>
      </c>
      <c r="U22" s="61">
        <f>VLOOKUP(C22,$C$43:$I$46,5,FALSE)</f>
        <v>729.77723876366792</v>
      </c>
      <c r="V22" s="61"/>
      <c r="Y22" s="162" t="s">
        <v>54</v>
      </c>
      <c r="Z22" s="162" t="s">
        <v>73</v>
      </c>
      <c r="AA22" s="162" t="s">
        <v>201</v>
      </c>
      <c r="AB22" s="162">
        <f t="shared" si="21"/>
        <v>2</v>
      </c>
      <c r="AC22" s="165">
        <f t="shared" si="19"/>
        <v>694.0469859309801</v>
      </c>
      <c r="AD22" s="165">
        <f t="shared" si="20"/>
        <v>849.96393502493186</v>
      </c>
      <c r="AE22" s="162"/>
      <c r="AF22" s="162">
        <f t="shared" si="10"/>
        <v>5</v>
      </c>
      <c r="AG22" s="167" t="str">
        <f t="shared" si="11"/>
        <v>N/A</v>
      </c>
      <c r="AH22" s="165">
        <f t="shared" si="12"/>
        <v>703.88824049517166</v>
      </c>
      <c r="AI22" s="165">
        <f t="shared" si="13"/>
        <v>608.52753347038436</v>
      </c>
      <c r="AJ22" s="165">
        <f t="shared" si="14"/>
        <v>809.72293582363318</v>
      </c>
      <c r="AK22" s="167">
        <f t="shared" si="15"/>
        <v>5</v>
      </c>
    </row>
    <row r="23" spans="1:37" x14ac:dyDescent="0.2">
      <c r="A23" s="62" t="s">
        <v>46</v>
      </c>
      <c r="B23" s="62" t="s">
        <v>68</v>
      </c>
      <c r="C23" s="62" t="s">
        <v>163</v>
      </c>
      <c r="D23" s="62"/>
      <c r="E23" s="62">
        <f t="shared" si="2"/>
        <v>11</v>
      </c>
      <c r="F23" s="128" t="s">
        <v>79</v>
      </c>
      <c r="G23" s="129">
        <v>729.38869309780011</v>
      </c>
      <c r="H23" s="129">
        <v>665.11413664542056</v>
      </c>
      <c r="I23" s="129">
        <v>798.15204103603037</v>
      </c>
      <c r="J23" s="129"/>
      <c r="K23" s="129"/>
      <c r="L23" s="129"/>
      <c r="M23" s="60">
        <f t="shared" si="0"/>
        <v>5</v>
      </c>
      <c r="N23" s="61">
        <f t="shared" si="3"/>
        <v>568.97341686204425</v>
      </c>
      <c r="O23" s="61">
        <f t="shared" si="16"/>
        <v>708.717306793185</v>
      </c>
      <c r="P23" s="129">
        <f t="shared" si="4"/>
        <v>742.59383804112838</v>
      </c>
      <c r="Q23" s="129">
        <f t="shared" si="5"/>
        <v>707.83904190733097</v>
      </c>
      <c r="R23" s="129">
        <f t="shared" si="6"/>
        <v>778.58836836202329</v>
      </c>
      <c r="S23" s="61">
        <f t="shared" si="7"/>
        <v>753.51350651618009</v>
      </c>
      <c r="T23" s="61">
        <f t="shared" si="1"/>
        <v>876.68695192082794</v>
      </c>
      <c r="U23" s="61">
        <f t="shared" si="17"/>
        <v>729.77723876366792</v>
      </c>
      <c r="V23" s="61"/>
      <c r="Y23" s="163" t="s">
        <v>30</v>
      </c>
      <c r="Z23" s="163" t="s">
        <v>56</v>
      </c>
      <c r="AA23" s="163" t="s">
        <v>200</v>
      </c>
      <c r="AB23" s="163">
        <f>RANK(AH23,$AH$23:$AH$31,1)</f>
        <v>9</v>
      </c>
      <c r="AC23" s="166">
        <f>MIN($AH$23:$AH$31)</f>
        <v>568.97341686204425</v>
      </c>
      <c r="AD23" s="166">
        <f>MAX($AH$23:$AH$31)</f>
        <v>876.68695192082794</v>
      </c>
      <c r="AE23" s="163"/>
      <c r="AF23" s="163">
        <f t="shared" si="10"/>
        <v>26</v>
      </c>
      <c r="AG23" s="168" t="str">
        <f t="shared" si="11"/>
        <v>N/A</v>
      </c>
      <c r="AH23" s="166">
        <f t="shared" si="12"/>
        <v>876.68695192082794</v>
      </c>
      <c r="AI23" s="166">
        <f t="shared" si="13"/>
        <v>767.20990549032194</v>
      </c>
      <c r="AJ23" s="166">
        <f t="shared" si="14"/>
        <v>996.89199030111206</v>
      </c>
      <c r="AK23" s="168">
        <f t="shared" si="15"/>
        <v>5</v>
      </c>
    </row>
    <row r="24" spans="1:37" x14ac:dyDescent="0.2">
      <c r="A24" s="62" t="s">
        <v>47</v>
      </c>
      <c r="B24" s="62" t="s">
        <v>69</v>
      </c>
      <c r="C24" s="62" t="s">
        <v>163</v>
      </c>
      <c r="D24" s="62"/>
      <c r="E24" s="62">
        <f t="shared" si="2"/>
        <v>22</v>
      </c>
      <c r="F24" s="128" t="s">
        <v>79</v>
      </c>
      <c r="G24" s="129">
        <v>775.64983244508687</v>
      </c>
      <c r="H24" s="129">
        <v>622.51783904103161</v>
      </c>
      <c r="I24" s="129">
        <v>954.79471989255285</v>
      </c>
      <c r="J24" s="129"/>
      <c r="K24" s="129"/>
      <c r="L24" s="129"/>
      <c r="M24" s="60">
        <f t="shared" si="0"/>
        <v>5</v>
      </c>
      <c r="N24" s="61">
        <f t="shared" si="3"/>
        <v>568.97341686204425</v>
      </c>
      <c r="O24" s="61">
        <f t="shared" si="16"/>
        <v>708.717306793185</v>
      </c>
      <c r="P24" s="129">
        <f t="shared" si="4"/>
        <v>742.59383804112838</v>
      </c>
      <c r="Q24" s="129">
        <f t="shared" si="5"/>
        <v>707.83904190733097</v>
      </c>
      <c r="R24" s="129">
        <f t="shared" si="6"/>
        <v>778.58836836202329</v>
      </c>
      <c r="S24" s="61">
        <f t="shared" si="7"/>
        <v>753.51350651618009</v>
      </c>
      <c r="T24" s="61">
        <f t="shared" si="1"/>
        <v>876.68695192082794</v>
      </c>
      <c r="U24" s="61">
        <f t="shared" si="17"/>
        <v>729.77723876366792</v>
      </c>
      <c r="V24" s="61"/>
      <c r="Y24" s="163" t="s">
        <v>31</v>
      </c>
      <c r="Z24" s="163" t="s">
        <v>57</v>
      </c>
      <c r="AA24" s="163" t="s">
        <v>200</v>
      </c>
      <c r="AB24" s="163">
        <f t="shared" ref="AB24:AB31" si="22">RANK(AH24,$AH$23:$AH$31,1)</f>
        <v>4</v>
      </c>
      <c r="AC24" s="166">
        <f t="shared" ref="AC24:AC31" si="23">MIN($AH$23:$AH$31)</f>
        <v>568.97341686204425</v>
      </c>
      <c r="AD24" s="166">
        <f t="shared" ref="AD24:AD31" si="24">MAX($AH$23:$AH$31)</f>
        <v>876.68695192082794</v>
      </c>
      <c r="AE24" s="163"/>
      <c r="AF24" s="163">
        <f t="shared" si="10"/>
        <v>13</v>
      </c>
      <c r="AG24" s="168" t="str">
        <f t="shared" si="11"/>
        <v>N/A</v>
      </c>
      <c r="AH24" s="166">
        <f t="shared" si="12"/>
        <v>734.5323281525699</v>
      </c>
      <c r="AI24" s="166">
        <f t="shared" si="13"/>
        <v>673.18508004123248</v>
      </c>
      <c r="AJ24" s="166">
        <f t="shared" si="14"/>
        <v>799.89966123205943</v>
      </c>
      <c r="AK24" s="168">
        <f t="shared" si="15"/>
        <v>5</v>
      </c>
    </row>
    <row r="25" spans="1:37" x14ac:dyDescent="0.2">
      <c r="A25" s="62" t="s">
        <v>48</v>
      </c>
      <c r="B25" s="62" t="s">
        <v>160</v>
      </c>
      <c r="C25" s="62" t="s">
        <v>201</v>
      </c>
      <c r="D25" s="62"/>
      <c r="E25" s="62">
        <f t="shared" si="2"/>
        <v>6</v>
      </c>
      <c r="F25" s="128" t="s">
        <v>79</v>
      </c>
      <c r="G25" s="129">
        <v>704.49697278894087</v>
      </c>
      <c r="H25" s="129">
        <v>600.72342178983979</v>
      </c>
      <c r="I25" s="129">
        <v>820.83277478682737</v>
      </c>
      <c r="J25" s="129"/>
      <c r="K25" s="129"/>
      <c r="L25" s="129"/>
      <c r="M25" s="60">
        <f t="shared" si="0"/>
        <v>5</v>
      </c>
      <c r="N25" s="61">
        <f t="shared" si="3"/>
        <v>568.97341686204425</v>
      </c>
      <c r="O25" s="61">
        <f t="shared" si="16"/>
        <v>708.717306793185</v>
      </c>
      <c r="P25" s="129">
        <f t="shared" si="4"/>
        <v>742.59383804112838</v>
      </c>
      <c r="Q25" s="129">
        <f t="shared" si="5"/>
        <v>707.83904190733097</v>
      </c>
      <c r="R25" s="129">
        <f t="shared" si="6"/>
        <v>778.58836836202329</v>
      </c>
      <c r="S25" s="61">
        <f t="shared" si="7"/>
        <v>753.51350651618009</v>
      </c>
      <c r="T25" s="61">
        <f t="shared" si="1"/>
        <v>876.68695192082794</v>
      </c>
      <c r="U25" s="61">
        <f t="shared" si="17"/>
        <v>745.38513332517823</v>
      </c>
      <c r="V25" s="61"/>
      <c r="Y25" s="163" t="s">
        <v>34</v>
      </c>
      <c r="Z25" s="163" t="s">
        <v>59</v>
      </c>
      <c r="AA25" s="163" t="s">
        <v>200</v>
      </c>
      <c r="AB25" s="163">
        <f t="shared" si="22"/>
        <v>7</v>
      </c>
      <c r="AC25" s="166">
        <f t="shared" si="23"/>
        <v>568.97341686204425</v>
      </c>
      <c r="AD25" s="166">
        <f t="shared" si="24"/>
        <v>876.68695192082794</v>
      </c>
      <c r="AE25" s="163"/>
      <c r="AF25" s="163">
        <f t="shared" si="10"/>
        <v>20</v>
      </c>
      <c r="AG25" s="168" t="str">
        <f t="shared" si="11"/>
        <v>N/A</v>
      </c>
      <c r="AH25" s="166">
        <f t="shared" si="12"/>
        <v>753.51350651618009</v>
      </c>
      <c r="AI25" s="166">
        <f t="shared" si="13"/>
        <v>685.957527202969</v>
      </c>
      <c r="AJ25" s="166">
        <f t="shared" si="14"/>
        <v>825.79253138750482</v>
      </c>
      <c r="AK25" s="168">
        <f t="shared" si="15"/>
        <v>5</v>
      </c>
    </row>
    <row r="26" spans="1:37" x14ac:dyDescent="0.2">
      <c r="A26" s="62" t="s">
        <v>49</v>
      </c>
      <c r="B26" s="62" t="s">
        <v>70</v>
      </c>
      <c r="C26" s="62" t="s">
        <v>200</v>
      </c>
      <c r="D26" s="62"/>
      <c r="E26" s="62">
        <f t="shared" si="2"/>
        <v>2</v>
      </c>
      <c r="F26" s="128" t="s">
        <v>79</v>
      </c>
      <c r="G26" s="129">
        <v>624.00579147611677</v>
      </c>
      <c r="H26" s="129">
        <v>544.82245997324935</v>
      </c>
      <c r="I26" s="129">
        <v>711.13301925588064</v>
      </c>
      <c r="J26" s="129"/>
      <c r="K26" s="129"/>
      <c r="L26" s="129"/>
      <c r="M26" s="60">
        <f t="shared" si="0"/>
        <v>5</v>
      </c>
      <c r="N26" s="61">
        <f t="shared" si="3"/>
        <v>568.97341686204425</v>
      </c>
      <c r="O26" s="61">
        <f t="shared" si="16"/>
        <v>708.717306793185</v>
      </c>
      <c r="P26" s="129">
        <f t="shared" si="4"/>
        <v>742.59383804112838</v>
      </c>
      <c r="Q26" s="129">
        <f t="shared" si="5"/>
        <v>707.83904190733097</v>
      </c>
      <c r="R26" s="129">
        <f t="shared" si="6"/>
        <v>778.58836836202329</v>
      </c>
      <c r="S26" s="61">
        <f t="shared" si="7"/>
        <v>753.51350651618009</v>
      </c>
      <c r="T26" s="61">
        <f t="shared" si="1"/>
        <v>876.68695192082794</v>
      </c>
      <c r="U26" s="61">
        <f t="shared" si="17"/>
        <v>760.12779455305576</v>
      </c>
      <c r="V26" s="61"/>
      <c r="Y26" s="163" t="s">
        <v>39</v>
      </c>
      <c r="Z26" s="163" t="s">
        <v>158</v>
      </c>
      <c r="AA26" s="163" t="s">
        <v>200</v>
      </c>
      <c r="AB26" s="163">
        <f t="shared" si="22"/>
        <v>6</v>
      </c>
      <c r="AC26" s="166">
        <f t="shared" si="23"/>
        <v>568.97341686204425</v>
      </c>
      <c r="AD26" s="166">
        <f t="shared" si="24"/>
        <v>876.68695192082794</v>
      </c>
      <c r="AE26" s="163"/>
      <c r="AF26" s="163">
        <f t="shared" si="10"/>
        <v>19</v>
      </c>
      <c r="AG26" s="168" t="str">
        <f t="shared" si="11"/>
        <v>N/A</v>
      </c>
      <c r="AH26" s="166">
        <f t="shared" si="12"/>
        <v>752.12679017827429</v>
      </c>
      <c r="AI26" s="166">
        <f t="shared" si="13"/>
        <v>683.39884793509873</v>
      </c>
      <c r="AJ26" s="166">
        <f t="shared" si="14"/>
        <v>825.73937800247461</v>
      </c>
      <c r="AK26" s="168">
        <f t="shared" si="15"/>
        <v>5</v>
      </c>
    </row>
    <row r="27" spans="1:37" x14ac:dyDescent="0.2">
      <c r="A27" s="62" t="s">
        <v>50</v>
      </c>
      <c r="B27" s="62" t="s">
        <v>161</v>
      </c>
      <c r="C27" s="62" t="s">
        <v>163</v>
      </c>
      <c r="D27" s="62"/>
      <c r="E27" s="62">
        <f t="shared" si="2"/>
        <v>8</v>
      </c>
      <c r="F27" s="128" t="s">
        <v>79</v>
      </c>
      <c r="G27" s="129">
        <v>711.91465338071271</v>
      </c>
      <c r="H27" s="129">
        <v>622.44698502786753</v>
      </c>
      <c r="I27" s="129">
        <v>810.45766948622224</v>
      </c>
      <c r="J27" s="129"/>
      <c r="K27" s="129"/>
      <c r="L27" s="129"/>
      <c r="M27" s="60">
        <f t="shared" si="0"/>
        <v>5</v>
      </c>
      <c r="N27" s="61">
        <f t="shared" si="3"/>
        <v>568.97341686204425</v>
      </c>
      <c r="O27" s="61">
        <f t="shared" si="16"/>
        <v>708.717306793185</v>
      </c>
      <c r="P27" s="129">
        <f t="shared" si="4"/>
        <v>742.59383804112838</v>
      </c>
      <c r="Q27" s="129">
        <f t="shared" si="5"/>
        <v>707.83904190733097</v>
      </c>
      <c r="R27" s="129">
        <f t="shared" si="6"/>
        <v>778.58836836202329</v>
      </c>
      <c r="S27" s="61">
        <f t="shared" si="7"/>
        <v>753.51350651618009</v>
      </c>
      <c r="T27" s="61">
        <f t="shared" si="1"/>
        <v>876.68695192082794</v>
      </c>
      <c r="U27" s="61">
        <f t="shared" si="17"/>
        <v>729.77723876366792</v>
      </c>
      <c r="V27" s="61"/>
      <c r="Y27" s="163" t="s">
        <v>40</v>
      </c>
      <c r="Z27" s="163" t="s">
        <v>63</v>
      </c>
      <c r="AA27" s="163" t="s">
        <v>200</v>
      </c>
      <c r="AB27" s="163">
        <f t="shared" si="22"/>
        <v>5</v>
      </c>
      <c r="AC27" s="166">
        <f t="shared" si="23"/>
        <v>568.97341686204425</v>
      </c>
      <c r="AD27" s="166">
        <f t="shared" si="24"/>
        <v>876.68695192082794</v>
      </c>
      <c r="AE27" s="163"/>
      <c r="AF27" s="163">
        <f t="shared" si="10"/>
        <v>17</v>
      </c>
      <c r="AG27" s="168" t="str">
        <f t="shared" si="11"/>
        <v>N/A</v>
      </c>
      <c r="AH27" s="166">
        <f t="shared" si="12"/>
        <v>744.18431172495798</v>
      </c>
      <c r="AI27" s="166">
        <f t="shared" si="13"/>
        <v>642.61528330558178</v>
      </c>
      <c r="AJ27" s="166">
        <f t="shared" si="14"/>
        <v>856.88025270399748</v>
      </c>
      <c r="AK27" s="168">
        <f t="shared" si="15"/>
        <v>5</v>
      </c>
    </row>
    <row r="28" spans="1:37" x14ac:dyDescent="0.2">
      <c r="A28" s="62" t="s">
        <v>51</v>
      </c>
      <c r="B28" s="62" t="s">
        <v>71</v>
      </c>
      <c r="C28" s="62" t="s">
        <v>200</v>
      </c>
      <c r="D28" s="62"/>
      <c r="E28" s="62">
        <f t="shared" si="2"/>
        <v>23</v>
      </c>
      <c r="F28" s="128" t="s">
        <v>79</v>
      </c>
      <c r="G28" s="129">
        <v>788.75202845319075</v>
      </c>
      <c r="H28" s="129">
        <v>676.74653566010772</v>
      </c>
      <c r="I28" s="129">
        <v>913.6800801265108</v>
      </c>
      <c r="J28" s="129"/>
      <c r="K28" s="129"/>
      <c r="L28" s="129"/>
      <c r="M28" s="60">
        <f t="shared" si="0"/>
        <v>5</v>
      </c>
      <c r="N28" s="61">
        <f t="shared" si="3"/>
        <v>568.97341686204425</v>
      </c>
      <c r="O28" s="61">
        <f t="shared" si="16"/>
        <v>708.717306793185</v>
      </c>
      <c r="P28" s="129">
        <f t="shared" si="4"/>
        <v>742.59383804112838</v>
      </c>
      <c r="Q28" s="129">
        <f t="shared" si="5"/>
        <v>707.83904190733097</v>
      </c>
      <c r="R28" s="129">
        <f t="shared" si="6"/>
        <v>778.58836836202329</v>
      </c>
      <c r="S28" s="61">
        <f t="shared" si="7"/>
        <v>753.51350651618009</v>
      </c>
      <c r="T28" s="61">
        <f t="shared" si="1"/>
        <v>876.68695192082794</v>
      </c>
      <c r="U28" s="61">
        <f t="shared" si="17"/>
        <v>760.12779455305576</v>
      </c>
      <c r="V28" s="61"/>
      <c r="Y28" s="163" t="s">
        <v>42</v>
      </c>
      <c r="Z28" s="163" t="s">
        <v>65</v>
      </c>
      <c r="AA28" s="163" t="s">
        <v>200</v>
      </c>
      <c r="AB28" s="163">
        <f t="shared" si="22"/>
        <v>3</v>
      </c>
      <c r="AC28" s="166">
        <f t="shared" si="23"/>
        <v>568.97341686204425</v>
      </c>
      <c r="AD28" s="166">
        <f t="shared" si="24"/>
        <v>876.68695192082794</v>
      </c>
      <c r="AE28" s="163"/>
      <c r="AF28" s="163">
        <f t="shared" si="10"/>
        <v>3</v>
      </c>
      <c r="AG28" s="168" t="str">
        <f t="shared" si="11"/>
        <v>N/A</v>
      </c>
      <c r="AH28" s="166">
        <f t="shared" si="12"/>
        <v>683.42024649367227</v>
      </c>
      <c r="AI28" s="166">
        <f t="shared" si="13"/>
        <v>542.43581993210069</v>
      </c>
      <c r="AJ28" s="166">
        <f t="shared" si="14"/>
        <v>847.93084710947926</v>
      </c>
      <c r="AK28" s="168">
        <f t="shared" si="15"/>
        <v>5</v>
      </c>
    </row>
    <row r="29" spans="1:37" x14ac:dyDescent="0.2">
      <c r="A29" s="62" t="s">
        <v>52</v>
      </c>
      <c r="B29" s="62" t="s">
        <v>72</v>
      </c>
      <c r="C29" s="62" t="s">
        <v>201</v>
      </c>
      <c r="D29" s="62"/>
      <c r="E29" s="62">
        <f t="shared" si="2"/>
        <v>4</v>
      </c>
      <c r="F29" s="128" t="s">
        <v>79</v>
      </c>
      <c r="G29" s="129">
        <v>694.0469859309801</v>
      </c>
      <c r="H29" s="129">
        <v>532.53305917437092</v>
      </c>
      <c r="I29" s="129">
        <v>887.04101423364432</v>
      </c>
      <c r="J29" s="129"/>
      <c r="K29" s="129"/>
      <c r="L29" s="129"/>
      <c r="M29" s="60">
        <f t="shared" si="0"/>
        <v>5</v>
      </c>
      <c r="N29" s="61">
        <f t="shared" si="3"/>
        <v>568.97341686204425</v>
      </c>
      <c r="O29" s="61">
        <f t="shared" si="16"/>
        <v>708.717306793185</v>
      </c>
      <c r="P29" s="129">
        <f t="shared" si="4"/>
        <v>742.59383804112838</v>
      </c>
      <c r="Q29" s="129">
        <f t="shared" si="5"/>
        <v>707.83904190733097</v>
      </c>
      <c r="R29" s="129">
        <f t="shared" si="6"/>
        <v>778.58836836202329</v>
      </c>
      <c r="S29" s="61">
        <f t="shared" si="7"/>
        <v>753.51350651618009</v>
      </c>
      <c r="T29" s="61">
        <f t="shared" si="1"/>
        <v>876.68695192082794</v>
      </c>
      <c r="U29" s="61">
        <f t="shared" si="17"/>
        <v>745.38513332517823</v>
      </c>
      <c r="V29" s="61"/>
      <c r="Y29" s="163" t="s">
        <v>44</v>
      </c>
      <c r="Z29" s="163" t="s">
        <v>66</v>
      </c>
      <c r="AA29" s="163" t="s">
        <v>200</v>
      </c>
      <c r="AB29" s="163">
        <f t="shared" si="22"/>
        <v>1</v>
      </c>
      <c r="AC29" s="166">
        <f t="shared" si="23"/>
        <v>568.97341686204425</v>
      </c>
      <c r="AD29" s="166">
        <f t="shared" si="24"/>
        <v>876.68695192082794</v>
      </c>
      <c r="AE29" s="163"/>
      <c r="AF29" s="163">
        <f t="shared" si="10"/>
        <v>1</v>
      </c>
      <c r="AG29" s="168" t="str">
        <f t="shared" si="11"/>
        <v>N/A</v>
      </c>
      <c r="AH29" s="166">
        <f t="shared" si="12"/>
        <v>568.97341686204425</v>
      </c>
      <c r="AI29" s="166">
        <f t="shared" si="13"/>
        <v>465.5646612635714</v>
      </c>
      <c r="AJ29" s="166">
        <f t="shared" si="14"/>
        <v>687.62296385671823</v>
      </c>
      <c r="AK29" s="168">
        <f t="shared" si="15"/>
        <v>2</v>
      </c>
    </row>
    <row r="30" spans="1:37" x14ac:dyDescent="0.2">
      <c r="A30" s="62" t="s">
        <v>53</v>
      </c>
      <c r="B30" s="62" t="s">
        <v>162</v>
      </c>
      <c r="C30" s="62" t="s">
        <v>163</v>
      </c>
      <c r="D30" s="62"/>
      <c r="E30" s="62">
        <f t="shared" si="2"/>
        <v>15</v>
      </c>
      <c r="F30" s="128" t="s">
        <v>79</v>
      </c>
      <c r="G30" s="129">
        <v>737.18917085668829</v>
      </c>
      <c r="H30" s="129">
        <v>684.46725825169153</v>
      </c>
      <c r="I30" s="129">
        <v>792.85500534256698</v>
      </c>
      <c r="J30" s="129"/>
      <c r="K30" s="129"/>
      <c r="L30" s="129"/>
      <c r="M30" s="60">
        <f t="shared" si="0"/>
        <v>5</v>
      </c>
      <c r="N30" s="61">
        <f t="shared" si="3"/>
        <v>568.97341686204425</v>
      </c>
      <c r="O30" s="61">
        <f t="shared" si="16"/>
        <v>708.717306793185</v>
      </c>
      <c r="P30" s="129">
        <f>$G$32</f>
        <v>742.59383804112838</v>
      </c>
      <c r="Q30" s="129">
        <f t="shared" si="5"/>
        <v>707.83904190733097</v>
      </c>
      <c r="R30" s="129">
        <f t="shared" si="6"/>
        <v>778.58836836202329</v>
      </c>
      <c r="S30" s="61">
        <f t="shared" si="7"/>
        <v>753.51350651618009</v>
      </c>
      <c r="T30" s="61">
        <f t="shared" si="1"/>
        <v>876.68695192082794</v>
      </c>
      <c r="U30" s="61">
        <f t="shared" si="17"/>
        <v>729.77723876366792</v>
      </c>
      <c r="V30" s="61"/>
      <c r="Y30" s="163" t="s">
        <v>49</v>
      </c>
      <c r="Z30" s="163" t="s">
        <v>70</v>
      </c>
      <c r="AA30" s="163" t="s">
        <v>200</v>
      </c>
      <c r="AB30" s="163">
        <f t="shared" si="22"/>
        <v>2</v>
      </c>
      <c r="AC30" s="166">
        <f t="shared" si="23"/>
        <v>568.97341686204425</v>
      </c>
      <c r="AD30" s="166">
        <f t="shared" si="24"/>
        <v>876.68695192082794</v>
      </c>
      <c r="AE30" s="163"/>
      <c r="AF30" s="163">
        <f t="shared" si="10"/>
        <v>2</v>
      </c>
      <c r="AG30" s="168" t="str">
        <f t="shared" si="11"/>
        <v>N/A</v>
      </c>
      <c r="AH30" s="166">
        <f t="shared" si="12"/>
        <v>624.00579147611677</v>
      </c>
      <c r="AI30" s="166">
        <f t="shared" si="13"/>
        <v>544.82245997324935</v>
      </c>
      <c r="AJ30" s="166">
        <f t="shared" si="14"/>
        <v>711.13301925588064</v>
      </c>
      <c r="AK30" s="168">
        <f t="shared" si="15"/>
        <v>5</v>
      </c>
    </row>
    <row r="31" spans="1:37" x14ac:dyDescent="0.2">
      <c r="A31" s="62" t="s">
        <v>54</v>
      </c>
      <c r="B31" s="62" t="s">
        <v>73</v>
      </c>
      <c r="C31" s="62" t="s">
        <v>201</v>
      </c>
      <c r="D31" s="62"/>
      <c r="E31" s="62">
        <f t="shared" si="2"/>
        <v>5</v>
      </c>
      <c r="F31" s="128" t="s">
        <v>79</v>
      </c>
      <c r="G31" s="129">
        <v>703.88824049517166</v>
      </c>
      <c r="H31" s="129">
        <v>608.52753347038436</v>
      </c>
      <c r="I31" s="129">
        <v>809.72293582363318</v>
      </c>
      <c r="J31" s="129"/>
      <c r="K31" s="129"/>
      <c r="L31" s="129"/>
      <c r="M31" s="60">
        <f t="shared" si="0"/>
        <v>5</v>
      </c>
      <c r="N31" s="61">
        <f t="shared" si="3"/>
        <v>568.97341686204425</v>
      </c>
      <c r="O31" s="61">
        <f t="shared" si="16"/>
        <v>708.717306793185</v>
      </c>
      <c r="P31" s="129">
        <f t="shared" si="4"/>
        <v>742.59383804112838</v>
      </c>
      <c r="Q31" s="129">
        <f t="shared" si="5"/>
        <v>707.83904190733097</v>
      </c>
      <c r="R31" s="129">
        <f t="shared" si="6"/>
        <v>778.58836836202329</v>
      </c>
      <c r="S31" s="61">
        <f t="shared" si="7"/>
        <v>753.51350651618009</v>
      </c>
      <c r="T31" s="61">
        <f t="shared" si="1"/>
        <v>876.68695192082794</v>
      </c>
      <c r="U31" s="61">
        <f t="shared" si="17"/>
        <v>745.38513332517823</v>
      </c>
      <c r="V31" s="61"/>
      <c r="Y31" s="163" t="s">
        <v>51</v>
      </c>
      <c r="Z31" s="163" t="s">
        <v>71</v>
      </c>
      <c r="AA31" s="163" t="s">
        <v>200</v>
      </c>
      <c r="AB31" s="163">
        <f t="shared" si="22"/>
        <v>8</v>
      </c>
      <c r="AC31" s="166">
        <f t="shared" si="23"/>
        <v>568.97341686204425</v>
      </c>
      <c r="AD31" s="166">
        <f t="shared" si="24"/>
        <v>876.68695192082794</v>
      </c>
      <c r="AE31" s="163"/>
      <c r="AF31" s="163">
        <f t="shared" si="10"/>
        <v>23</v>
      </c>
      <c r="AG31" s="168" t="str">
        <f t="shared" si="11"/>
        <v>N/A</v>
      </c>
      <c r="AH31" s="166">
        <f t="shared" si="12"/>
        <v>788.75202845319075</v>
      </c>
      <c r="AI31" s="166">
        <f t="shared" si="13"/>
        <v>676.74653566010772</v>
      </c>
      <c r="AJ31" s="166">
        <f t="shared" si="14"/>
        <v>913.6800801265108</v>
      </c>
      <c r="AK31" s="168">
        <f t="shared" si="15"/>
        <v>5</v>
      </c>
    </row>
    <row r="32" spans="1:37" x14ac:dyDescent="0.2">
      <c r="A32" s="62"/>
      <c r="B32" s="62" t="s">
        <v>171</v>
      </c>
      <c r="C32" s="62"/>
      <c r="D32" s="62"/>
      <c r="E32" s="62"/>
      <c r="F32" s="128">
        <v>1782</v>
      </c>
      <c r="G32" s="129">
        <v>742.59383804112838</v>
      </c>
      <c r="H32" s="129">
        <v>707.83904190733097</v>
      </c>
      <c r="I32" s="129">
        <v>778.58836836202329</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245" t="s">
        <v>274</v>
      </c>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743</v>
      </c>
      <c r="G44" s="129">
        <v>729.77723876366792</v>
      </c>
      <c r="H44" s="129">
        <v>677.64596348288785</v>
      </c>
      <c r="I44" s="129">
        <v>784.81945551819888</v>
      </c>
      <c r="J44" s="129">
        <f>VLOOKUP($C44,$AA$6:$AD$13,3,FALSE)</f>
        <v>708.717306793185</v>
      </c>
      <c r="K44" s="129">
        <f>VLOOKUP($C44,$AA$6:$AD$13,4,FALSE)</f>
        <v>775.64983244508687</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5</v>
      </c>
      <c r="N44" s="61">
        <f>MIN($G$6:$G$31)</f>
        <v>568.97341686204425</v>
      </c>
      <c r="O44" s="61">
        <f>VLOOKUP(7,$E$5:$G$39,3,FALSE)</f>
        <v>708.717306793185</v>
      </c>
      <c r="P44" s="129">
        <f>$G$32</f>
        <v>742.59383804112838</v>
      </c>
      <c r="Q44" s="129">
        <f>$H$32</f>
        <v>707.83904190733097</v>
      </c>
      <c r="R44" s="129">
        <f>$I$32</f>
        <v>778.58836836202329</v>
      </c>
      <c r="S44" s="61">
        <f>VLOOKUP(20,$E$5:$G$39,3,FALSE)</f>
        <v>753.51350651618009</v>
      </c>
      <c r="T44" s="61">
        <f>MAX($G$6:$G$31)</f>
        <v>876.68695192082794</v>
      </c>
    </row>
    <row r="45" spans="1:22" x14ac:dyDescent="0.2">
      <c r="C45" s="62" t="s">
        <v>201</v>
      </c>
      <c r="D45" s="62"/>
      <c r="E45" s="62"/>
      <c r="F45" s="128">
        <v>460</v>
      </c>
      <c r="G45" s="129">
        <v>745.38513332517823</v>
      </c>
      <c r="H45" s="129">
        <v>676.72137434702677</v>
      </c>
      <c r="I45" s="129">
        <v>818.96192472410496</v>
      </c>
      <c r="J45" s="129">
        <f>VLOOKUP($C45,$AA$14:$AD$22,3,FALSE)</f>
        <v>694.0469859309801</v>
      </c>
      <c r="K45" s="129">
        <f>VLOOKUP($C45,$AA$14:$AD$22,4,FALSE)</f>
        <v>849.96393502493186</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5</v>
      </c>
      <c r="N45" s="61">
        <f>MIN($G$6:$G$31)</f>
        <v>568.97341686204425</v>
      </c>
      <c r="O45" s="61">
        <f>VLOOKUP(7,$E$5:$G$39,3,FALSE)</f>
        <v>708.717306793185</v>
      </c>
      <c r="P45" s="129">
        <f>$G$32</f>
        <v>742.59383804112838</v>
      </c>
      <c r="Q45" s="129">
        <f t="shared" ref="Q45:Q46" si="25">$H$32</f>
        <v>707.83904190733097</v>
      </c>
      <c r="R45" s="129">
        <f t="shared" ref="R45:R46" si="26">$I$32</f>
        <v>778.58836836202329</v>
      </c>
      <c r="S45" s="61">
        <f>VLOOKUP(20,$E$5:$G$39,3,FALSE)</f>
        <v>753.51350651618009</v>
      </c>
      <c r="T45" s="61">
        <f t="shared" ref="T45:T46" si="27">MAX($G$6:$G$31)</f>
        <v>876.68695192082794</v>
      </c>
    </row>
    <row r="46" spans="1:22" x14ac:dyDescent="0.2">
      <c r="C46" s="62" t="s">
        <v>200</v>
      </c>
      <c r="D46" s="62"/>
      <c r="E46" s="62"/>
      <c r="F46" s="128">
        <v>579</v>
      </c>
      <c r="G46" s="129">
        <v>760.12779455305576</v>
      </c>
      <c r="H46" s="129">
        <v>697.80033785763885</v>
      </c>
      <c r="I46" s="129">
        <v>826.41365147844465</v>
      </c>
      <c r="J46" s="129">
        <f>VLOOKUP($C46,$AA$23:$AD$31,3,FALSE)</f>
        <v>568.97341686204425</v>
      </c>
      <c r="K46" s="129">
        <f>VLOOKUP($C46,$AA$23:$AD$31,4,FALSE)</f>
        <v>876.68695192082794</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5</v>
      </c>
      <c r="N46" s="61">
        <f>MIN($G$6:$G$31)</f>
        <v>568.97341686204425</v>
      </c>
      <c r="O46" s="61">
        <f>VLOOKUP(7,$E$5:$G$39,3,FALSE)</f>
        <v>708.717306793185</v>
      </c>
      <c r="P46" s="129">
        <f t="shared" ref="P46" si="28">$G$32</f>
        <v>742.59383804112838</v>
      </c>
      <c r="Q46" s="129">
        <f t="shared" si="25"/>
        <v>707.83904190733097</v>
      </c>
      <c r="R46" s="129">
        <f t="shared" si="26"/>
        <v>778.58836836202329</v>
      </c>
      <c r="S46" s="61">
        <f>VLOOKUP(20,$E$5:$G$39,3,FALSE)</f>
        <v>753.51350651618009</v>
      </c>
      <c r="T46" s="61">
        <f t="shared" si="27"/>
        <v>876.68695192082794</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K2:N2" xr:uid="{00000000-0002-0000-1D00-000000000000}">
      <formula1>"High = Worst,Low = Worst"</formula1>
    </dataValidation>
    <dataValidation type="list" allowBlank="1" showInputMessage="1" showErrorMessage="1" sqref="C2:D2" xr:uid="{00000000-0002-0000-1D00-000001000000}">
      <formula1>"Better / Worse,Higher / Lower,Significance not measured"</formula1>
    </dataValidation>
  </dataValidations>
  <pageMargins left="0.75" right="0.75" top="1" bottom="1" header="0.5" footer="0.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theme="6" tint="0.39997558519241921"/>
  </sheetPr>
  <dimension ref="A1:AK55"/>
  <sheetViews>
    <sheetView workbookViewId="0">
      <selection activeCell="F92" sqref="F92"/>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8" width="7.33203125" style="21" customWidth="1"/>
    <col min="9" max="9" width="6.886718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5.554687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6</v>
      </c>
      <c r="F6" s="128" t="s">
        <v>79</v>
      </c>
      <c r="G6" s="129">
        <v>506.13705996042773</v>
      </c>
      <c r="H6" s="129">
        <v>426.48679951276904</v>
      </c>
      <c r="I6" s="129">
        <v>596.06215106172738</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5</v>
      </c>
      <c r="N6" s="61">
        <f>MIN($G$6:$G$32)</f>
        <v>461.93502392399483</v>
      </c>
      <c r="O6" s="61">
        <f>VLOOKUP(7,$E$5:$G$39,3,FALSE)</f>
        <v>520.12162838408153</v>
      </c>
      <c r="P6" s="129">
        <f>$G$32</f>
        <v>587.10505122555446</v>
      </c>
      <c r="Q6" s="129">
        <f>$H$32</f>
        <v>559.07102623776188</v>
      </c>
      <c r="R6" s="129">
        <f>$I$32</f>
        <v>616.16585238294499</v>
      </c>
      <c r="S6" s="61">
        <f>VLOOKUP(20,$E$5:$G$39,3,FALSE)</f>
        <v>617.87494574764378</v>
      </c>
      <c r="T6" s="61">
        <f t="shared" ref="T6:T31" si="1">MAX($G$6:$G$31)</f>
        <v>718.04480255815304</v>
      </c>
      <c r="U6" s="61">
        <f>VLOOKUP(C6,$C$43:$I$46,5,FALSE)</f>
        <v>529.06842359897689</v>
      </c>
      <c r="V6" s="61"/>
      <c r="Y6" s="159" t="s">
        <v>33</v>
      </c>
      <c r="Z6" s="159" t="s">
        <v>58</v>
      </c>
      <c r="AA6" s="159" t="s">
        <v>163</v>
      </c>
      <c r="AB6" s="159">
        <f>RANK(AH6,$AH$6:$AH$13,1)</f>
        <v>7</v>
      </c>
      <c r="AC6" s="164">
        <f>MIN($AH$6:$AH$13)</f>
        <v>565.69288517549217</v>
      </c>
      <c r="AD6" s="164">
        <f>MAX($AH$6:$AH$13)</f>
        <v>633.50858126713149</v>
      </c>
      <c r="AE6" s="159"/>
      <c r="AF6" s="159">
        <f>VLOOKUP($Y6,$A$6:$I$31,5,FALSE)</f>
        <v>24</v>
      </c>
      <c r="AG6" s="160" t="str">
        <f>VLOOKUP($Y6,$A$6:$I$31,6,FALSE)</f>
        <v>N/A</v>
      </c>
      <c r="AH6" s="161">
        <f>VLOOKUP($Y6,$A$6:$I$31,7,FALSE)</f>
        <v>631.77888225865968</v>
      </c>
      <c r="AI6" s="161">
        <f>VLOOKUP($Y6,$A$6:$I$31,8,FALSE)</f>
        <v>579.08541615672129</v>
      </c>
      <c r="AJ6" s="161">
        <f>VLOOKUP($Y6,$A$6:$I$31,9,FALSE)</f>
        <v>687.94520003914988</v>
      </c>
      <c r="AK6" s="160">
        <f>VLOOKUP($Y6,$A$6:$M$31,13,FALSE)</f>
        <v>5</v>
      </c>
    </row>
    <row r="7" spans="1:37" x14ac:dyDescent="0.2">
      <c r="A7" s="62" t="s">
        <v>30</v>
      </c>
      <c r="B7" s="62" t="s">
        <v>56</v>
      </c>
      <c r="C7" s="62" t="s">
        <v>200</v>
      </c>
      <c r="D7" s="62"/>
      <c r="E7" s="62">
        <f t="shared" ref="E7:E31" si="2">RANK(G7,$G$6:$G$31,1)</f>
        <v>26</v>
      </c>
      <c r="F7" s="128" t="s">
        <v>79</v>
      </c>
      <c r="G7" s="129">
        <v>718.04480255815304</v>
      </c>
      <c r="H7" s="129">
        <v>630.69260784079427</v>
      </c>
      <c r="I7" s="129">
        <v>813.99287317417009</v>
      </c>
      <c r="J7" s="129"/>
      <c r="K7" s="129"/>
      <c r="L7" s="129"/>
      <c r="M7" s="60">
        <f t="shared" si="0"/>
        <v>1</v>
      </c>
      <c r="N7" s="61">
        <f t="shared" ref="N7:N31" si="3">MIN($G$6:$G$32)</f>
        <v>461.93502392399483</v>
      </c>
      <c r="O7" s="61">
        <f>VLOOKUP(7,$E$5:$G$39,3,FALSE)</f>
        <v>520.12162838408153</v>
      </c>
      <c r="P7" s="129">
        <f t="shared" ref="P7:P31" si="4">$G$32</f>
        <v>587.10505122555446</v>
      </c>
      <c r="Q7" s="129">
        <f t="shared" ref="Q7:Q31" si="5">$H$32</f>
        <v>559.07102623776188</v>
      </c>
      <c r="R7" s="129">
        <f t="shared" ref="R7:R31" si="6">$I$32</f>
        <v>616.16585238294499</v>
      </c>
      <c r="S7" s="61">
        <f t="shared" ref="S7:S31" si="7">VLOOKUP(20,$E$5:$G$39,3,FALSE)</f>
        <v>617.87494574764378</v>
      </c>
      <c r="T7" s="61">
        <f t="shared" si="1"/>
        <v>718.04480255815304</v>
      </c>
      <c r="U7" s="61">
        <f>VLOOKUP(C7,$C$43:$I$46,5,FALSE)</f>
        <v>603.75152751013616</v>
      </c>
      <c r="V7" s="61"/>
      <c r="Y7" s="159" t="s">
        <v>35</v>
      </c>
      <c r="Z7" s="159" t="s">
        <v>60</v>
      </c>
      <c r="AA7" s="159" t="s">
        <v>163</v>
      </c>
      <c r="AB7" s="159">
        <f t="shared" ref="AB7:AB12" si="8">RANK(AH7,$AH$6:$AH$13,1)</f>
        <v>8</v>
      </c>
      <c r="AC7" s="164">
        <f>MIN($AH$6:$AH$13)</f>
        <v>565.69288517549217</v>
      </c>
      <c r="AD7" s="164">
        <f t="shared" ref="AD7:AD13" si="9">MAX($AH$6:$AH$13)</f>
        <v>633.50858126713149</v>
      </c>
      <c r="AE7" s="159"/>
      <c r="AF7" s="159">
        <f t="shared" ref="AF7:AF31" si="10">VLOOKUP($Y7,$A$6:$I$31,5,FALSE)</f>
        <v>25</v>
      </c>
      <c r="AG7" s="160" t="str">
        <f t="shared" ref="AG7:AG31" si="11">VLOOKUP($Y7,$A$6:$I$31,6,FALSE)</f>
        <v>N/A</v>
      </c>
      <c r="AH7" s="161">
        <f t="shared" ref="AH7:AH31" si="12">VLOOKUP($Y7,$A$6:$I$31,7,FALSE)</f>
        <v>633.50858126713149</v>
      </c>
      <c r="AI7" s="161">
        <f t="shared" ref="AI7:AI31" si="13">VLOOKUP($Y7,$A$6:$I$31,8,FALSE)</f>
        <v>574.3585160313105</v>
      </c>
      <c r="AJ7" s="161">
        <f t="shared" ref="AJ7:AJ31" si="14">VLOOKUP($Y7,$A$6:$I$31,9,FALSE)</f>
        <v>697.05789242892479</v>
      </c>
      <c r="AK7" s="160">
        <f t="shared" ref="AK7:AK31" si="15">VLOOKUP($Y7,$A$6:$M$31,13,FALSE)</f>
        <v>5</v>
      </c>
    </row>
    <row r="8" spans="1:37" x14ac:dyDescent="0.2">
      <c r="A8" s="62" t="s">
        <v>31</v>
      </c>
      <c r="B8" s="62" t="s">
        <v>57</v>
      </c>
      <c r="C8" s="62" t="s">
        <v>200</v>
      </c>
      <c r="D8" s="62"/>
      <c r="E8" s="62">
        <f t="shared" si="2"/>
        <v>16</v>
      </c>
      <c r="F8" s="128" t="s">
        <v>79</v>
      </c>
      <c r="G8" s="129">
        <v>596.66144534322098</v>
      </c>
      <c r="H8" s="129">
        <v>547.3224085697783</v>
      </c>
      <c r="I8" s="129">
        <v>649.20637213538305</v>
      </c>
      <c r="J8" s="129"/>
      <c r="K8" s="129"/>
      <c r="L8" s="129"/>
      <c r="M8" s="60">
        <f t="shared" si="0"/>
        <v>5</v>
      </c>
      <c r="N8" s="61">
        <f t="shared" si="3"/>
        <v>461.93502392399483</v>
      </c>
      <c r="O8" s="61">
        <f t="shared" ref="O8:O31" si="16">VLOOKUP(7,$E$5:$G$39,3,FALSE)</f>
        <v>520.12162838408153</v>
      </c>
      <c r="P8" s="129">
        <f t="shared" si="4"/>
        <v>587.10505122555446</v>
      </c>
      <c r="Q8" s="129">
        <f t="shared" si="5"/>
        <v>559.07102623776188</v>
      </c>
      <c r="R8" s="129">
        <f t="shared" si="6"/>
        <v>616.16585238294499</v>
      </c>
      <c r="S8" s="61">
        <f t="shared" si="7"/>
        <v>617.87494574764378</v>
      </c>
      <c r="T8" s="61">
        <f t="shared" si="1"/>
        <v>718.04480255815304</v>
      </c>
      <c r="U8" s="61">
        <f t="shared" ref="U8:U31" si="17">VLOOKUP(C8,$C$43:$I$46,5,FALSE)</f>
        <v>603.75152751013616</v>
      </c>
      <c r="V8" s="61"/>
      <c r="Y8" s="159" t="s">
        <v>41</v>
      </c>
      <c r="Z8" s="159" t="s">
        <v>64</v>
      </c>
      <c r="AA8" s="159" t="s">
        <v>163</v>
      </c>
      <c r="AB8" s="159">
        <f t="shared" si="8"/>
        <v>6</v>
      </c>
      <c r="AC8" s="164">
        <f t="shared" ref="AC8:AC13" si="18">MIN($AH$6:$AH$13)</f>
        <v>565.69288517549217</v>
      </c>
      <c r="AD8" s="164">
        <f>MAX($AH$6:$AH$13)</f>
        <v>633.50858126713149</v>
      </c>
      <c r="AE8" s="159"/>
      <c r="AF8" s="159">
        <f t="shared" si="10"/>
        <v>23</v>
      </c>
      <c r="AG8" s="160" t="str">
        <f t="shared" si="11"/>
        <v>N/A</v>
      </c>
      <c r="AH8" s="161">
        <f t="shared" si="12"/>
        <v>630.13515451999024</v>
      </c>
      <c r="AI8" s="161">
        <f t="shared" si="13"/>
        <v>574.64141525486218</v>
      </c>
      <c r="AJ8" s="161">
        <f t="shared" si="14"/>
        <v>689.50863117333847</v>
      </c>
      <c r="AK8" s="160">
        <f t="shared" si="15"/>
        <v>5</v>
      </c>
    </row>
    <row r="9" spans="1:37" x14ac:dyDescent="0.2">
      <c r="A9" s="62" t="s">
        <v>32</v>
      </c>
      <c r="B9" s="62" t="s">
        <v>156</v>
      </c>
      <c r="C9" s="62" t="s">
        <v>201</v>
      </c>
      <c r="D9" s="62"/>
      <c r="E9" s="62">
        <f t="shared" si="2"/>
        <v>15</v>
      </c>
      <c r="F9" s="128" t="s">
        <v>79</v>
      </c>
      <c r="G9" s="129">
        <v>587.9801244535355</v>
      </c>
      <c r="H9" s="129">
        <v>531.18372102685282</v>
      </c>
      <c r="I9" s="129">
        <v>649.0854884980439</v>
      </c>
      <c r="J9" s="129"/>
      <c r="K9" s="129"/>
      <c r="L9" s="129"/>
      <c r="M9" s="60">
        <f t="shared" si="0"/>
        <v>5</v>
      </c>
      <c r="N9" s="61">
        <f t="shared" si="3"/>
        <v>461.93502392399483</v>
      </c>
      <c r="O9" s="61">
        <f t="shared" si="16"/>
        <v>520.12162838408153</v>
      </c>
      <c r="P9" s="129">
        <f t="shared" si="4"/>
        <v>587.10505122555446</v>
      </c>
      <c r="Q9" s="129">
        <f t="shared" si="5"/>
        <v>559.07102623776188</v>
      </c>
      <c r="R9" s="129">
        <f t="shared" si="6"/>
        <v>616.16585238294499</v>
      </c>
      <c r="S9" s="61">
        <f t="shared" si="7"/>
        <v>617.87494574764378</v>
      </c>
      <c r="T9" s="61">
        <f t="shared" si="1"/>
        <v>718.04480255815304</v>
      </c>
      <c r="U9" s="61">
        <f t="shared" si="17"/>
        <v>529.06842359897689</v>
      </c>
      <c r="V9" s="61"/>
      <c r="X9" s="63"/>
      <c r="Y9" s="159" t="s">
        <v>45</v>
      </c>
      <c r="Z9" s="159" t="s">
        <v>67</v>
      </c>
      <c r="AA9" s="159" t="s">
        <v>163</v>
      </c>
      <c r="AB9" s="159">
        <f t="shared" si="8"/>
        <v>3</v>
      </c>
      <c r="AC9" s="164">
        <f t="shared" si="18"/>
        <v>565.69288517549217</v>
      </c>
      <c r="AD9" s="164">
        <f t="shared" si="9"/>
        <v>633.50858126713149</v>
      </c>
      <c r="AE9" s="159"/>
      <c r="AF9" s="159">
        <f t="shared" si="10"/>
        <v>19</v>
      </c>
      <c r="AG9" s="160" t="str">
        <f t="shared" si="11"/>
        <v>N/A</v>
      </c>
      <c r="AH9" s="161">
        <f t="shared" si="12"/>
        <v>617.2222770633025</v>
      </c>
      <c r="AI9" s="161">
        <f t="shared" si="13"/>
        <v>554.55494904373529</v>
      </c>
      <c r="AJ9" s="161">
        <f t="shared" si="14"/>
        <v>684.98383260511423</v>
      </c>
      <c r="AK9" s="160">
        <f t="shared" si="15"/>
        <v>5</v>
      </c>
    </row>
    <row r="10" spans="1:37" x14ac:dyDescent="0.2">
      <c r="A10" s="62" t="s">
        <v>33</v>
      </c>
      <c r="B10" s="62" t="s">
        <v>58</v>
      </c>
      <c r="C10" s="62" t="s">
        <v>163</v>
      </c>
      <c r="D10" s="62"/>
      <c r="E10" s="62">
        <f t="shared" si="2"/>
        <v>24</v>
      </c>
      <c r="F10" s="128" t="s">
        <v>79</v>
      </c>
      <c r="G10" s="129">
        <v>631.77888225865968</v>
      </c>
      <c r="H10" s="129">
        <v>579.08541615672129</v>
      </c>
      <c r="I10" s="129">
        <v>687.94520003914988</v>
      </c>
      <c r="J10" s="129"/>
      <c r="K10" s="129"/>
      <c r="L10" s="129"/>
      <c r="M10" s="60">
        <f t="shared" si="0"/>
        <v>5</v>
      </c>
      <c r="N10" s="61">
        <f t="shared" si="3"/>
        <v>461.93502392399483</v>
      </c>
      <c r="O10" s="61">
        <f t="shared" si="16"/>
        <v>520.12162838408153</v>
      </c>
      <c r="P10" s="129">
        <f t="shared" si="4"/>
        <v>587.10505122555446</v>
      </c>
      <c r="Q10" s="129">
        <f t="shared" si="5"/>
        <v>559.07102623776188</v>
      </c>
      <c r="R10" s="129">
        <f t="shared" si="6"/>
        <v>616.16585238294499</v>
      </c>
      <c r="S10" s="61">
        <f t="shared" si="7"/>
        <v>617.87494574764378</v>
      </c>
      <c r="T10" s="61">
        <f t="shared" si="1"/>
        <v>718.04480255815304</v>
      </c>
      <c r="U10" s="61">
        <f t="shared" si="17"/>
        <v>610.11984226579921</v>
      </c>
      <c r="V10" s="61"/>
      <c r="Y10" s="159" t="s">
        <v>46</v>
      </c>
      <c r="Z10" s="159" t="s">
        <v>68</v>
      </c>
      <c r="AA10" s="159" t="s">
        <v>163</v>
      </c>
      <c r="AB10" s="159">
        <f t="shared" si="8"/>
        <v>4</v>
      </c>
      <c r="AC10" s="164">
        <f t="shared" si="18"/>
        <v>565.69288517549217</v>
      </c>
      <c r="AD10" s="164">
        <f t="shared" si="9"/>
        <v>633.50858126713149</v>
      </c>
      <c r="AE10" s="159"/>
      <c r="AF10" s="159">
        <f t="shared" si="10"/>
        <v>20</v>
      </c>
      <c r="AG10" s="160" t="str">
        <f t="shared" si="11"/>
        <v>N/A</v>
      </c>
      <c r="AH10" s="161">
        <f t="shared" si="12"/>
        <v>617.87494574764378</v>
      </c>
      <c r="AI10" s="161">
        <f t="shared" si="13"/>
        <v>563.71806518944152</v>
      </c>
      <c r="AJ10" s="161">
        <f t="shared" si="14"/>
        <v>675.79783945158783</v>
      </c>
      <c r="AK10" s="160">
        <f t="shared" si="15"/>
        <v>5</v>
      </c>
    </row>
    <row r="11" spans="1:37" x14ac:dyDescent="0.2">
      <c r="A11" s="62" t="s">
        <v>34</v>
      </c>
      <c r="B11" s="62" t="s">
        <v>59</v>
      </c>
      <c r="C11" s="62" t="s">
        <v>200</v>
      </c>
      <c r="D11" s="62"/>
      <c r="E11" s="62">
        <f t="shared" si="2"/>
        <v>13</v>
      </c>
      <c r="F11" s="128" t="s">
        <v>79</v>
      </c>
      <c r="G11" s="129">
        <v>578.61890947929953</v>
      </c>
      <c r="H11" s="129">
        <v>526.46064820620006</v>
      </c>
      <c r="I11" s="129">
        <v>634.48417276826217</v>
      </c>
      <c r="J11" s="129"/>
      <c r="K11" s="129"/>
      <c r="L11" s="129"/>
      <c r="M11" s="60">
        <f t="shared" si="0"/>
        <v>5</v>
      </c>
      <c r="N11" s="61">
        <f t="shared" si="3"/>
        <v>461.93502392399483</v>
      </c>
      <c r="O11" s="61">
        <f t="shared" si="16"/>
        <v>520.12162838408153</v>
      </c>
      <c r="P11" s="129">
        <f t="shared" si="4"/>
        <v>587.10505122555446</v>
      </c>
      <c r="Q11" s="129">
        <f t="shared" si="5"/>
        <v>559.07102623776188</v>
      </c>
      <c r="R11" s="129">
        <f t="shared" si="6"/>
        <v>616.16585238294499</v>
      </c>
      <c r="S11" s="61">
        <f t="shared" si="7"/>
        <v>617.87494574764378</v>
      </c>
      <c r="T11" s="61">
        <f t="shared" si="1"/>
        <v>718.04480255815304</v>
      </c>
      <c r="U11" s="61">
        <f t="shared" si="17"/>
        <v>603.75152751013616</v>
      </c>
      <c r="V11" s="61"/>
      <c r="Y11" s="159" t="s">
        <v>47</v>
      </c>
      <c r="Z11" s="159" t="s">
        <v>69</v>
      </c>
      <c r="AA11" s="159" t="s">
        <v>163</v>
      </c>
      <c r="AB11" s="159">
        <f t="shared" si="8"/>
        <v>5</v>
      </c>
      <c r="AC11" s="164">
        <f t="shared" si="18"/>
        <v>565.69288517549217</v>
      </c>
      <c r="AD11" s="164">
        <f t="shared" si="9"/>
        <v>633.50858126713149</v>
      </c>
      <c r="AE11" s="159"/>
      <c r="AF11" s="159">
        <f t="shared" si="10"/>
        <v>22</v>
      </c>
      <c r="AG11" s="160" t="str">
        <f t="shared" si="11"/>
        <v>N/A</v>
      </c>
      <c r="AH11" s="161">
        <f t="shared" si="12"/>
        <v>628.39799453545936</v>
      </c>
      <c r="AI11" s="161">
        <f t="shared" si="13"/>
        <v>497.69851456479222</v>
      </c>
      <c r="AJ11" s="161">
        <f t="shared" si="14"/>
        <v>782.77280361099599</v>
      </c>
      <c r="AK11" s="160">
        <f t="shared" si="15"/>
        <v>5</v>
      </c>
    </row>
    <row r="12" spans="1:37" x14ac:dyDescent="0.2">
      <c r="A12" s="62" t="s">
        <v>35</v>
      </c>
      <c r="B12" s="62" t="s">
        <v>60</v>
      </c>
      <c r="C12" s="62" t="s">
        <v>163</v>
      </c>
      <c r="D12" s="62"/>
      <c r="E12" s="62">
        <f t="shared" si="2"/>
        <v>25</v>
      </c>
      <c r="F12" s="128" t="s">
        <v>79</v>
      </c>
      <c r="G12" s="129">
        <v>633.50858126713149</v>
      </c>
      <c r="H12" s="129">
        <v>574.3585160313105</v>
      </c>
      <c r="I12" s="129">
        <v>697.05789242892479</v>
      </c>
      <c r="J12" s="129"/>
      <c r="K12" s="129"/>
      <c r="L12" s="129"/>
      <c r="M12" s="60">
        <f t="shared" si="0"/>
        <v>5</v>
      </c>
      <c r="N12" s="61">
        <f t="shared" si="3"/>
        <v>461.93502392399483</v>
      </c>
      <c r="O12" s="61">
        <f t="shared" si="16"/>
        <v>520.12162838408153</v>
      </c>
      <c r="P12" s="129">
        <f t="shared" si="4"/>
        <v>587.10505122555446</v>
      </c>
      <c r="Q12" s="129">
        <f t="shared" si="5"/>
        <v>559.07102623776188</v>
      </c>
      <c r="R12" s="129">
        <f t="shared" si="6"/>
        <v>616.16585238294499</v>
      </c>
      <c r="S12" s="61">
        <f t="shared" si="7"/>
        <v>617.87494574764378</v>
      </c>
      <c r="T12" s="61">
        <f t="shared" si="1"/>
        <v>718.04480255815304</v>
      </c>
      <c r="U12" s="61">
        <f t="shared" si="17"/>
        <v>610.11984226579921</v>
      </c>
      <c r="V12" s="61"/>
      <c r="Y12" s="159" t="s">
        <v>50</v>
      </c>
      <c r="Z12" s="159" t="s">
        <v>161</v>
      </c>
      <c r="AA12" s="159" t="s">
        <v>163</v>
      </c>
      <c r="AB12" s="159">
        <f t="shared" si="8"/>
        <v>1</v>
      </c>
      <c r="AC12" s="164">
        <f t="shared" si="18"/>
        <v>565.69288517549217</v>
      </c>
      <c r="AD12" s="164">
        <f t="shared" si="9"/>
        <v>633.50858126713149</v>
      </c>
      <c r="AE12" s="159"/>
      <c r="AF12" s="159">
        <f t="shared" si="10"/>
        <v>11</v>
      </c>
      <c r="AG12" s="160" t="str">
        <f t="shared" si="11"/>
        <v>N/A</v>
      </c>
      <c r="AH12" s="161">
        <f t="shared" si="12"/>
        <v>565.69288517549217</v>
      </c>
      <c r="AI12" s="161">
        <f t="shared" si="13"/>
        <v>493.70149084790717</v>
      </c>
      <c r="AJ12" s="161">
        <f t="shared" si="14"/>
        <v>645.12088515761968</v>
      </c>
      <c r="AK12" s="160">
        <f t="shared" si="15"/>
        <v>5</v>
      </c>
    </row>
    <row r="13" spans="1:37" x14ac:dyDescent="0.2">
      <c r="A13" s="62" t="s">
        <v>36</v>
      </c>
      <c r="B13" s="62" t="s">
        <v>61</v>
      </c>
      <c r="C13" s="62" t="s">
        <v>201</v>
      </c>
      <c r="D13" s="62"/>
      <c r="E13" s="62">
        <f t="shared" si="2"/>
        <v>5</v>
      </c>
      <c r="F13" s="128" t="s">
        <v>79</v>
      </c>
      <c r="G13" s="129">
        <v>505.79427911087311</v>
      </c>
      <c r="H13" s="129">
        <v>443.77377428823723</v>
      </c>
      <c r="I13" s="129">
        <v>573.73372329485164</v>
      </c>
      <c r="J13" s="129"/>
      <c r="K13" s="129"/>
      <c r="L13" s="129"/>
      <c r="M13" s="60">
        <f t="shared" si="0"/>
        <v>5</v>
      </c>
      <c r="N13" s="61">
        <f t="shared" si="3"/>
        <v>461.93502392399483</v>
      </c>
      <c r="O13" s="61">
        <f t="shared" si="16"/>
        <v>520.12162838408153</v>
      </c>
      <c r="P13" s="129">
        <f t="shared" si="4"/>
        <v>587.10505122555446</v>
      </c>
      <c r="Q13" s="129">
        <f t="shared" si="5"/>
        <v>559.07102623776188</v>
      </c>
      <c r="R13" s="129">
        <f t="shared" si="6"/>
        <v>616.16585238294499</v>
      </c>
      <c r="S13" s="61">
        <f t="shared" si="7"/>
        <v>617.87494574764378</v>
      </c>
      <c r="T13" s="61">
        <f t="shared" si="1"/>
        <v>718.04480255815304</v>
      </c>
      <c r="U13" s="61">
        <f t="shared" si="17"/>
        <v>529.06842359897689</v>
      </c>
      <c r="V13" s="61"/>
      <c r="Y13" s="159" t="s">
        <v>53</v>
      </c>
      <c r="Z13" s="159" t="s">
        <v>162</v>
      </c>
      <c r="AA13" s="159" t="s">
        <v>163</v>
      </c>
      <c r="AB13" s="159">
        <f>RANK(AH13,$AH$6:$AH$13,1)</f>
        <v>2</v>
      </c>
      <c r="AC13" s="164">
        <f t="shared" si="18"/>
        <v>565.69288517549217</v>
      </c>
      <c r="AD13" s="164">
        <f t="shared" si="9"/>
        <v>633.50858126713149</v>
      </c>
      <c r="AE13" s="159"/>
      <c r="AF13" s="159">
        <f t="shared" si="10"/>
        <v>17</v>
      </c>
      <c r="AG13" s="160" t="str">
        <f t="shared" si="11"/>
        <v>N/A</v>
      </c>
      <c r="AH13" s="161">
        <f t="shared" si="12"/>
        <v>602.26344938579757</v>
      </c>
      <c r="AI13" s="161">
        <f t="shared" si="13"/>
        <v>558.91844035561269</v>
      </c>
      <c r="AJ13" s="161">
        <f t="shared" si="14"/>
        <v>648.05608741507933</v>
      </c>
      <c r="AK13" s="160">
        <f t="shared" si="15"/>
        <v>5</v>
      </c>
    </row>
    <row r="14" spans="1:37" x14ac:dyDescent="0.2">
      <c r="A14" s="62" t="s">
        <v>37</v>
      </c>
      <c r="B14" s="62" t="s">
        <v>157</v>
      </c>
      <c r="C14" s="62" t="s">
        <v>201</v>
      </c>
      <c r="D14" s="62"/>
      <c r="E14" s="62">
        <f t="shared" si="2"/>
        <v>21</v>
      </c>
      <c r="F14" s="128" t="s">
        <v>79</v>
      </c>
      <c r="G14" s="129">
        <v>625.98233740984392</v>
      </c>
      <c r="H14" s="129">
        <v>523.54112295231425</v>
      </c>
      <c r="I14" s="129">
        <v>741.87994767275825</v>
      </c>
      <c r="J14" s="129"/>
      <c r="K14" s="129"/>
      <c r="L14" s="129"/>
      <c r="M14" s="60">
        <f t="shared" si="0"/>
        <v>5</v>
      </c>
      <c r="N14" s="61">
        <f t="shared" si="3"/>
        <v>461.93502392399483</v>
      </c>
      <c r="O14" s="61">
        <f t="shared" si="16"/>
        <v>520.12162838408153</v>
      </c>
      <c r="P14" s="129">
        <f t="shared" si="4"/>
        <v>587.10505122555446</v>
      </c>
      <c r="Q14" s="129">
        <f t="shared" si="5"/>
        <v>559.07102623776188</v>
      </c>
      <c r="R14" s="129">
        <f t="shared" si="6"/>
        <v>616.16585238294499</v>
      </c>
      <c r="S14" s="61">
        <f t="shared" si="7"/>
        <v>617.87494574764378</v>
      </c>
      <c r="T14" s="61">
        <f t="shared" si="1"/>
        <v>718.04480255815304</v>
      </c>
      <c r="U14" s="61">
        <f t="shared" si="17"/>
        <v>529.06842359897689</v>
      </c>
      <c r="V14" s="61"/>
      <c r="Y14" s="162" t="s">
        <v>29</v>
      </c>
      <c r="Z14" s="162" t="s">
        <v>55</v>
      </c>
      <c r="AA14" s="162" t="s">
        <v>201</v>
      </c>
      <c r="AB14" s="162">
        <f>RANK(AH14,$AH$14:$AH$22,1)</f>
        <v>5</v>
      </c>
      <c r="AC14" s="165">
        <f t="shared" ref="AC14:AC22" si="19">MIN($AH$14:$AH$22)</f>
        <v>461.93502392399483</v>
      </c>
      <c r="AD14" s="165">
        <f>MAX($AH$14:$AH$22)</f>
        <v>625.98233740984392</v>
      </c>
      <c r="AE14" s="162"/>
      <c r="AF14" s="162">
        <f t="shared" si="10"/>
        <v>6</v>
      </c>
      <c r="AG14" s="167" t="str">
        <f t="shared" si="11"/>
        <v>N/A</v>
      </c>
      <c r="AH14" s="165">
        <f t="shared" si="12"/>
        <v>506.13705996042773</v>
      </c>
      <c r="AI14" s="165">
        <f t="shared" si="13"/>
        <v>426.48679951276904</v>
      </c>
      <c r="AJ14" s="165">
        <f t="shared" si="14"/>
        <v>596.06215106172738</v>
      </c>
      <c r="AK14" s="167">
        <f t="shared" si="15"/>
        <v>5</v>
      </c>
    </row>
    <row r="15" spans="1:37" x14ac:dyDescent="0.2">
      <c r="A15" s="62" t="s">
        <v>38</v>
      </c>
      <c r="B15" s="62" t="s">
        <v>62</v>
      </c>
      <c r="C15" s="62" t="s">
        <v>201</v>
      </c>
      <c r="D15" s="62"/>
      <c r="E15" s="62">
        <f t="shared" si="2"/>
        <v>4</v>
      </c>
      <c r="F15" s="128" t="s">
        <v>79</v>
      </c>
      <c r="G15" s="129">
        <v>497.41213500600873</v>
      </c>
      <c r="H15" s="129">
        <v>412.47881728396732</v>
      </c>
      <c r="I15" s="129">
        <v>594.53090222660717</v>
      </c>
      <c r="J15" s="129"/>
      <c r="K15" s="129"/>
      <c r="L15" s="129"/>
      <c r="M15" s="60">
        <f t="shared" si="0"/>
        <v>5</v>
      </c>
      <c r="N15" s="61">
        <f t="shared" si="3"/>
        <v>461.93502392399483</v>
      </c>
      <c r="O15" s="61">
        <f t="shared" si="16"/>
        <v>520.12162838408153</v>
      </c>
      <c r="P15" s="129">
        <f t="shared" si="4"/>
        <v>587.10505122555446</v>
      </c>
      <c r="Q15" s="129">
        <f t="shared" si="5"/>
        <v>559.07102623776188</v>
      </c>
      <c r="R15" s="129">
        <f t="shared" si="6"/>
        <v>616.16585238294499</v>
      </c>
      <c r="S15" s="61">
        <f t="shared" si="7"/>
        <v>617.87494574764378</v>
      </c>
      <c r="T15" s="61">
        <f t="shared" si="1"/>
        <v>718.04480255815304</v>
      </c>
      <c r="U15" s="61">
        <f t="shared" si="17"/>
        <v>529.06842359897689</v>
      </c>
      <c r="V15" s="61"/>
      <c r="Y15" s="162" t="s">
        <v>32</v>
      </c>
      <c r="Z15" s="162" t="s">
        <v>156</v>
      </c>
      <c r="AA15" s="162" t="s">
        <v>201</v>
      </c>
      <c r="AB15" s="162">
        <f>RANK(AH15,$AH$14:$AH$22,1)</f>
        <v>8</v>
      </c>
      <c r="AC15" s="165">
        <f t="shared" si="19"/>
        <v>461.93502392399483</v>
      </c>
      <c r="AD15" s="165">
        <f t="shared" ref="AD15:AD22" si="20">MAX($AH$14:$AH$22)</f>
        <v>625.98233740984392</v>
      </c>
      <c r="AE15" s="162"/>
      <c r="AF15" s="162">
        <f t="shared" si="10"/>
        <v>15</v>
      </c>
      <c r="AG15" s="167" t="str">
        <f t="shared" si="11"/>
        <v>N/A</v>
      </c>
      <c r="AH15" s="165">
        <f t="shared" si="12"/>
        <v>587.9801244535355</v>
      </c>
      <c r="AI15" s="165">
        <f t="shared" si="13"/>
        <v>531.18372102685282</v>
      </c>
      <c r="AJ15" s="165">
        <f t="shared" si="14"/>
        <v>649.0854884980439</v>
      </c>
      <c r="AK15" s="167">
        <f t="shared" si="15"/>
        <v>5</v>
      </c>
    </row>
    <row r="16" spans="1:37" x14ac:dyDescent="0.2">
      <c r="A16" s="62" t="s">
        <v>39</v>
      </c>
      <c r="B16" s="62" t="s">
        <v>158</v>
      </c>
      <c r="C16" s="62" t="s">
        <v>200</v>
      </c>
      <c r="D16" s="62"/>
      <c r="E16" s="62">
        <f t="shared" si="2"/>
        <v>12</v>
      </c>
      <c r="F16" s="128" t="s">
        <v>79</v>
      </c>
      <c r="G16" s="129">
        <v>571.82811009010857</v>
      </c>
      <c r="H16" s="129">
        <v>518.98513806945925</v>
      </c>
      <c r="I16" s="129">
        <v>628.52679841184465</v>
      </c>
      <c r="J16" s="129"/>
      <c r="K16" s="129"/>
      <c r="L16" s="129"/>
      <c r="M16" s="60">
        <f t="shared" si="0"/>
        <v>5</v>
      </c>
      <c r="N16" s="61">
        <f t="shared" si="3"/>
        <v>461.93502392399483</v>
      </c>
      <c r="O16" s="61">
        <f t="shared" si="16"/>
        <v>520.12162838408153</v>
      </c>
      <c r="P16" s="129">
        <f t="shared" si="4"/>
        <v>587.10505122555446</v>
      </c>
      <c r="Q16" s="129">
        <f t="shared" si="5"/>
        <v>559.07102623776188</v>
      </c>
      <c r="R16" s="129">
        <f t="shared" si="6"/>
        <v>616.16585238294499</v>
      </c>
      <c r="S16" s="61">
        <f t="shared" si="7"/>
        <v>617.87494574764378</v>
      </c>
      <c r="T16" s="61">
        <f t="shared" si="1"/>
        <v>718.04480255815304</v>
      </c>
      <c r="U16" s="61">
        <f t="shared" si="17"/>
        <v>603.75152751013616</v>
      </c>
      <c r="V16" s="61"/>
      <c r="Y16" s="162" t="s">
        <v>36</v>
      </c>
      <c r="Z16" s="162" t="s">
        <v>61</v>
      </c>
      <c r="AA16" s="162" t="s">
        <v>201</v>
      </c>
      <c r="AB16" s="162">
        <f>RANK(AH16,$AH$14:$AH$22,1)</f>
        <v>4</v>
      </c>
      <c r="AC16" s="165">
        <f t="shared" si="19"/>
        <v>461.93502392399483</v>
      </c>
      <c r="AD16" s="165">
        <f t="shared" si="20"/>
        <v>625.98233740984392</v>
      </c>
      <c r="AE16" s="162"/>
      <c r="AF16" s="162">
        <f t="shared" si="10"/>
        <v>5</v>
      </c>
      <c r="AG16" s="167" t="str">
        <f t="shared" si="11"/>
        <v>N/A</v>
      </c>
      <c r="AH16" s="165">
        <f t="shared" si="12"/>
        <v>505.79427911087311</v>
      </c>
      <c r="AI16" s="165">
        <f t="shared" si="13"/>
        <v>443.77377428823723</v>
      </c>
      <c r="AJ16" s="165">
        <f t="shared" si="14"/>
        <v>573.73372329485164</v>
      </c>
      <c r="AK16" s="167">
        <f t="shared" si="15"/>
        <v>5</v>
      </c>
    </row>
    <row r="17" spans="1:37" x14ac:dyDescent="0.2">
      <c r="A17" s="62" t="s">
        <v>40</v>
      </c>
      <c r="B17" s="62" t="s">
        <v>63</v>
      </c>
      <c r="C17" s="62" t="s">
        <v>200</v>
      </c>
      <c r="D17" s="62"/>
      <c r="E17" s="62">
        <f t="shared" si="2"/>
        <v>14</v>
      </c>
      <c r="F17" s="128" t="s">
        <v>79</v>
      </c>
      <c r="G17" s="129">
        <v>580.76836831129901</v>
      </c>
      <c r="H17" s="129">
        <v>500.97844761626322</v>
      </c>
      <c r="I17" s="129">
        <v>669.51061680512851</v>
      </c>
      <c r="J17" s="129"/>
      <c r="K17" s="129"/>
      <c r="L17" s="129"/>
      <c r="M17" s="60">
        <f t="shared" si="0"/>
        <v>5</v>
      </c>
      <c r="N17" s="61">
        <f t="shared" si="3"/>
        <v>461.93502392399483</v>
      </c>
      <c r="O17" s="61">
        <f t="shared" si="16"/>
        <v>520.12162838408153</v>
      </c>
      <c r="P17" s="129">
        <f t="shared" si="4"/>
        <v>587.10505122555446</v>
      </c>
      <c r="Q17" s="129">
        <f t="shared" si="5"/>
        <v>559.07102623776188</v>
      </c>
      <c r="R17" s="129">
        <f t="shared" si="6"/>
        <v>616.16585238294499</v>
      </c>
      <c r="S17" s="61">
        <f t="shared" si="7"/>
        <v>617.87494574764378</v>
      </c>
      <c r="T17" s="61">
        <f t="shared" si="1"/>
        <v>718.04480255815304</v>
      </c>
      <c r="U17" s="61">
        <f t="shared" si="17"/>
        <v>603.75152751013616</v>
      </c>
      <c r="V17" s="61"/>
      <c r="Y17" s="162" t="s">
        <v>37</v>
      </c>
      <c r="Z17" s="162" t="s">
        <v>157</v>
      </c>
      <c r="AA17" s="162" t="s">
        <v>201</v>
      </c>
      <c r="AB17" s="162">
        <f t="shared" ref="AB17:AB22" si="21">RANK(AH17,$AH$14:$AH$22,1)</f>
        <v>9</v>
      </c>
      <c r="AC17" s="165">
        <f t="shared" si="19"/>
        <v>461.93502392399483</v>
      </c>
      <c r="AD17" s="165">
        <f>MAX($AH$14:$AH$22)</f>
        <v>625.98233740984392</v>
      </c>
      <c r="AE17" s="162"/>
      <c r="AF17" s="162">
        <f t="shared" si="10"/>
        <v>21</v>
      </c>
      <c r="AG17" s="167" t="str">
        <f t="shared" si="11"/>
        <v>N/A</v>
      </c>
      <c r="AH17" s="165">
        <f t="shared" si="12"/>
        <v>625.98233740984392</v>
      </c>
      <c r="AI17" s="165">
        <f t="shared" si="13"/>
        <v>523.54112295231425</v>
      </c>
      <c r="AJ17" s="165">
        <f t="shared" si="14"/>
        <v>741.87994767275825</v>
      </c>
      <c r="AK17" s="167">
        <f t="shared" si="15"/>
        <v>5</v>
      </c>
    </row>
    <row r="18" spans="1:37" x14ac:dyDescent="0.2">
      <c r="A18" s="62" t="s">
        <v>41</v>
      </c>
      <c r="B18" s="62" t="s">
        <v>64</v>
      </c>
      <c r="C18" s="62" t="s">
        <v>163</v>
      </c>
      <c r="D18" s="62"/>
      <c r="E18" s="62">
        <f t="shared" si="2"/>
        <v>23</v>
      </c>
      <c r="F18" s="128" t="s">
        <v>79</v>
      </c>
      <c r="G18" s="129">
        <v>630.13515451999024</v>
      </c>
      <c r="H18" s="129">
        <v>574.64141525486218</v>
      </c>
      <c r="I18" s="129">
        <v>689.50863117333847</v>
      </c>
      <c r="J18" s="129"/>
      <c r="K18" s="129"/>
      <c r="L18" s="129"/>
      <c r="M18" s="60">
        <f t="shared" si="0"/>
        <v>5</v>
      </c>
      <c r="N18" s="61">
        <f t="shared" si="3"/>
        <v>461.93502392399483</v>
      </c>
      <c r="O18" s="61">
        <f t="shared" si="16"/>
        <v>520.12162838408153</v>
      </c>
      <c r="P18" s="129">
        <f t="shared" si="4"/>
        <v>587.10505122555446</v>
      </c>
      <c r="Q18" s="129">
        <f t="shared" si="5"/>
        <v>559.07102623776188</v>
      </c>
      <c r="R18" s="129">
        <f t="shared" si="6"/>
        <v>616.16585238294499</v>
      </c>
      <c r="S18" s="61">
        <f t="shared" si="7"/>
        <v>617.87494574764378</v>
      </c>
      <c r="T18" s="61">
        <f t="shared" si="1"/>
        <v>718.04480255815304</v>
      </c>
      <c r="U18" s="61">
        <f t="shared" si="17"/>
        <v>610.11984226579921</v>
      </c>
      <c r="V18" s="61"/>
      <c r="Y18" s="162" t="s">
        <v>38</v>
      </c>
      <c r="Z18" s="162" t="s">
        <v>62</v>
      </c>
      <c r="AA18" s="162" t="s">
        <v>201</v>
      </c>
      <c r="AB18" s="162">
        <f t="shared" si="21"/>
        <v>3</v>
      </c>
      <c r="AC18" s="165">
        <f t="shared" si="19"/>
        <v>461.93502392399483</v>
      </c>
      <c r="AD18" s="165">
        <f t="shared" si="20"/>
        <v>625.98233740984392</v>
      </c>
      <c r="AE18" s="162"/>
      <c r="AF18" s="162">
        <f t="shared" si="10"/>
        <v>4</v>
      </c>
      <c r="AG18" s="167" t="str">
        <f t="shared" si="11"/>
        <v>N/A</v>
      </c>
      <c r="AH18" s="165">
        <f t="shared" si="12"/>
        <v>497.41213500600873</v>
      </c>
      <c r="AI18" s="165">
        <f t="shared" si="13"/>
        <v>412.47881728396732</v>
      </c>
      <c r="AJ18" s="165">
        <f t="shared" si="14"/>
        <v>594.53090222660717</v>
      </c>
      <c r="AK18" s="167">
        <f t="shared" si="15"/>
        <v>5</v>
      </c>
    </row>
    <row r="19" spans="1:37" x14ac:dyDescent="0.2">
      <c r="A19" s="62" t="s">
        <v>42</v>
      </c>
      <c r="B19" s="62" t="s">
        <v>65</v>
      </c>
      <c r="C19" s="62" t="s">
        <v>200</v>
      </c>
      <c r="D19" s="62"/>
      <c r="E19" s="62">
        <f t="shared" si="2"/>
        <v>2</v>
      </c>
      <c r="F19" s="128" t="s">
        <v>79</v>
      </c>
      <c r="G19" s="129">
        <v>483.57263412458207</v>
      </c>
      <c r="H19" s="129">
        <v>373.26253694256599</v>
      </c>
      <c r="I19" s="129">
        <v>615.05248352128524</v>
      </c>
      <c r="J19" s="129"/>
      <c r="K19" s="129"/>
      <c r="L19" s="129"/>
      <c r="M19" s="60">
        <f t="shared" si="0"/>
        <v>5</v>
      </c>
      <c r="N19" s="61">
        <f t="shared" si="3"/>
        <v>461.93502392399483</v>
      </c>
      <c r="O19" s="61">
        <f t="shared" si="16"/>
        <v>520.12162838408153</v>
      </c>
      <c r="P19" s="129">
        <f t="shared" si="4"/>
        <v>587.10505122555446</v>
      </c>
      <c r="Q19" s="129">
        <f t="shared" si="5"/>
        <v>559.07102623776188</v>
      </c>
      <c r="R19" s="129">
        <f t="shared" si="6"/>
        <v>616.16585238294499</v>
      </c>
      <c r="S19" s="61">
        <f t="shared" si="7"/>
        <v>617.87494574764378</v>
      </c>
      <c r="T19" s="61">
        <f t="shared" si="1"/>
        <v>718.04480255815304</v>
      </c>
      <c r="U19" s="61">
        <f t="shared" si="17"/>
        <v>603.75152751013616</v>
      </c>
      <c r="V19" s="61"/>
      <c r="Y19" s="162" t="s">
        <v>43</v>
      </c>
      <c r="Z19" s="162" t="s">
        <v>159</v>
      </c>
      <c r="AA19" s="162" t="s">
        <v>201</v>
      </c>
      <c r="AB19" s="162">
        <f t="shared" si="21"/>
        <v>2</v>
      </c>
      <c r="AC19" s="165">
        <f t="shared" si="19"/>
        <v>461.93502392399483</v>
      </c>
      <c r="AD19" s="165">
        <f t="shared" si="20"/>
        <v>625.98233740984392</v>
      </c>
      <c r="AE19" s="162"/>
      <c r="AF19" s="162">
        <f t="shared" si="10"/>
        <v>3</v>
      </c>
      <c r="AG19" s="167" t="str">
        <f t="shared" si="11"/>
        <v>N/A</v>
      </c>
      <c r="AH19" s="165">
        <f t="shared" si="12"/>
        <v>491.49310242534654</v>
      </c>
      <c r="AI19" s="165">
        <f t="shared" si="13"/>
        <v>417.48378182703698</v>
      </c>
      <c r="AJ19" s="165">
        <f t="shared" si="14"/>
        <v>574.46158123549765</v>
      </c>
      <c r="AK19" s="167">
        <f t="shared" si="15"/>
        <v>5</v>
      </c>
    </row>
    <row r="20" spans="1:37" x14ac:dyDescent="0.2">
      <c r="A20" s="62" t="s">
        <v>43</v>
      </c>
      <c r="B20" s="62" t="s">
        <v>159</v>
      </c>
      <c r="C20" s="62" t="s">
        <v>201</v>
      </c>
      <c r="D20" s="62"/>
      <c r="E20" s="62">
        <f t="shared" si="2"/>
        <v>3</v>
      </c>
      <c r="F20" s="128" t="s">
        <v>79</v>
      </c>
      <c r="G20" s="129">
        <v>491.49310242534654</v>
      </c>
      <c r="H20" s="129">
        <v>417.48378182703698</v>
      </c>
      <c r="I20" s="129">
        <v>574.46158123549765</v>
      </c>
      <c r="J20" s="129"/>
      <c r="K20" s="129"/>
      <c r="L20" s="129"/>
      <c r="M20" s="60">
        <f t="shared" si="0"/>
        <v>5</v>
      </c>
      <c r="N20" s="61">
        <f t="shared" si="3"/>
        <v>461.93502392399483</v>
      </c>
      <c r="O20" s="61">
        <f t="shared" si="16"/>
        <v>520.12162838408153</v>
      </c>
      <c r="P20" s="129">
        <f t="shared" si="4"/>
        <v>587.10505122555446</v>
      </c>
      <c r="Q20" s="129">
        <f t="shared" si="5"/>
        <v>559.07102623776188</v>
      </c>
      <c r="R20" s="129">
        <f t="shared" si="6"/>
        <v>616.16585238294499</v>
      </c>
      <c r="S20" s="61">
        <f t="shared" si="7"/>
        <v>617.87494574764378</v>
      </c>
      <c r="T20" s="61">
        <f t="shared" si="1"/>
        <v>718.04480255815304</v>
      </c>
      <c r="U20" s="61">
        <f t="shared" si="17"/>
        <v>529.06842359897689</v>
      </c>
      <c r="V20" s="61"/>
      <c r="Y20" s="162" t="s">
        <v>48</v>
      </c>
      <c r="Z20" s="162" t="s">
        <v>160</v>
      </c>
      <c r="AA20" s="162" t="s">
        <v>201</v>
      </c>
      <c r="AB20" s="162">
        <f t="shared" si="21"/>
        <v>1</v>
      </c>
      <c r="AC20" s="165">
        <f t="shared" si="19"/>
        <v>461.93502392399483</v>
      </c>
      <c r="AD20" s="165">
        <f t="shared" si="20"/>
        <v>625.98233740984392</v>
      </c>
      <c r="AE20" s="162"/>
      <c r="AF20" s="162">
        <f t="shared" si="10"/>
        <v>1</v>
      </c>
      <c r="AG20" s="167" t="str">
        <f t="shared" si="11"/>
        <v>N/A</v>
      </c>
      <c r="AH20" s="165">
        <f t="shared" si="12"/>
        <v>461.93502392399483</v>
      </c>
      <c r="AI20" s="165">
        <f t="shared" si="13"/>
        <v>382.26139580180802</v>
      </c>
      <c r="AJ20" s="165">
        <f t="shared" si="14"/>
        <v>552.79739984425032</v>
      </c>
      <c r="AK20" s="167">
        <f t="shared" si="15"/>
        <v>2</v>
      </c>
    </row>
    <row r="21" spans="1:37" x14ac:dyDescent="0.2">
      <c r="A21" s="62" t="s">
        <v>44</v>
      </c>
      <c r="B21" s="62" t="s">
        <v>66</v>
      </c>
      <c r="C21" s="62" t="s">
        <v>200</v>
      </c>
      <c r="D21" s="62"/>
      <c r="E21" s="62">
        <f t="shared" si="2"/>
        <v>8</v>
      </c>
      <c r="F21" s="128" t="s">
        <v>79</v>
      </c>
      <c r="G21" s="129">
        <v>526.09318783565629</v>
      </c>
      <c r="H21" s="129">
        <v>435.71466749999468</v>
      </c>
      <c r="I21" s="129">
        <v>629.32646676019306</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5</v>
      </c>
      <c r="N21" s="61">
        <f t="shared" si="3"/>
        <v>461.93502392399483</v>
      </c>
      <c r="O21" s="61">
        <f t="shared" si="16"/>
        <v>520.12162838408153</v>
      </c>
      <c r="P21" s="129">
        <f t="shared" si="4"/>
        <v>587.10505122555446</v>
      </c>
      <c r="Q21" s="129">
        <f t="shared" si="5"/>
        <v>559.07102623776188</v>
      </c>
      <c r="R21" s="129">
        <f t="shared" si="6"/>
        <v>616.16585238294499</v>
      </c>
      <c r="S21" s="61">
        <f t="shared" si="7"/>
        <v>617.87494574764378</v>
      </c>
      <c r="T21" s="61">
        <f t="shared" si="1"/>
        <v>718.04480255815304</v>
      </c>
      <c r="U21" s="61">
        <f t="shared" si="17"/>
        <v>603.75152751013616</v>
      </c>
      <c r="V21" s="61"/>
      <c r="Y21" s="162" t="s">
        <v>52</v>
      </c>
      <c r="Z21" s="162" t="s">
        <v>72</v>
      </c>
      <c r="AA21" s="162" t="s">
        <v>201</v>
      </c>
      <c r="AB21" s="162">
        <f t="shared" si="21"/>
        <v>7</v>
      </c>
      <c r="AC21" s="165">
        <f t="shared" si="19"/>
        <v>461.93502392399483</v>
      </c>
      <c r="AD21" s="165">
        <f t="shared" si="20"/>
        <v>625.98233740984392</v>
      </c>
      <c r="AE21" s="162"/>
      <c r="AF21" s="162">
        <f t="shared" si="10"/>
        <v>10</v>
      </c>
      <c r="AG21" s="167" t="str">
        <f t="shared" si="11"/>
        <v>N/A</v>
      </c>
      <c r="AH21" s="165">
        <f t="shared" si="12"/>
        <v>561.55301337927688</v>
      </c>
      <c r="AI21" s="165">
        <f t="shared" si="13"/>
        <v>429.1569155077791</v>
      </c>
      <c r="AJ21" s="165">
        <f t="shared" si="14"/>
        <v>718.79445620133117</v>
      </c>
      <c r="AK21" s="167">
        <f t="shared" si="15"/>
        <v>5</v>
      </c>
    </row>
    <row r="22" spans="1:37" x14ac:dyDescent="0.2">
      <c r="A22" s="62" t="s">
        <v>45</v>
      </c>
      <c r="B22" s="62" t="s">
        <v>67</v>
      </c>
      <c r="C22" s="62" t="s">
        <v>163</v>
      </c>
      <c r="D22" s="62"/>
      <c r="E22" s="62">
        <f t="shared" si="2"/>
        <v>19</v>
      </c>
      <c r="F22" s="128" t="s">
        <v>79</v>
      </c>
      <c r="G22" s="129">
        <v>617.2222770633025</v>
      </c>
      <c r="H22" s="129">
        <v>554.55494904373529</v>
      </c>
      <c r="I22" s="129">
        <v>684.98383260511423</v>
      </c>
      <c r="J22" s="129"/>
      <c r="K22" s="129"/>
      <c r="L22" s="129"/>
      <c r="M22" s="60">
        <f t="shared" si="0"/>
        <v>5</v>
      </c>
      <c r="N22" s="61">
        <f t="shared" si="3"/>
        <v>461.93502392399483</v>
      </c>
      <c r="O22" s="61">
        <f t="shared" si="16"/>
        <v>520.12162838408153</v>
      </c>
      <c r="P22" s="129">
        <f t="shared" si="4"/>
        <v>587.10505122555446</v>
      </c>
      <c r="Q22" s="129">
        <f t="shared" si="5"/>
        <v>559.07102623776188</v>
      </c>
      <c r="R22" s="129">
        <f t="shared" si="6"/>
        <v>616.16585238294499</v>
      </c>
      <c r="S22" s="61">
        <f t="shared" si="7"/>
        <v>617.87494574764378</v>
      </c>
      <c r="T22" s="61">
        <f t="shared" si="1"/>
        <v>718.04480255815304</v>
      </c>
      <c r="U22" s="61">
        <f>VLOOKUP(C22,$C$43:$I$46,5,FALSE)</f>
        <v>610.11984226579921</v>
      </c>
      <c r="V22" s="61"/>
      <c r="Y22" s="162" t="s">
        <v>54</v>
      </c>
      <c r="Z22" s="162" t="s">
        <v>73</v>
      </c>
      <c r="AA22" s="162" t="s">
        <v>201</v>
      </c>
      <c r="AB22" s="162">
        <f t="shared" si="21"/>
        <v>6</v>
      </c>
      <c r="AC22" s="165">
        <f t="shared" si="19"/>
        <v>461.93502392399483</v>
      </c>
      <c r="AD22" s="165">
        <f t="shared" si="20"/>
        <v>625.98233740984392</v>
      </c>
      <c r="AE22" s="162"/>
      <c r="AF22" s="162">
        <f t="shared" si="10"/>
        <v>9</v>
      </c>
      <c r="AG22" s="167" t="str">
        <f t="shared" si="11"/>
        <v>N/A</v>
      </c>
      <c r="AH22" s="165">
        <f t="shared" si="12"/>
        <v>554.01230256064105</v>
      </c>
      <c r="AI22" s="165">
        <f t="shared" si="13"/>
        <v>472.93706708554737</v>
      </c>
      <c r="AJ22" s="165">
        <f t="shared" si="14"/>
        <v>644.38833325404642</v>
      </c>
      <c r="AK22" s="167">
        <f t="shared" si="15"/>
        <v>5</v>
      </c>
    </row>
    <row r="23" spans="1:37" x14ac:dyDescent="0.2">
      <c r="A23" s="62" t="s">
        <v>46</v>
      </c>
      <c r="B23" s="62" t="s">
        <v>68</v>
      </c>
      <c r="C23" s="62" t="s">
        <v>163</v>
      </c>
      <c r="D23" s="62"/>
      <c r="E23" s="62">
        <f t="shared" si="2"/>
        <v>20</v>
      </c>
      <c r="F23" s="128" t="s">
        <v>79</v>
      </c>
      <c r="G23" s="129">
        <v>617.87494574764378</v>
      </c>
      <c r="H23" s="129">
        <v>563.71806518944152</v>
      </c>
      <c r="I23" s="129">
        <v>675.79783945158783</v>
      </c>
      <c r="J23" s="129"/>
      <c r="K23" s="129"/>
      <c r="L23" s="129"/>
      <c r="M23" s="60">
        <f t="shared" si="0"/>
        <v>5</v>
      </c>
      <c r="N23" s="61">
        <f t="shared" si="3"/>
        <v>461.93502392399483</v>
      </c>
      <c r="O23" s="61">
        <f t="shared" si="16"/>
        <v>520.12162838408153</v>
      </c>
      <c r="P23" s="129">
        <f t="shared" si="4"/>
        <v>587.10505122555446</v>
      </c>
      <c r="Q23" s="129">
        <f t="shared" si="5"/>
        <v>559.07102623776188</v>
      </c>
      <c r="R23" s="129">
        <f t="shared" si="6"/>
        <v>616.16585238294499</v>
      </c>
      <c r="S23" s="61">
        <f t="shared" si="7"/>
        <v>617.87494574764378</v>
      </c>
      <c r="T23" s="61">
        <f t="shared" si="1"/>
        <v>718.04480255815304</v>
      </c>
      <c r="U23" s="61">
        <f t="shared" si="17"/>
        <v>610.11984226579921</v>
      </c>
      <c r="V23" s="61"/>
      <c r="Y23" s="163" t="s">
        <v>30</v>
      </c>
      <c r="Z23" s="163" t="s">
        <v>56</v>
      </c>
      <c r="AA23" s="163" t="s">
        <v>200</v>
      </c>
      <c r="AB23" s="163">
        <f>RANK(AH23,$AH$23:$AH$31,1)</f>
        <v>9</v>
      </c>
      <c r="AC23" s="166">
        <f>MIN($AH$23:$AH$31)</f>
        <v>483.57263412458207</v>
      </c>
      <c r="AD23" s="166">
        <f>MAX($AH$23:$AH$31)</f>
        <v>718.04480255815304</v>
      </c>
      <c r="AE23" s="163"/>
      <c r="AF23" s="163">
        <f t="shared" si="10"/>
        <v>26</v>
      </c>
      <c r="AG23" s="168" t="str">
        <f t="shared" si="11"/>
        <v>N/A</v>
      </c>
      <c r="AH23" s="166">
        <f t="shared" si="12"/>
        <v>718.04480255815304</v>
      </c>
      <c r="AI23" s="166">
        <f t="shared" si="13"/>
        <v>630.69260784079427</v>
      </c>
      <c r="AJ23" s="166">
        <f t="shared" si="14"/>
        <v>813.99287317417009</v>
      </c>
      <c r="AK23" s="168">
        <f t="shared" si="15"/>
        <v>1</v>
      </c>
    </row>
    <row r="24" spans="1:37" x14ac:dyDescent="0.2">
      <c r="A24" s="62" t="s">
        <v>47</v>
      </c>
      <c r="B24" s="62" t="s">
        <v>69</v>
      </c>
      <c r="C24" s="62" t="s">
        <v>163</v>
      </c>
      <c r="D24" s="62"/>
      <c r="E24" s="62">
        <f t="shared" si="2"/>
        <v>22</v>
      </c>
      <c r="F24" s="128" t="s">
        <v>79</v>
      </c>
      <c r="G24" s="129">
        <v>628.39799453545936</v>
      </c>
      <c r="H24" s="129">
        <v>497.69851456479222</v>
      </c>
      <c r="I24" s="129">
        <v>782.77280361099599</v>
      </c>
      <c r="J24" s="129"/>
      <c r="K24" s="129"/>
      <c r="L24" s="129"/>
      <c r="M24" s="60">
        <f t="shared" si="0"/>
        <v>5</v>
      </c>
      <c r="N24" s="61">
        <f t="shared" si="3"/>
        <v>461.93502392399483</v>
      </c>
      <c r="O24" s="61">
        <f t="shared" si="16"/>
        <v>520.12162838408153</v>
      </c>
      <c r="P24" s="129">
        <f t="shared" si="4"/>
        <v>587.10505122555446</v>
      </c>
      <c r="Q24" s="129">
        <f t="shared" si="5"/>
        <v>559.07102623776188</v>
      </c>
      <c r="R24" s="129">
        <f t="shared" si="6"/>
        <v>616.16585238294499</v>
      </c>
      <c r="S24" s="61">
        <f t="shared" si="7"/>
        <v>617.87494574764378</v>
      </c>
      <c r="T24" s="61">
        <f t="shared" si="1"/>
        <v>718.04480255815304</v>
      </c>
      <c r="U24" s="61">
        <f t="shared" si="17"/>
        <v>610.11984226579921</v>
      </c>
      <c r="V24" s="61"/>
      <c r="Y24" s="163" t="s">
        <v>31</v>
      </c>
      <c r="Z24" s="163" t="s">
        <v>57</v>
      </c>
      <c r="AA24" s="163" t="s">
        <v>200</v>
      </c>
      <c r="AB24" s="163">
        <f t="shared" ref="AB24:AB31" si="22">RANK(AH24,$AH$23:$AH$31,1)</f>
        <v>7</v>
      </c>
      <c r="AC24" s="166">
        <f t="shared" ref="AC24:AC31" si="23">MIN($AH$23:$AH$31)</f>
        <v>483.57263412458207</v>
      </c>
      <c r="AD24" s="166">
        <f t="shared" ref="AD24:AD31" si="24">MAX($AH$23:$AH$31)</f>
        <v>718.04480255815304</v>
      </c>
      <c r="AE24" s="163"/>
      <c r="AF24" s="163">
        <f t="shared" si="10"/>
        <v>16</v>
      </c>
      <c r="AG24" s="168" t="str">
        <f t="shared" si="11"/>
        <v>N/A</v>
      </c>
      <c r="AH24" s="166">
        <f t="shared" si="12"/>
        <v>596.66144534322098</v>
      </c>
      <c r="AI24" s="166">
        <f t="shared" si="13"/>
        <v>547.3224085697783</v>
      </c>
      <c r="AJ24" s="166">
        <f t="shared" si="14"/>
        <v>649.20637213538305</v>
      </c>
      <c r="AK24" s="168">
        <f t="shared" si="15"/>
        <v>5</v>
      </c>
    </row>
    <row r="25" spans="1:37" x14ac:dyDescent="0.2">
      <c r="A25" s="62" t="s">
        <v>48</v>
      </c>
      <c r="B25" s="62" t="s">
        <v>160</v>
      </c>
      <c r="C25" s="62" t="s">
        <v>201</v>
      </c>
      <c r="D25" s="62"/>
      <c r="E25" s="62">
        <f t="shared" si="2"/>
        <v>1</v>
      </c>
      <c r="F25" s="128" t="s">
        <v>79</v>
      </c>
      <c r="G25" s="129">
        <v>461.93502392399483</v>
      </c>
      <c r="H25" s="129">
        <v>382.26139580180802</v>
      </c>
      <c r="I25" s="129">
        <v>552.79739984425032</v>
      </c>
      <c r="J25" s="129"/>
      <c r="K25" s="129"/>
      <c r="L25" s="129"/>
      <c r="M25" s="60">
        <f t="shared" si="0"/>
        <v>2</v>
      </c>
      <c r="N25" s="61">
        <f t="shared" si="3"/>
        <v>461.93502392399483</v>
      </c>
      <c r="O25" s="61">
        <f t="shared" si="16"/>
        <v>520.12162838408153</v>
      </c>
      <c r="P25" s="129">
        <f t="shared" si="4"/>
        <v>587.10505122555446</v>
      </c>
      <c r="Q25" s="129">
        <f t="shared" si="5"/>
        <v>559.07102623776188</v>
      </c>
      <c r="R25" s="129">
        <f t="shared" si="6"/>
        <v>616.16585238294499</v>
      </c>
      <c r="S25" s="61">
        <f t="shared" si="7"/>
        <v>617.87494574764378</v>
      </c>
      <c r="T25" s="61">
        <f t="shared" si="1"/>
        <v>718.04480255815304</v>
      </c>
      <c r="U25" s="61">
        <f t="shared" si="17"/>
        <v>529.06842359897689</v>
      </c>
      <c r="V25" s="61"/>
      <c r="Y25" s="163" t="s">
        <v>34</v>
      </c>
      <c r="Z25" s="163" t="s">
        <v>59</v>
      </c>
      <c r="AA25" s="163" t="s">
        <v>200</v>
      </c>
      <c r="AB25" s="163">
        <f t="shared" si="22"/>
        <v>5</v>
      </c>
      <c r="AC25" s="166">
        <f t="shared" si="23"/>
        <v>483.57263412458207</v>
      </c>
      <c r="AD25" s="166">
        <f t="shared" si="24"/>
        <v>718.04480255815304</v>
      </c>
      <c r="AE25" s="163"/>
      <c r="AF25" s="163">
        <f t="shared" si="10"/>
        <v>13</v>
      </c>
      <c r="AG25" s="168" t="str">
        <f t="shared" si="11"/>
        <v>N/A</v>
      </c>
      <c r="AH25" s="166">
        <f t="shared" si="12"/>
        <v>578.61890947929953</v>
      </c>
      <c r="AI25" s="166">
        <f t="shared" si="13"/>
        <v>526.46064820620006</v>
      </c>
      <c r="AJ25" s="166">
        <f t="shared" si="14"/>
        <v>634.48417276826217</v>
      </c>
      <c r="AK25" s="168">
        <f t="shared" si="15"/>
        <v>5</v>
      </c>
    </row>
    <row r="26" spans="1:37" x14ac:dyDescent="0.2">
      <c r="A26" s="62" t="s">
        <v>49</v>
      </c>
      <c r="B26" s="62" t="s">
        <v>70</v>
      </c>
      <c r="C26" s="62" t="s">
        <v>200</v>
      </c>
      <c r="D26" s="62"/>
      <c r="E26" s="62">
        <f t="shared" si="2"/>
        <v>7</v>
      </c>
      <c r="F26" s="128" t="s">
        <v>79</v>
      </c>
      <c r="G26" s="129">
        <v>520.12162838408153</v>
      </c>
      <c r="H26" s="129">
        <v>453.38635260945932</v>
      </c>
      <c r="I26" s="129">
        <v>593.64150955022478</v>
      </c>
      <c r="J26" s="129"/>
      <c r="K26" s="129"/>
      <c r="L26" s="129"/>
      <c r="M26" s="60">
        <f t="shared" si="0"/>
        <v>5</v>
      </c>
      <c r="N26" s="61">
        <f t="shared" si="3"/>
        <v>461.93502392399483</v>
      </c>
      <c r="O26" s="61">
        <f t="shared" si="16"/>
        <v>520.12162838408153</v>
      </c>
      <c r="P26" s="129">
        <f t="shared" si="4"/>
        <v>587.10505122555446</v>
      </c>
      <c r="Q26" s="129">
        <f t="shared" si="5"/>
        <v>559.07102623776188</v>
      </c>
      <c r="R26" s="129">
        <f t="shared" si="6"/>
        <v>616.16585238294499</v>
      </c>
      <c r="S26" s="61">
        <f t="shared" si="7"/>
        <v>617.87494574764378</v>
      </c>
      <c r="T26" s="61">
        <f t="shared" si="1"/>
        <v>718.04480255815304</v>
      </c>
      <c r="U26" s="61">
        <f t="shared" si="17"/>
        <v>603.75152751013616</v>
      </c>
      <c r="V26" s="61"/>
      <c r="Y26" s="163" t="s">
        <v>39</v>
      </c>
      <c r="Z26" s="163" t="s">
        <v>158</v>
      </c>
      <c r="AA26" s="163" t="s">
        <v>200</v>
      </c>
      <c r="AB26" s="163">
        <f t="shared" si="22"/>
        <v>4</v>
      </c>
      <c r="AC26" s="166">
        <f t="shared" si="23"/>
        <v>483.57263412458207</v>
      </c>
      <c r="AD26" s="166">
        <f t="shared" si="24"/>
        <v>718.04480255815304</v>
      </c>
      <c r="AE26" s="163"/>
      <c r="AF26" s="163">
        <f t="shared" si="10"/>
        <v>12</v>
      </c>
      <c r="AG26" s="168" t="str">
        <f t="shared" si="11"/>
        <v>N/A</v>
      </c>
      <c r="AH26" s="166">
        <f t="shared" si="12"/>
        <v>571.82811009010857</v>
      </c>
      <c r="AI26" s="166">
        <f t="shared" si="13"/>
        <v>518.98513806945925</v>
      </c>
      <c r="AJ26" s="166">
        <f t="shared" si="14"/>
        <v>628.52679841184465</v>
      </c>
      <c r="AK26" s="168">
        <f t="shared" si="15"/>
        <v>5</v>
      </c>
    </row>
    <row r="27" spans="1:37" x14ac:dyDescent="0.2">
      <c r="A27" s="62" t="s">
        <v>50</v>
      </c>
      <c r="B27" s="62" t="s">
        <v>161</v>
      </c>
      <c r="C27" s="62" t="s">
        <v>163</v>
      </c>
      <c r="D27" s="62"/>
      <c r="E27" s="62">
        <f t="shared" si="2"/>
        <v>11</v>
      </c>
      <c r="F27" s="128" t="s">
        <v>79</v>
      </c>
      <c r="G27" s="129">
        <v>565.69288517549217</v>
      </c>
      <c r="H27" s="129">
        <v>493.70149084790717</v>
      </c>
      <c r="I27" s="129">
        <v>645.12088515761968</v>
      </c>
      <c r="J27" s="129"/>
      <c r="K27" s="129"/>
      <c r="L27" s="129"/>
      <c r="M27" s="60">
        <f t="shared" si="0"/>
        <v>5</v>
      </c>
      <c r="N27" s="61">
        <f t="shared" si="3"/>
        <v>461.93502392399483</v>
      </c>
      <c r="O27" s="61">
        <f t="shared" si="16"/>
        <v>520.12162838408153</v>
      </c>
      <c r="P27" s="129">
        <f t="shared" si="4"/>
        <v>587.10505122555446</v>
      </c>
      <c r="Q27" s="129">
        <f t="shared" si="5"/>
        <v>559.07102623776188</v>
      </c>
      <c r="R27" s="129">
        <f t="shared" si="6"/>
        <v>616.16585238294499</v>
      </c>
      <c r="S27" s="61">
        <f t="shared" si="7"/>
        <v>617.87494574764378</v>
      </c>
      <c r="T27" s="61">
        <f t="shared" si="1"/>
        <v>718.04480255815304</v>
      </c>
      <c r="U27" s="61">
        <f t="shared" si="17"/>
        <v>610.11984226579921</v>
      </c>
      <c r="V27" s="61"/>
      <c r="Y27" s="163" t="s">
        <v>40</v>
      </c>
      <c r="Z27" s="163" t="s">
        <v>63</v>
      </c>
      <c r="AA27" s="163" t="s">
        <v>200</v>
      </c>
      <c r="AB27" s="163">
        <f t="shared" si="22"/>
        <v>6</v>
      </c>
      <c r="AC27" s="166">
        <f t="shared" si="23"/>
        <v>483.57263412458207</v>
      </c>
      <c r="AD27" s="166">
        <f t="shared" si="24"/>
        <v>718.04480255815304</v>
      </c>
      <c r="AE27" s="163"/>
      <c r="AF27" s="163">
        <f t="shared" si="10"/>
        <v>14</v>
      </c>
      <c r="AG27" s="168" t="str">
        <f t="shared" si="11"/>
        <v>N/A</v>
      </c>
      <c r="AH27" s="166">
        <f t="shared" si="12"/>
        <v>580.76836831129901</v>
      </c>
      <c r="AI27" s="166">
        <f t="shared" si="13"/>
        <v>500.97844761626322</v>
      </c>
      <c r="AJ27" s="166">
        <f t="shared" si="14"/>
        <v>669.51061680512851</v>
      </c>
      <c r="AK27" s="168">
        <f t="shared" si="15"/>
        <v>5</v>
      </c>
    </row>
    <row r="28" spans="1:37" x14ac:dyDescent="0.2">
      <c r="A28" s="62" t="s">
        <v>51</v>
      </c>
      <c r="B28" s="62" t="s">
        <v>71</v>
      </c>
      <c r="C28" s="62" t="s">
        <v>200</v>
      </c>
      <c r="D28" s="62"/>
      <c r="E28" s="62">
        <f t="shared" si="2"/>
        <v>18</v>
      </c>
      <c r="F28" s="128" t="s">
        <v>79</v>
      </c>
      <c r="G28" s="129">
        <v>604.52196822438452</v>
      </c>
      <c r="H28" s="129">
        <v>520.46708301289732</v>
      </c>
      <c r="I28" s="129">
        <v>698.11185825746372</v>
      </c>
      <c r="J28" s="129"/>
      <c r="K28" s="129"/>
      <c r="L28" s="129"/>
      <c r="M28" s="60">
        <f t="shared" si="0"/>
        <v>5</v>
      </c>
      <c r="N28" s="61">
        <f t="shared" si="3"/>
        <v>461.93502392399483</v>
      </c>
      <c r="O28" s="61">
        <f t="shared" si="16"/>
        <v>520.12162838408153</v>
      </c>
      <c r="P28" s="129">
        <f t="shared" si="4"/>
        <v>587.10505122555446</v>
      </c>
      <c r="Q28" s="129">
        <f t="shared" si="5"/>
        <v>559.07102623776188</v>
      </c>
      <c r="R28" s="129">
        <f t="shared" si="6"/>
        <v>616.16585238294499</v>
      </c>
      <c r="S28" s="61">
        <f t="shared" si="7"/>
        <v>617.87494574764378</v>
      </c>
      <c r="T28" s="61">
        <f t="shared" si="1"/>
        <v>718.04480255815304</v>
      </c>
      <c r="U28" s="61">
        <f t="shared" si="17"/>
        <v>603.75152751013616</v>
      </c>
      <c r="V28" s="61"/>
      <c r="Y28" s="163" t="s">
        <v>42</v>
      </c>
      <c r="Z28" s="163" t="s">
        <v>65</v>
      </c>
      <c r="AA28" s="163" t="s">
        <v>200</v>
      </c>
      <c r="AB28" s="163">
        <f t="shared" si="22"/>
        <v>1</v>
      </c>
      <c r="AC28" s="166">
        <f t="shared" si="23"/>
        <v>483.57263412458207</v>
      </c>
      <c r="AD28" s="166">
        <f t="shared" si="24"/>
        <v>718.04480255815304</v>
      </c>
      <c r="AE28" s="163"/>
      <c r="AF28" s="163">
        <f t="shared" si="10"/>
        <v>2</v>
      </c>
      <c r="AG28" s="168" t="str">
        <f t="shared" si="11"/>
        <v>N/A</v>
      </c>
      <c r="AH28" s="166">
        <f t="shared" si="12"/>
        <v>483.57263412458207</v>
      </c>
      <c r="AI28" s="166">
        <f t="shared" si="13"/>
        <v>373.26253694256599</v>
      </c>
      <c r="AJ28" s="166">
        <f t="shared" si="14"/>
        <v>615.05248352128524</v>
      </c>
      <c r="AK28" s="168">
        <f t="shared" si="15"/>
        <v>5</v>
      </c>
    </row>
    <row r="29" spans="1:37" x14ac:dyDescent="0.2">
      <c r="A29" s="62" t="s">
        <v>52</v>
      </c>
      <c r="B29" s="62" t="s">
        <v>72</v>
      </c>
      <c r="C29" s="62" t="s">
        <v>201</v>
      </c>
      <c r="D29" s="62"/>
      <c r="E29" s="62">
        <f t="shared" si="2"/>
        <v>10</v>
      </c>
      <c r="F29" s="128" t="s">
        <v>79</v>
      </c>
      <c r="G29" s="129">
        <v>561.55301337927688</v>
      </c>
      <c r="H29" s="129">
        <v>429.1569155077791</v>
      </c>
      <c r="I29" s="129">
        <v>718.79445620133117</v>
      </c>
      <c r="J29" s="129"/>
      <c r="K29" s="129"/>
      <c r="L29" s="129"/>
      <c r="M29" s="60">
        <f t="shared" si="0"/>
        <v>5</v>
      </c>
      <c r="N29" s="61">
        <f t="shared" si="3"/>
        <v>461.93502392399483</v>
      </c>
      <c r="O29" s="61">
        <f t="shared" si="16"/>
        <v>520.12162838408153</v>
      </c>
      <c r="P29" s="129">
        <f t="shared" si="4"/>
        <v>587.10505122555446</v>
      </c>
      <c r="Q29" s="129">
        <f t="shared" si="5"/>
        <v>559.07102623776188</v>
      </c>
      <c r="R29" s="129">
        <f t="shared" si="6"/>
        <v>616.16585238294499</v>
      </c>
      <c r="S29" s="61">
        <f t="shared" si="7"/>
        <v>617.87494574764378</v>
      </c>
      <c r="T29" s="61">
        <f t="shared" si="1"/>
        <v>718.04480255815304</v>
      </c>
      <c r="U29" s="61">
        <f t="shared" si="17"/>
        <v>529.06842359897689</v>
      </c>
      <c r="V29" s="61"/>
      <c r="Y29" s="163" t="s">
        <v>44</v>
      </c>
      <c r="Z29" s="163" t="s">
        <v>66</v>
      </c>
      <c r="AA29" s="163" t="s">
        <v>200</v>
      </c>
      <c r="AB29" s="163">
        <f t="shared" si="22"/>
        <v>3</v>
      </c>
      <c r="AC29" s="166">
        <f t="shared" si="23"/>
        <v>483.57263412458207</v>
      </c>
      <c r="AD29" s="166">
        <f t="shared" si="24"/>
        <v>718.04480255815304</v>
      </c>
      <c r="AE29" s="163"/>
      <c r="AF29" s="163">
        <f t="shared" si="10"/>
        <v>8</v>
      </c>
      <c r="AG29" s="168" t="str">
        <f t="shared" si="11"/>
        <v>N/A</v>
      </c>
      <c r="AH29" s="166">
        <f t="shared" si="12"/>
        <v>526.09318783565629</v>
      </c>
      <c r="AI29" s="166">
        <f t="shared" si="13"/>
        <v>435.71466749999468</v>
      </c>
      <c r="AJ29" s="166">
        <f t="shared" si="14"/>
        <v>629.32646676019306</v>
      </c>
      <c r="AK29" s="168">
        <f t="shared" si="15"/>
        <v>5</v>
      </c>
    </row>
    <row r="30" spans="1:37" x14ac:dyDescent="0.2">
      <c r="A30" s="62" t="s">
        <v>53</v>
      </c>
      <c r="B30" s="62" t="s">
        <v>162</v>
      </c>
      <c r="C30" s="62" t="s">
        <v>163</v>
      </c>
      <c r="D30" s="62"/>
      <c r="E30" s="62">
        <f t="shared" si="2"/>
        <v>17</v>
      </c>
      <c r="F30" s="128" t="s">
        <v>79</v>
      </c>
      <c r="G30" s="129">
        <v>602.26344938579757</v>
      </c>
      <c r="H30" s="129">
        <v>558.91844035561269</v>
      </c>
      <c r="I30" s="129">
        <v>648.05608741507933</v>
      </c>
      <c r="J30" s="129"/>
      <c r="K30" s="129"/>
      <c r="L30" s="129"/>
      <c r="M30" s="60">
        <f t="shared" si="0"/>
        <v>5</v>
      </c>
      <c r="N30" s="61">
        <f t="shared" si="3"/>
        <v>461.93502392399483</v>
      </c>
      <c r="O30" s="61">
        <f t="shared" si="16"/>
        <v>520.12162838408153</v>
      </c>
      <c r="P30" s="129">
        <f>$G$32</f>
        <v>587.10505122555446</v>
      </c>
      <c r="Q30" s="129">
        <f t="shared" si="5"/>
        <v>559.07102623776188</v>
      </c>
      <c r="R30" s="129">
        <f t="shared" si="6"/>
        <v>616.16585238294499</v>
      </c>
      <c r="S30" s="61">
        <f t="shared" si="7"/>
        <v>617.87494574764378</v>
      </c>
      <c r="T30" s="61">
        <f t="shared" si="1"/>
        <v>718.04480255815304</v>
      </c>
      <c r="U30" s="61">
        <f t="shared" si="17"/>
        <v>610.11984226579921</v>
      </c>
      <c r="V30" s="61"/>
      <c r="Y30" s="163" t="s">
        <v>49</v>
      </c>
      <c r="Z30" s="163" t="s">
        <v>70</v>
      </c>
      <c r="AA30" s="163" t="s">
        <v>200</v>
      </c>
      <c r="AB30" s="163">
        <f t="shared" si="22"/>
        <v>2</v>
      </c>
      <c r="AC30" s="166">
        <f t="shared" si="23"/>
        <v>483.57263412458207</v>
      </c>
      <c r="AD30" s="166">
        <f t="shared" si="24"/>
        <v>718.04480255815304</v>
      </c>
      <c r="AE30" s="163"/>
      <c r="AF30" s="163">
        <f t="shared" si="10"/>
        <v>7</v>
      </c>
      <c r="AG30" s="168" t="str">
        <f t="shared" si="11"/>
        <v>N/A</v>
      </c>
      <c r="AH30" s="166">
        <f t="shared" si="12"/>
        <v>520.12162838408153</v>
      </c>
      <c r="AI30" s="166">
        <f t="shared" si="13"/>
        <v>453.38635260945932</v>
      </c>
      <c r="AJ30" s="166">
        <f t="shared" si="14"/>
        <v>593.64150955022478</v>
      </c>
      <c r="AK30" s="168">
        <f t="shared" si="15"/>
        <v>5</v>
      </c>
    </row>
    <row r="31" spans="1:37" x14ac:dyDescent="0.2">
      <c r="A31" s="62" t="s">
        <v>54</v>
      </c>
      <c r="B31" s="62" t="s">
        <v>73</v>
      </c>
      <c r="C31" s="62" t="s">
        <v>201</v>
      </c>
      <c r="D31" s="62"/>
      <c r="E31" s="62">
        <f t="shared" si="2"/>
        <v>9</v>
      </c>
      <c r="F31" s="128" t="s">
        <v>79</v>
      </c>
      <c r="G31" s="129">
        <v>554.01230256064105</v>
      </c>
      <c r="H31" s="129">
        <v>472.93706708554737</v>
      </c>
      <c r="I31" s="129">
        <v>644.38833325404642</v>
      </c>
      <c r="J31" s="129"/>
      <c r="K31" s="129"/>
      <c r="L31" s="129"/>
      <c r="M31" s="60">
        <f t="shared" si="0"/>
        <v>5</v>
      </c>
      <c r="N31" s="61">
        <f t="shared" si="3"/>
        <v>461.93502392399483</v>
      </c>
      <c r="O31" s="61">
        <f t="shared" si="16"/>
        <v>520.12162838408153</v>
      </c>
      <c r="P31" s="129">
        <f t="shared" si="4"/>
        <v>587.10505122555446</v>
      </c>
      <c r="Q31" s="129">
        <f t="shared" si="5"/>
        <v>559.07102623776188</v>
      </c>
      <c r="R31" s="129">
        <f t="shared" si="6"/>
        <v>616.16585238294499</v>
      </c>
      <c r="S31" s="61">
        <f t="shared" si="7"/>
        <v>617.87494574764378</v>
      </c>
      <c r="T31" s="61">
        <f t="shared" si="1"/>
        <v>718.04480255815304</v>
      </c>
      <c r="U31" s="61">
        <f t="shared" si="17"/>
        <v>529.06842359897689</v>
      </c>
      <c r="V31" s="61"/>
      <c r="Y31" s="163" t="s">
        <v>51</v>
      </c>
      <c r="Z31" s="163" t="s">
        <v>71</v>
      </c>
      <c r="AA31" s="163" t="s">
        <v>200</v>
      </c>
      <c r="AB31" s="163">
        <f t="shared" si="22"/>
        <v>8</v>
      </c>
      <c r="AC31" s="166">
        <f t="shared" si="23"/>
        <v>483.57263412458207</v>
      </c>
      <c r="AD31" s="166">
        <f t="shared" si="24"/>
        <v>718.04480255815304</v>
      </c>
      <c r="AE31" s="163"/>
      <c r="AF31" s="163">
        <f t="shared" si="10"/>
        <v>18</v>
      </c>
      <c r="AG31" s="168" t="str">
        <f t="shared" si="11"/>
        <v>N/A</v>
      </c>
      <c r="AH31" s="166">
        <f t="shared" si="12"/>
        <v>604.52196822438452</v>
      </c>
      <c r="AI31" s="166">
        <f t="shared" si="13"/>
        <v>520.46708301289732</v>
      </c>
      <c r="AJ31" s="166">
        <f t="shared" si="14"/>
        <v>698.11185825746372</v>
      </c>
      <c r="AK31" s="168">
        <f t="shared" si="15"/>
        <v>5</v>
      </c>
    </row>
    <row r="32" spans="1:37" x14ac:dyDescent="0.2">
      <c r="A32" s="62"/>
      <c r="B32" s="62" t="s">
        <v>171</v>
      </c>
      <c r="C32" s="62"/>
      <c r="D32" s="62"/>
      <c r="E32" s="62"/>
      <c r="F32" s="128">
        <v>1692</v>
      </c>
      <c r="G32" s="129">
        <v>587.10505122555446</v>
      </c>
      <c r="H32" s="129">
        <v>559.07102623776188</v>
      </c>
      <c r="I32" s="129">
        <v>616.16585238294499</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245" t="s">
        <v>274</v>
      </c>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740</v>
      </c>
      <c r="G44" s="129">
        <v>610.11984226579921</v>
      </c>
      <c r="H44" s="129">
        <v>566.56835068215514</v>
      </c>
      <c r="I44" s="129">
        <v>656.10826567175411</v>
      </c>
      <c r="J44" s="129">
        <f>VLOOKUP($C44,$AA$6:$AD$13,3,FALSE)</f>
        <v>565.69288517549217</v>
      </c>
      <c r="K44" s="129">
        <f>VLOOKUP($C44,$AA$6:$AD$13,4,FALSE)</f>
        <v>633.50858126713149</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5</v>
      </c>
      <c r="N44" s="61">
        <f>MIN($G$6:$G$31)</f>
        <v>461.93502392399483</v>
      </c>
      <c r="O44" s="61">
        <f>VLOOKUP(7,$E$5:$G$39,3,FALSE)</f>
        <v>520.12162838408153</v>
      </c>
      <c r="P44" s="129">
        <f>$G$32</f>
        <v>587.10505122555446</v>
      </c>
      <c r="Q44" s="129">
        <f>$H$32</f>
        <v>559.07102623776188</v>
      </c>
      <c r="R44" s="129">
        <f>$I$32</f>
        <v>616.16585238294499</v>
      </c>
      <c r="S44" s="61">
        <f>VLOOKUP(20,$E$5:$G$39,3,FALSE)</f>
        <v>617.87494574764378</v>
      </c>
      <c r="T44" s="61">
        <f>MAX($G$6:$G$31)</f>
        <v>718.04480255815304</v>
      </c>
    </row>
    <row r="45" spans="1:22" x14ac:dyDescent="0.2">
      <c r="C45" s="62" t="s">
        <v>201</v>
      </c>
      <c r="D45" s="62"/>
      <c r="E45" s="62"/>
      <c r="F45" s="128">
        <v>379</v>
      </c>
      <c r="G45" s="129">
        <v>529.06842359897689</v>
      </c>
      <c r="H45" s="129">
        <v>475.57313512429914</v>
      </c>
      <c r="I45" s="129">
        <v>586.79724260094395</v>
      </c>
      <c r="J45" s="129">
        <f>VLOOKUP($C45,$AA$14:$AD$22,3,FALSE)</f>
        <v>461.93502392399483</v>
      </c>
      <c r="K45" s="129">
        <f>VLOOKUP($C45,$AA$14:$AD$22,4,FALSE)</f>
        <v>625.98233740984392</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5</v>
      </c>
      <c r="N45" s="61">
        <f>MIN($G$6:$G$31)</f>
        <v>461.93502392399483</v>
      </c>
      <c r="O45" s="61">
        <f>VLOOKUP(7,$E$5:$G$39,3,FALSE)</f>
        <v>520.12162838408153</v>
      </c>
      <c r="P45" s="129">
        <f>$G$32</f>
        <v>587.10505122555446</v>
      </c>
      <c r="Q45" s="129">
        <f t="shared" ref="Q45:Q46" si="25">$H$32</f>
        <v>559.07102623776188</v>
      </c>
      <c r="R45" s="129">
        <f t="shared" ref="R45:R46" si="26">$I$32</f>
        <v>616.16585238294499</v>
      </c>
      <c r="S45" s="61">
        <f>VLOOKUP(20,$E$5:$G$39,3,FALSE)</f>
        <v>617.87494574764378</v>
      </c>
      <c r="T45" s="61">
        <f t="shared" ref="T45:T46" si="27">MAX($G$6:$G$31)</f>
        <v>718.04480255815304</v>
      </c>
    </row>
    <row r="46" spans="1:22" x14ac:dyDescent="0.2">
      <c r="C46" s="62" t="s">
        <v>200</v>
      </c>
      <c r="D46" s="62"/>
      <c r="E46" s="62"/>
      <c r="F46" s="128">
        <v>573</v>
      </c>
      <c r="G46" s="129">
        <v>603.75152751013616</v>
      </c>
      <c r="H46" s="129">
        <v>554.5950871586856</v>
      </c>
      <c r="I46" s="129">
        <v>656.04674642849079</v>
      </c>
      <c r="J46" s="129">
        <f>VLOOKUP($C46,$AA$23:$AD$31,3,FALSE)</f>
        <v>483.57263412458207</v>
      </c>
      <c r="K46" s="129">
        <f>VLOOKUP($C46,$AA$23:$AD$31,4,FALSE)</f>
        <v>718.04480255815304</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5</v>
      </c>
      <c r="N46" s="61">
        <f>MIN($G$6:$G$31)</f>
        <v>461.93502392399483</v>
      </c>
      <c r="O46" s="61">
        <f>VLOOKUP(7,$E$5:$G$39,3,FALSE)</f>
        <v>520.12162838408153</v>
      </c>
      <c r="P46" s="129">
        <f t="shared" ref="P46" si="28">$G$32</f>
        <v>587.10505122555446</v>
      </c>
      <c r="Q46" s="129">
        <f t="shared" si="25"/>
        <v>559.07102623776188</v>
      </c>
      <c r="R46" s="129">
        <f t="shared" si="26"/>
        <v>616.16585238294499</v>
      </c>
      <c r="S46" s="61">
        <f>VLOOKUP(20,$E$5:$G$39,3,FALSE)</f>
        <v>617.87494574764378</v>
      </c>
      <c r="T46" s="61">
        <f t="shared" si="27"/>
        <v>718.04480255815304</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C2:D2" xr:uid="{00000000-0002-0000-1E00-000000000000}">
      <formula1>"Better / Worse,Higher / Lower,Significance not measured"</formula1>
    </dataValidation>
    <dataValidation type="list" allowBlank="1" showInputMessage="1" showErrorMessage="1" sqref="K2:N2" xr:uid="{00000000-0002-0000-1E00-000001000000}">
      <formula1>"High = Worst,Low = Worst"</formula1>
    </dataValidation>
  </dataValidations>
  <pageMargins left="0.75" right="0.75" top="1" bottom="1" header="0.5" footer="0.5"/>
  <pageSetup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theme="6" tint="0.39997558519241921"/>
  </sheetPr>
  <dimension ref="A1:AK55"/>
  <sheetViews>
    <sheetView workbookViewId="0">
      <selection activeCell="J53" sqref="J53"/>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8" width="7.33203125" style="21" customWidth="1"/>
    <col min="9" max="9" width="6.886718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5.554687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16</v>
      </c>
      <c r="F6" s="128" t="s">
        <v>79</v>
      </c>
      <c r="G6" s="129">
        <v>77.506111057963082</v>
      </c>
      <c r="H6" s="129">
        <v>56.054312670216497</v>
      </c>
      <c r="I6" s="129">
        <v>104.37182115792156</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5</v>
      </c>
      <c r="N6" s="61">
        <f>MIN($G$6:$G$32)</f>
        <v>44.334041733063991</v>
      </c>
      <c r="O6" s="61">
        <f>VLOOKUP(7,$E$5:$G$39,3,FALSE)</f>
        <v>66.242857022666101</v>
      </c>
      <c r="P6" s="129">
        <f>$G$32</f>
        <v>72.521498279672301</v>
      </c>
      <c r="Q6" s="129">
        <f>$H$32</f>
        <v>65.362546636490976</v>
      </c>
      <c r="R6" s="129">
        <f>$I$32</f>
        <v>80.244674211577859</v>
      </c>
      <c r="S6" s="61">
        <f>VLOOKUP(20,$E$5:$G$39,3,FALSE)</f>
        <v>80.036640937897857</v>
      </c>
      <c r="T6" s="61">
        <f t="shared" ref="T6:T31" si="1">MAX($G$6:$G$31)</f>
        <v>105.12680216602915</v>
      </c>
      <c r="U6" s="61">
        <f>VLOOKUP(C6,$C$43:$I$46,5,FALSE)</f>
        <v>81.392029308541638</v>
      </c>
      <c r="V6" s="61"/>
      <c r="Y6" s="159" t="s">
        <v>33</v>
      </c>
      <c r="Z6" s="159" t="s">
        <v>58</v>
      </c>
      <c r="AA6" s="159" t="s">
        <v>163</v>
      </c>
      <c r="AB6" s="159">
        <f>RANK(AH6,$AH$6:$AH$13,1)</f>
        <v>7</v>
      </c>
      <c r="AC6" s="164">
        <f>MIN($AH$6:$AH$13)</f>
        <v>68.373665253953078</v>
      </c>
      <c r="AD6" s="164">
        <f>MAX($AH$6:$AH$13)</f>
        <v>78.03899148811486</v>
      </c>
      <c r="AE6" s="159"/>
      <c r="AF6" s="159">
        <f>VLOOKUP($Y6,$A$6:$I$31,5,FALSE)</f>
        <v>15</v>
      </c>
      <c r="AG6" s="160" t="str">
        <f>VLOOKUP($Y6,$A$6:$I$31,6,FALSE)</f>
        <v>N/A</v>
      </c>
      <c r="AH6" s="161">
        <f>VLOOKUP($Y6,$A$6:$I$31,7,FALSE)</f>
        <v>75.080298998413824</v>
      </c>
      <c r="AI6" s="161">
        <f>VLOOKUP($Y6,$A$6:$I$31,8,FALSE)</f>
        <v>62.178967657374223</v>
      </c>
      <c r="AJ6" s="161">
        <f>VLOOKUP($Y6,$A$6:$I$31,9,FALSE)</f>
        <v>89.857340330193807</v>
      </c>
      <c r="AK6" s="160">
        <f>VLOOKUP($Y6,$A$6:$M$31,13,FALSE)</f>
        <v>5</v>
      </c>
    </row>
    <row r="7" spans="1:37" x14ac:dyDescent="0.2">
      <c r="A7" s="62" t="s">
        <v>30</v>
      </c>
      <c r="B7" s="62" t="s">
        <v>56</v>
      </c>
      <c r="C7" s="62" t="s">
        <v>200</v>
      </c>
      <c r="D7" s="62"/>
      <c r="E7" s="62">
        <f t="shared" ref="E7:E31" si="2">RANK(G7,$G$6:$G$31,1)</f>
        <v>7</v>
      </c>
      <c r="F7" s="128" t="s">
        <v>79</v>
      </c>
      <c r="G7" s="129">
        <v>66.242857022666101</v>
      </c>
      <c r="H7" s="129">
        <v>47.494918389778768</v>
      </c>
      <c r="I7" s="129">
        <v>89.848166615018727</v>
      </c>
      <c r="J7" s="129"/>
      <c r="K7" s="129"/>
      <c r="L7" s="129"/>
      <c r="M7" s="60">
        <f t="shared" si="0"/>
        <v>5</v>
      </c>
      <c r="N7" s="61">
        <f t="shared" ref="N7:N31" si="3">MIN($G$6:$G$32)</f>
        <v>44.334041733063991</v>
      </c>
      <c r="O7" s="61">
        <f>VLOOKUP(7,$E$5:$G$39,3,FALSE)</f>
        <v>66.242857022666101</v>
      </c>
      <c r="P7" s="129">
        <f t="shared" ref="P7:P31" si="4">$G$32</f>
        <v>72.521498279672301</v>
      </c>
      <c r="Q7" s="129">
        <f t="shared" ref="Q7:Q31" si="5">$H$32</f>
        <v>65.362546636490976</v>
      </c>
      <c r="R7" s="129">
        <f t="shared" ref="R7:R31" si="6">$I$32</f>
        <v>80.244674211577859</v>
      </c>
      <c r="S7" s="61">
        <f t="shared" ref="S7:S31" si="7">VLOOKUP(20,$E$5:$G$39,3,FALSE)</f>
        <v>80.036640937897857</v>
      </c>
      <c r="T7" s="61">
        <f t="shared" si="1"/>
        <v>105.12680216602915</v>
      </c>
      <c r="U7" s="61">
        <f>VLOOKUP(C7,$C$43:$I$46,5,FALSE)</f>
        <v>67.021923142834083</v>
      </c>
      <c r="V7" s="61"/>
      <c r="Y7" s="159" t="s">
        <v>35</v>
      </c>
      <c r="Z7" s="159" t="s">
        <v>60</v>
      </c>
      <c r="AA7" s="159" t="s">
        <v>163</v>
      </c>
      <c r="AB7" s="159">
        <f t="shared" ref="AB7:AB12" si="8">RANK(AH7,$AH$6:$AH$13,1)</f>
        <v>2</v>
      </c>
      <c r="AC7" s="164">
        <f>MIN($AH$6:$AH$13)</f>
        <v>68.373665253953078</v>
      </c>
      <c r="AD7" s="164">
        <f t="shared" ref="AD7:AD13" si="9">MAX($AH$6:$AH$13)</f>
        <v>78.03899148811486</v>
      </c>
      <c r="AE7" s="159"/>
      <c r="AF7" s="159">
        <f t="shared" ref="AF7:AF31" si="10">VLOOKUP($Y7,$A$6:$I$31,5,FALSE)</f>
        <v>10</v>
      </c>
      <c r="AG7" s="160" t="str">
        <f t="shared" ref="AG7:AG31" si="11">VLOOKUP($Y7,$A$6:$I$31,6,FALSE)</f>
        <v>N/A</v>
      </c>
      <c r="AH7" s="161">
        <f t="shared" ref="AH7:AH31" si="12">VLOOKUP($Y7,$A$6:$I$31,7,FALSE)</f>
        <v>71.725412454780624</v>
      </c>
      <c r="AI7" s="161">
        <f t="shared" ref="AI7:AI31" si="13">VLOOKUP($Y7,$A$6:$I$31,8,FALSE)</f>
        <v>57.376665719921284</v>
      </c>
      <c r="AJ7" s="161">
        <f t="shared" ref="AJ7:AJ31" si="14">VLOOKUP($Y7,$A$6:$I$31,9,FALSE)</f>
        <v>88.557022429764473</v>
      </c>
      <c r="AK7" s="160">
        <f t="shared" ref="AK7:AK31" si="15">VLOOKUP($Y7,$A$6:$M$31,13,FALSE)</f>
        <v>5</v>
      </c>
    </row>
    <row r="8" spans="1:37" x14ac:dyDescent="0.2">
      <c r="A8" s="62" t="s">
        <v>31</v>
      </c>
      <c r="B8" s="62" t="s">
        <v>57</v>
      </c>
      <c r="C8" s="62" t="s">
        <v>200</v>
      </c>
      <c r="D8" s="62"/>
      <c r="E8" s="62">
        <f t="shared" si="2"/>
        <v>6</v>
      </c>
      <c r="F8" s="128" t="s">
        <v>79</v>
      </c>
      <c r="G8" s="129">
        <v>65.853712496527237</v>
      </c>
      <c r="H8" s="129">
        <v>53.978049484695241</v>
      </c>
      <c r="I8" s="129">
        <v>79.547801620579719</v>
      </c>
      <c r="J8" s="129"/>
      <c r="K8" s="129"/>
      <c r="L8" s="129"/>
      <c r="M8" s="60">
        <f t="shared" si="0"/>
        <v>5</v>
      </c>
      <c r="N8" s="61">
        <f t="shared" si="3"/>
        <v>44.334041733063991</v>
      </c>
      <c r="O8" s="61">
        <f t="shared" ref="O8:O31" si="16">VLOOKUP(7,$E$5:$G$39,3,FALSE)</f>
        <v>66.242857022666101</v>
      </c>
      <c r="P8" s="129">
        <f t="shared" si="4"/>
        <v>72.521498279672301</v>
      </c>
      <c r="Q8" s="129">
        <f t="shared" si="5"/>
        <v>65.362546636490976</v>
      </c>
      <c r="R8" s="129">
        <f t="shared" si="6"/>
        <v>80.244674211577859</v>
      </c>
      <c r="S8" s="61">
        <f t="shared" si="7"/>
        <v>80.036640937897857</v>
      </c>
      <c r="T8" s="61">
        <f t="shared" si="1"/>
        <v>105.12680216602915</v>
      </c>
      <c r="U8" s="61">
        <f t="shared" ref="U8:U31" si="17">VLOOKUP(C8,$C$43:$I$46,5,FALSE)</f>
        <v>67.021923142834083</v>
      </c>
      <c r="V8" s="61"/>
      <c r="Y8" s="159" t="s">
        <v>41</v>
      </c>
      <c r="Z8" s="159" t="s">
        <v>64</v>
      </c>
      <c r="AA8" s="159" t="s">
        <v>163</v>
      </c>
      <c r="AB8" s="159">
        <f t="shared" si="8"/>
        <v>4</v>
      </c>
      <c r="AC8" s="164">
        <f t="shared" ref="AC8:AC13" si="18">MIN($AH$6:$AH$13)</f>
        <v>68.373665253953078</v>
      </c>
      <c r="AD8" s="164">
        <f>MAX($AH$6:$AH$13)</f>
        <v>78.03899148811486</v>
      </c>
      <c r="AE8" s="159"/>
      <c r="AF8" s="159">
        <f t="shared" si="10"/>
        <v>12</v>
      </c>
      <c r="AG8" s="160" t="str">
        <f t="shared" si="11"/>
        <v>N/A</v>
      </c>
      <c r="AH8" s="161">
        <f t="shared" si="12"/>
        <v>73.819146103764226</v>
      </c>
      <c r="AI8" s="161">
        <f t="shared" si="13"/>
        <v>60.299568248375124</v>
      </c>
      <c r="AJ8" s="161">
        <f t="shared" si="14"/>
        <v>89.451117794089726</v>
      </c>
      <c r="AK8" s="160">
        <f t="shared" si="15"/>
        <v>5</v>
      </c>
    </row>
    <row r="9" spans="1:37" x14ac:dyDescent="0.2">
      <c r="A9" s="62" t="s">
        <v>32</v>
      </c>
      <c r="B9" s="62" t="s">
        <v>156</v>
      </c>
      <c r="C9" s="62" t="s">
        <v>201</v>
      </c>
      <c r="D9" s="62"/>
      <c r="E9" s="62">
        <f t="shared" si="2"/>
        <v>22</v>
      </c>
      <c r="F9" s="128" t="s">
        <v>79</v>
      </c>
      <c r="G9" s="129">
        <v>84.811261621330431</v>
      </c>
      <c r="H9" s="129">
        <v>69.099654994859847</v>
      </c>
      <c r="I9" s="129">
        <v>102.97776005949115</v>
      </c>
      <c r="J9" s="129"/>
      <c r="K9" s="129"/>
      <c r="L9" s="129"/>
      <c r="M9" s="60">
        <f t="shared" si="0"/>
        <v>5</v>
      </c>
      <c r="N9" s="61">
        <f t="shared" si="3"/>
        <v>44.334041733063991</v>
      </c>
      <c r="O9" s="61">
        <f t="shared" si="16"/>
        <v>66.242857022666101</v>
      </c>
      <c r="P9" s="129">
        <f t="shared" si="4"/>
        <v>72.521498279672301</v>
      </c>
      <c r="Q9" s="129">
        <f t="shared" si="5"/>
        <v>65.362546636490976</v>
      </c>
      <c r="R9" s="129">
        <f t="shared" si="6"/>
        <v>80.244674211577859</v>
      </c>
      <c r="S9" s="61">
        <f t="shared" si="7"/>
        <v>80.036640937897857</v>
      </c>
      <c r="T9" s="61">
        <f t="shared" si="1"/>
        <v>105.12680216602915</v>
      </c>
      <c r="U9" s="61">
        <f t="shared" si="17"/>
        <v>81.392029308541638</v>
      </c>
      <c r="V9" s="61"/>
      <c r="X9" s="63"/>
      <c r="Y9" s="159" t="s">
        <v>45</v>
      </c>
      <c r="Z9" s="159" t="s">
        <v>67</v>
      </c>
      <c r="AA9" s="159" t="s">
        <v>163</v>
      </c>
      <c r="AB9" s="159">
        <f t="shared" si="8"/>
        <v>5</v>
      </c>
      <c r="AC9" s="164">
        <f t="shared" si="18"/>
        <v>68.373665253953078</v>
      </c>
      <c r="AD9" s="164">
        <f t="shared" si="9"/>
        <v>78.03899148811486</v>
      </c>
      <c r="AE9" s="159"/>
      <c r="AF9" s="159">
        <f t="shared" si="10"/>
        <v>13</v>
      </c>
      <c r="AG9" s="160" t="str">
        <f t="shared" si="11"/>
        <v>N/A</v>
      </c>
      <c r="AH9" s="161">
        <f t="shared" si="12"/>
        <v>74.265505594456769</v>
      </c>
      <c r="AI9" s="161">
        <f t="shared" si="13"/>
        <v>58.624045896775698</v>
      </c>
      <c r="AJ9" s="161">
        <f t="shared" si="14"/>
        <v>92.779828614865011</v>
      </c>
      <c r="AK9" s="160">
        <f t="shared" si="15"/>
        <v>5</v>
      </c>
    </row>
    <row r="10" spans="1:37" x14ac:dyDescent="0.2">
      <c r="A10" s="62" t="s">
        <v>33</v>
      </c>
      <c r="B10" s="62" t="s">
        <v>58</v>
      </c>
      <c r="C10" s="62" t="s">
        <v>163</v>
      </c>
      <c r="D10" s="62"/>
      <c r="E10" s="62">
        <f t="shared" si="2"/>
        <v>15</v>
      </c>
      <c r="F10" s="128" t="s">
        <v>79</v>
      </c>
      <c r="G10" s="129">
        <v>75.080298998413824</v>
      </c>
      <c r="H10" s="129">
        <v>62.178967657374223</v>
      </c>
      <c r="I10" s="129">
        <v>89.857340330193807</v>
      </c>
      <c r="J10" s="129"/>
      <c r="K10" s="129"/>
      <c r="L10" s="129"/>
      <c r="M10" s="60">
        <f t="shared" si="0"/>
        <v>5</v>
      </c>
      <c r="N10" s="61">
        <f t="shared" si="3"/>
        <v>44.334041733063991</v>
      </c>
      <c r="O10" s="61">
        <f t="shared" si="16"/>
        <v>66.242857022666101</v>
      </c>
      <c r="P10" s="129">
        <f t="shared" si="4"/>
        <v>72.521498279672301</v>
      </c>
      <c r="Q10" s="129">
        <f t="shared" si="5"/>
        <v>65.362546636490976</v>
      </c>
      <c r="R10" s="129">
        <f t="shared" si="6"/>
        <v>80.244674211577859</v>
      </c>
      <c r="S10" s="61">
        <f t="shared" si="7"/>
        <v>80.036640937897857</v>
      </c>
      <c r="T10" s="61">
        <f t="shared" si="1"/>
        <v>105.12680216602915</v>
      </c>
      <c r="U10" s="61">
        <f t="shared" si="17"/>
        <v>71.599078215424043</v>
      </c>
      <c r="V10" s="61"/>
      <c r="Y10" s="159" t="s">
        <v>46</v>
      </c>
      <c r="Z10" s="159" t="s">
        <v>68</v>
      </c>
      <c r="AA10" s="159" t="s">
        <v>163</v>
      </c>
      <c r="AB10" s="159">
        <f t="shared" si="8"/>
        <v>6</v>
      </c>
      <c r="AC10" s="164">
        <f t="shared" si="18"/>
        <v>68.373665253953078</v>
      </c>
      <c r="AD10" s="164">
        <f t="shared" si="9"/>
        <v>78.03899148811486</v>
      </c>
      <c r="AE10" s="159"/>
      <c r="AF10" s="159">
        <f t="shared" si="10"/>
        <v>14</v>
      </c>
      <c r="AG10" s="160" t="str">
        <f t="shared" si="11"/>
        <v>N/A</v>
      </c>
      <c r="AH10" s="161">
        <f t="shared" si="12"/>
        <v>74.590652727998688</v>
      </c>
      <c r="AI10" s="161">
        <f t="shared" si="13"/>
        <v>61.174951819585125</v>
      </c>
      <c r="AJ10" s="161">
        <f t="shared" si="14"/>
        <v>90.060593540432222</v>
      </c>
      <c r="AK10" s="160">
        <f t="shared" si="15"/>
        <v>5</v>
      </c>
    </row>
    <row r="11" spans="1:37" x14ac:dyDescent="0.2">
      <c r="A11" s="62" t="s">
        <v>34</v>
      </c>
      <c r="B11" s="62" t="s">
        <v>59</v>
      </c>
      <c r="C11" s="62" t="s">
        <v>200</v>
      </c>
      <c r="D11" s="62"/>
      <c r="E11" s="62">
        <f t="shared" si="2"/>
        <v>9</v>
      </c>
      <c r="F11" s="128" t="s">
        <v>79</v>
      </c>
      <c r="G11" s="129">
        <v>70.467609419183816</v>
      </c>
      <c r="H11" s="129">
        <v>57.175705393130755</v>
      </c>
      <c r="I11" s="129">
        <v>85.891909113453366</v>
      </c>
      <c r="J11" s="129"/>
      <c r="K11" s="129"/>
      <c r="L11" s="129"/>
      <c r="M11" s="60">
        <f t="shared" si="0"/>
        <v>5</v>
      </c>
      <c r="N11" s="61">
        <f t="shared" si="3"/>
        <v>44.334041733063991</v>
      </c>
      <c r="O11" s="61">
        <f t="shared" si="16"/>
        <v>66.242857022666101</v>
      </c>
      <c r="P11" s="129">
        <f t="shared" si="4"/>
        <v>72.521498279672301</v>
      </c>
      <c r="Q11" s="129">
        <f t="shared" si="5"/>
        <v>65.362546636490976</v>
      </c>
      <c r="R11" s="129">
        <f t="shared" si="6"/>
        <v>80.244674211577859</v>
      </c>
      <c r="S11" s="61">
        <f t="shared" si="7"/>
        <v>80.036640937897857</v>
      </c>
      <c r="T11" s="61">
        <f t="shared" si="1"/>
        <v>105.12680216602915</v>
      </c>
      <c r="U11" s="61">
        <f t="shared" si="17"/>
        <v>67.021923142834083</v>
      </c>
      <c r="V11" s="61"/>
      <c r="Y11" s="159" t="s">
        <v>47</v>
      </c>
      <c r="Z11" s="159" t="s">
        <v>69</v>
      </c>
      <c r="AA11" s="159" t="s">
        <v>163</v>
      </c>
      <c r="AB11" s="159">
        <f t="shared" si="8"/>
        <v>8</v>
      </c>
      <c r="AC11" s="164">
        <f t="shared" si="18"/>
        <v>68.373665253953078</v>
      </c>
      <c r="AD11" s="164">
        <f t="shared" si="9"/>
        <v>78.03899148811486</v>
      </c>
      <c r="AE11" s="159"/>
      <c r="AF11" s="159">
        <f t="shared" si="10"/>
        <v>17</v>
      </c>
      <c r="AG11" s="160" t="str">
        <f t="shared" si="11"/>
        <v>N/A</v>
      </c>
      <c r="AH11" s="161">
        <f t="shared" si="12"/>
        <v>78.03899148811486</v>
      </c>
      <c r="AI11" s="161">
        <f t="shared" si="13"/>
        <v>46.828657309052218</v>
      </c>
      <c r="AJ11" s="161">
        <f t="shared" si="14"/>
        <v>122.06313071865787</v>
      </c>
      <c r="AK11" s="160">
        <f t="shared" si="15"/>
        <v>5</v>
      </c>
    </row>
    <row r="12" spans="1:37" x14ac:dyDescent="0.2">
      <c r="A12" s="62" t="s">
        <v>35</v>
      </c>
      <c r="B12" s="62" t="s">
        <v>60</v>
      </c>
      <c r="C12" s="62" t="s">
        <v>163</v>
      </c>
      <c r="D12" s="62"/>
      <c r="E12" s="62">
        <f t="shared" si="2"/>
        <v>10</v>
      </c>
      <c r="F12" s="128" t="s">
        <v>79</v>
      </c>
      <c r="G12" s="129">
        <v>71.725412454780624</v>
      </c>
      <c r="H12" s="129">
        <v>57.376665719921284</v>
      </c>
      <c r="I12" s="129">
        <v>88.557022429764473</v>
      </c>
      <c r="J12" s="129"/>
      <c r="K12" s="129"/>
      <c r="L12" s="129"/>
      <c r="M12" s="60">
        <f t="shared" si="0"/>
        <v>5</v>
      </c>
      <c r="N12" s="61">
        <f t="shared" si="3"/>
        <v>44.334041733063991</v>
      </c>
      <c r="O12" s="61">
        <f t="shared" si="16"/>
        <v>66.242857022666101</v>
      </c>
      <c r="P12" s="129">
        <f t="shared" si="4"/>
        <v>72.521498279672301</v>
      </c>
      <c r="Q12" s="129">
        <f t="shared" si="5"/>
        <v>65.362546636490976</v>
      </c>
      <c r="R12" s="129">
        <f t="shared" si="6"/>
        <v>80.244674211577859</v>
      </c>
      <c r="S12" s="61">
        <f t="shared" si="7"/>
        <v>80.036640937897857</v>
      </c>
      <c r="T12" s="61">
        <f t="shared" si="1"/>
        <v>105.12680216602915</v>
      </c>
      <c r="U12" s="61">
        <f t="shared" si="17"/>
        <v>71.599078215424043</v>
      </c>
      <c r="V12" s="61"/>
      <c r="Y12" s="159" t="s">
        <v>50</v>
      </c>
      <c r="Z12" s="159" t="s">
        <v>161</v>
      </c>
      <c r="AA12" s="159" t="s">
        <v>163</v>
      </c>
      <c r="AB12" s="159">
        <f t="shared" si="8"/>
        <v>1</v>
      </c>
      <c r="AC12" s="164">
        <f t="shared" si="18"/>
        <v>68.373665253953078</v>
      </c>
      <c r="AD12" s="164">
        <f t="shared" si="9"/>
        <v>78.03899148811486</v>
      </c>
      <c r="AE12" s="159"/>
      <c r="AF12" s="159">
        <f t="shared" si="10"/>
        <v>8</v>
      </c>
      <c r="AG12" s="160" t="str">
        <f t="shared" si="11"/>
        <v>N/A</v>
      </c>
      <c r="AH12" s="161">
        <f t="shared" si="12"/>
        <v>68.373665253953078</v>
      </c>
      <c r="AI12" s="161">
        <f t="shared" si="13"/>
        <v>50.459444996272133</v>
      </c>
      <c r="AJ12" s="161">
        <f t="shared" si="14"/>
        <v>90.543725824478756</v>
      </c>
      <c r="AK12" s="160">
        <f t="shared" si="15"/>
        <v>5</v>
      </c>
    </row>
    <row r="13" spans="1:37" x14ac:dyDescent="0.2">
      <c r="A13" s="62" t="s">
        <v>36</v>
      </c>
      <c r="B13" s="62" t="s">
        <v>61</v>
      </c>
      <c r="C13" s="62" t="s">
        <v>201</v>
      </c>
      <c r="D13" s="62"/>
      <c r="E13" s="62">
        <f t="shared" si="2"/>
        <v>20</v>
      </c>
      <c r="F13" s="128" t="s">
        <v>79</v>
      </c>
      <c r="G13" s="129">
        <v>80.036640937897857</v>
      </c>
      <c r="H13" s="129">
        <v>62.683761946469957</v>
      </c>
      <c r="I13" s="129">
        <v>100.59931759689174</v>
      </c>
      <c r="J13" s="129"/>
      <c r="K13" s="129"/>
      <c r="L13" s="129"/>
      <c r="M13" s="60">
        <f t="shared" si="0"/>
        <v>5</v>
      </c>
      <c r="N13" s="61">
        <f t="shared" si="3"/>
        <v>44.334041733063991</v>
      </c>
      <c r="O13" s="61">
        <f t="shared" si="16"/>
        <v>66.242857022666101</v>
      </c>
      <c r="P13" s="129">
        <f t="shared" si="4"/>
        <v>72.521498279672301</v>
      </c>
      <c r="Q13" s="129">
        <f t="shared" si="5"/>
        <v>65.362546636490976</v>
      </c>
      <c r="R13" s="129">
        <f t="shared" si="6"/>
        <v>80.244674211577859</v>
      </c>
      <c r="S13" s="61">
        <f t="shared" si="7"/>
        <v>80.036640937897857</v>
      </c>
      <c r="T13" s="61">
        <f t="shared" si="1"/>
        <v>105.12680216602915</v>
      </c>
      <c r="U13" s="61">
        <f t="shared" si="17"/>
        <v>81.392029308541638</v>
      </c>
      <c r="V13" s="61"/>
      <c r="Y13" s="159" t="s">
        <v>53</v>
      </c>
      <c r="Z13" s="159" t="s">
        <v>162</v>
      </c>
      <c r="AA13" s="159" t="s">
        <v>163</v>
      </c>
      <c r="AB13" s="159">
        <f>RANK(AH13,$AH$6:$AH$13,1)</f>
        <v>3</v>
      </c>
      <c r="AC13" s="164">
        <f t="shared" si="18"/>
        <v>68.373665253953078</v>
      </c>
      <c r="AD13" s="164">
        <f t="shared" si="9"/>
        <v>78.03899148811486</v>
      </c>
      <c r="AE13" s="159"/>
      <c r="AF13" s="159">
        <f t="shared" si="10"/>
        <v>11</v>
      </c>
      <c r="AG13" s="160" t="str">
        <f t="shared" si="11"/>
        <v>N/A</v>
      </c>
      <c r="AH13" s="161">
        <f t="shared" si="12"/>
        <v>71.763890682715498</v>
      </c>
      <c r="AI13" s="161">
        <f t="shared" si="13"/>
        <v>61.011745538069874</v>
      </c>
      <c r="AJ13" s="161">
        <f t="shared" si="14"/>
        <v>83.856115536736041</v>
      </c>
      <c r="AK13" s="160">
        <f t="shared" si="15"/>
        <v>5</v>
      </c>
    </row>
    <row r="14" spans="1:37" x14ac:dyDescent="0.2">
      <c r="A14" s="62" t="s">
        <v>37</v>
      </c>
      <c r="B14" s="62" t="s">
        <v>157</v>
      </c>
      <c r="C14" s="62" t="s">
        <v>201</v>
      </c>
      <c r="D14" s="62"/>
      <c r="E14" s="62">
        <f t="shared" si="2"/>
        <v>26</v>
      </c>
      <c r="F14" s="128" t="s">
        <v>79</v>
      </c>
      <c r="G14" s="129">
        <v>105.12680216602915</v>
      </c>
      <c r="H14" s="129">
        <v>75.194130184968444</v>
      </c>
      <c r="I14" s="129">
        <v>142.42710963832371</v>
      </c>
      <c r="J14" s="129"/>
      <c r="K14" s="129"/>
      <c r="L14" s="129"/>
      <c r="M14" s="60">
        <f t="shared" si="0"/>
        <v>5</v>
      </c>
      <c r="N14" s="61">
        <f t="shared" si="3"/>
        <v>44.334041733063991</v>
      </c>
      <c r="O14" s="61">
        <f t="shared" si="16"/>
        <v>66.242857022666101</v>
      </c>
      <c r="P14" s="129">
        <f t="shared" si="4"/>
        <v>72.521498279672301</v>
      </c>
      <c r="Q14" s="129">
        <f t="shared" si="5"/>
        <v>65.362546636490976</v>
      </c>
      <c r="R14" s="129">
        <f t="shared" si="6"/>
        <v>80.244674211577859</v>
      </c>
      <c r="S14" s="61">
        <f t="shared" si="7"/>
        <v>80.036640937897857</v>
      </c>
      <c r="T14" s="61">
        <f t="shared" si="1"/>
        <v>105.12680216602915</v>
      </c>
      <c r="U14" s="61">
        <f t="shared" si="17"/>
        <v>81.392029308541638</v>
      </c>
      <c r="V14" s="61"/>
      <c r="Y14" s="162" t="s">
        <v>29</v>
      </c>
      <c r="Z14" s="162" t="s">
        <v>55</v>
      </c>
      <c r="AA14" s="162" t="s">
        <v>201</v>
      </c>
      <c r="AB14" s="162">
        <f>RANK(AH14,$AH$14:$AH$22,1)</f>
        <v>1</v>
      </c>
      <c r="AC14" s="165">
        <f t="shared" ref="AC14:AC22" si="19">MIN($AH$14:$AH$22)</f>
        <v>77.506111057963082</v>
      </c>
      <c r="AD14" s="165">
        <f>MAX($AH$14:$AH$22)</f>
        <v>105.12680216602915</v>
      </c>
      <c r="AE14" s="162"/>
      <c r="AF14" s="162">
        <f t="shared" si="10"/>
        <v>16</v>
      </c>
      <c r="AG14" s="167" t="str">
        <f t="shared" si="11"/>
        <v>N/A</v>
      </c>
      <c r="AH14" s="165">
        <f t="shared" si="12"/>
        <v>77.506111057963082</v>
      </c>
      <c r="AI14" s="165">
        <f t="shared" si="13"/>
        <v>56.054312670216497</v>
      </c>
      <c r="AJ14" s="165">
        <f t="shared" si="14"/>
        <v>104.37182115792156</v>
      </c>
      <c r="AK14" s="167">
        <f t="shared" si="15"/>
        <v>5</v>
      </c>
    </row>
    <row r="15" spans="1:37" x14ac:dyDescent="0.2">
      <c r="A15" s="62" t="s">
        <v>38</v>
      </c>
      <c r="B15" s="62" t="s">
        <v>62</v>
      </c>
      <c r="C15" s="62" t="s">
        <v>201</v>
      </c>
      <c r="D15" s="62"/>
      <c r="E15" s="62">
        <f t="shared" si="2"/>
        <v>18</v>
      </c>
      <c r="F15" s="128" t="s">
        <v>79</v>
      </c>
      <c r="G15" s="129">
        <v>78.672068716499723</v>
      </c>
      <c r="H15" s="129">
        <v>55.240373584115432</v>
      </c>
      <c r="I15" s="129">
        <v>108.62717864323447</v>
      </c>
      <c r="J15" s="129"/>
      <c r="K15" s="129"/>
      <c r="L15" s="129"/>
      <c r="M15" s="60">
        <f t="shared" si="0"/>
        <v>5</v>
      </c>
      <c r="N15" s="61">
        <f t="shared" si="3"/>
        <v>44.334041733063991</v>
      </c>
      <c r="O15" s="61">
        <f t="shared" si="16"/>
        <v>66.242857022666101</v>
      </c>
      <c r="P15" s="129">
        <f t="shared" si="4"/>
        <v>72.521498279672301</v>
      </c>
      <c r="Q15" s="129">
        <f t="shared" si="5"/>
        <v>65.362546636490976</v>
      </c>
      <c r="R15" s="129">
        <f t="shared" si="6"/>
        <v>80.244674211577859</v>
      </c>
      <c r="S15" s="61">
        <f t="shared" si="7"/>
        <v>80.036640937897857</v>
      </c>
      <c r="T15" s="61">
        <f t="shared" si="1"/>
        <v>105.12680216602915</v>
      </c>
      <c r="U15" s="61">
        <f t="shared" si="17"/>
        <v>81.392029308541638</v>
      </c>
      <c r="V15" s="61"/>
      <c r="Y15" s="162" t="s">
        <v>32</v>
      </c>
      <c r="Z15" s="162" t="s">
        <v>156</v>
      </c>
      <c r="AA15" s="162" t="s">
        <v>201</v>
      </c>
      <c r="AB15" s="162">
        <f>RANK(AH15,$AH$14:$AH$22,1)</f>
        <v>6</v>
      </c>
      <c r="AC15" s="165">
        <f t="shared" si="19"/>
        <v>77.506111057963082</v>
      </c>
      <c r="AD15" s="165">
        <f t="shared" ref="AD15:AD22" si="20">MAX($AH$14:$AH$22)</f>
        <v>105.12680216602915</v>
      </c>
      <c r="AE15" s="162"/>
      <c r="AF15" s="162">
        <f t="shared" si="10"/>
        <v>22</v>
      </c>
      <c r="AG15" s="167" t="str">
        <f t="shared" si="11"/>
        <v>N/A</v>
      </c>
      <c r="AH15" s="165">
        <f t="shared" si="12"/>
        <v>84.811261621330431</v>
      </c>
      <c r="AI15" s="165">
        <f t="shared" si="13"/>
        <v>69.099654994859847</v>
      </c>
      <c r="AJ15" s="165">
        <f t="shared" si="14"/>
        <v>102.97776005949115</v>
      </c>
      <c r="AK15" s="167">
        <f t="shared" si="15"/>
        <v>5</v>
      </c>
    </row>
    <row r="16" spans="1:37" x14ac:dyDescent="0.2">
      <c r="A16" s="62" t="s">
        <v>39</v>
      </c>
      <c r="B16" s="62" t="s">
        <v>158</v>
      </c>
      <c r="C16" s="62" t="s">
        <v>200</v>
      </c>
      <c r="D16" s="62"/>
      <c r="E16" s="62">
        <f t="shared" si="2"/>
        <v>5</v>
      </c>
      <c r="F16" s="128" t="s">
        <v>79</v>
      </c>
      <c r="G16" s="129">
        <v>65.707978525712335</v>
      </c>
      <c r="H16" s="129">
        <v>52.745946288243658</v>
      </c>
      <c r="I16" s="129">
        <v>80.858707066354683</v>
      </c>
      <c r="J16" s="129"/>
      <c r="K16" s="129"/>
      <c r="L16" s="129"/>
      <c r="M16" s="60">
        <f t="shared" si="0"/>
        <v>5</v>
      </c>
      <c r="N16" s="61">
        <f t="shared" si="3"/>
        <v>44.334041733063991</v>
      </c>
      <c r="O16" s="61">
        <f t="shared" si="16"/>
        <v>66.242857022666101</v>
      </c>
      <c r="P16" s="129">
        <f t="shared" si="4"/>
        <v>72.521498279672301</v>
      </c>
      <c r="Q16" s="129">
        <f t="shared" si="5"/>
        <v>65.362546636490976</v>
      </c>
      <c r="R16" s="129">
        <f t="shared" si="6"/>
        <v>80.244674211577859</v>
      </c>
      <c r="S16" s="61">
        <f t="shared" si="7"/>
        <v>80.036640937897857</v>
      </c>
      <c r="T16" s="61">
        <f t="shared" si="1"/>
        <v>105.12680216602915</v>
      </c>
      <c r="U16" s="61">
        <f t="shared" si="17"/>
        <v>67.021923142834083</v>
      </c>
      <c r="V16" s="61"/>
      <c r="Y16" s="162" t="s">
        <v>36</v>
      </c>
      <c r="Z16" s="162" t="s">
        <v>61</v>
      </c>
      <c r="AA16" s="162" t="s">
        <v>201</v>
      </c>
      <c r="AB16" s="162">
        <f>RANK(AH16,$AH$14:$AH$22,1)</f>
        <v>4</v>
      </c>
      <c r="AC16" s="165">
        <f t="shared" si="19"/>
        <v>77.506111057963082</v>
      </c>
      <c r="AD16" s="165">
        <f t="shared" si="20"/>
        <v>105.12680216602915</v>
      </c>
      <c r="AE16" s="162"/>
      <c r="AF16" s="162">
        <f t="shared" si="10"/>
        <v>20</v>
      </c>
      <c r="AG16" s="167" t="str">
        <f t="shared" si="11"/>
        <v>N/A</v>
      </c>
      <c r="AH16" s="165">
        <f t="shared" si="12"/>
        <v>80.036640937897857</v>
      </c>
      <c r="AI16" s="165">
        <f t="shared" si="13"/>
        <v>62.683761946469957</v>
      </c>
      <c r="AJ16" s="165">
        <f t="shared" si="14"/>
        <v>100.59931759689174</v>
      </c>
      <c r="AK16" s="167">
        <f t="shared" si="15"/>
        <v>5</v>
      </c>
    </row>
    <row r="17" spans="1:37" x14ac:dyDescent="0.2">
      <c r="A17" s="62" t="s">
        <v>40</v>
      </c>
      <c r="B17" s="62" t="s">
        <v>63</v>
      </c>
      <c r="C17" s="62" t="s">
        <v>200</v>
      </c>
      <c r="D17" s="62"/>
      <c r="E17" s="62">
        <f t="shared" si="2"/>
        <v>2</v>
      </c>
      <c r="F17" s="128" t="s">
        <v>79</v>
      </c>
      <c r="G17" s="129">
        <v>56.927608451404609</v>
      </c>
      <c r="H17" s="129">
        <v>39.28262261666103</v>
      </c>
      <c r="I17" s="129">
        <v>79.727962272301681</v>
      </c>
      <c r="J17" s="129"/>
      <c r="K17" s="129"/>
      <c r="L17" s="129"/>
      <c r="M17" s="60">
        <f t="shared" si="0"/>
        <v>5</v>
      </c>
      <c r="N17" s="61">
        <f t="shared" si="3"/>
        <v>44.334041733063991</v>
      </c>
      <c r="O17" s="61">
        <f t="shared" si="16"/>
        <v>66.242857022666101</v>
      </c>
      <c r="P17" s="129">
        <f t="shared" si="4"/>
        <v>72.521498279672301</v>
      </c>
      <c r="Q17" s="129">
        <f t="shared" si="5"/>
        <v>65.362546636490976</v>
      </c>
      <c r="R17" s="129">
        <f t="shared" si="6"/>
        <v>80.244674211577859</v>
      </c>
      <c r="S17" s="61">
        <f t="shared" si="7"/>
        <v>80.036640937897857</v>
      </c>
      <c r="T17" s="61">
        <f t="shared" si="1"/>
        <v>105.12680216602915</v>
      </c>
      <c r="U17" s="61">
        <f t="shared" si="17"/>
        <v>67.021923142834083</v>
      </c>
      <c r="V17" s="61"/>
      <c r="Y17" s="162" t="s">
        <v>37</v>
      </c>
      <c r="Z17" s="162" t="s">
        <v>157</v>
      </c>
      <c r="AA17" s="162" t="s">
        <v>201</v>
      </c>
      <c r="AB17" s="162">
        <f t="shared" ref="AB17:AB22" si="21">RANK(AH17,$AH$14:$AH$22,1)</f>
        <v>9</v>
      </c>
      <c r="AC17" s="165">
        <f t="shared" si="19"/>
        <v>77.506111057963082</v>
      </c>
      <c r="AD17" s="165">
        <f>MAX($AH$14:$AH$22)</f>
        <v>105.12680216602915</v>
      </c>
      <c r="AE17" s="162"/>
      <c r="AF17" s="162">
        <f t="shared" si="10"/>
        <v>26</v>
      </c>
      <c r="AG17" s="167" t="str">
        <f t="shared" si="11"/>
        <v>N/A</v>
      </c>
      <c r="AH17" s="165">
        <f t="shared" si="12"/>
        <v>105.12680216602915</v>
      </c>
      <c r="AI17" s="165">
        <f t="shared" si="13"/>
        <v>75.194130184968444</v>
      </c>
      <c r="AJ17" s="165">
        <f t="shared" si="14"/>
        <v>142.42710963832371</v>
      </c>
      <c r="AK17" s="167">
        <f t="shared" si="15"/>
        <v>5</v>
      </c>
    </row>
    <row r="18" spans="1:37" x14ac:dyDescent="0.2">
      <c r="A18" s="62" t="s">
        <v>41</v>
      </c>
      <c r="B18" s="62" t="s">
        <v>64</v>
      </c>
      <c r="C18" s="62" t="s">
        <v>163</v>
      </c>
      <c r="D18" s="62"/>
      <c r="E18" s="62">
        <f t="shared" si="2"/>
        <v>12</v>
      </c>
      <c r="F18" s="128" t="s">
        <v>79</v>
      </c>
      <c r="G18" s="129">
        <v>73.819146103764226</v>
      </c>
      <c r="H18" s="129">
        <v>60.299568248375124</v>
      </c>
      <c r="I18" s="129">
        <v>89.451117794089726</v>
      </c>
      <c r="J18" s="129"/>
      <c r="K18" s="129"/>
      <c r="L18" s="129"/>
      <c r="M18" s="60">
        <f t="shared" si="0"/>
        <v>5</v>
      </c>
      <c r="N18" s="61">
        <f t="shared" si="3"/>
        <v>44.334041733063991</v>
      </c>
      <c r="O18" s="61">
        <f t="shared" si="16"/>
        <v>66.242857022666101</v>
      </c>
      <c r="P18" s="129">
        <f t="shared" si="4"/>
        <v>72.521498279672301</v>
      </c>
      <c r="Q18" s="129">
        <f t="shared" si="5"/>
        <v>65.362546636490976</v>
      </c>
      <c r="R18" s="129">
        <f t="shared" si="6"/>
        <v>80.244674211577859</v>
      </c>
      <c r="S18" s="61">
        <f t="shared" si="7"/>
        <v>80.036640937897857</v>
      </c>
      <c r="T18" s="61">
        <f t="shared" si="1"/>
        <v>105.12680216602915</v>
      </c>
      <c r="U18" s="61">
        <f t="shared" si="17"/>
        <v>71.599078215424043</v>
      </c>
      <c r="V18" s="61"/>
      <c r="Y18" s="162" t="s">
        <v>38</v>
      </c>
      <c r="Z18" s="162" t="s">
        <v>62</v>
      </c>
      <c r="AA18" s="162" t="s">
        <v>201</v>
      </c>
      <c r="AB18" s="162">
        <f t="shared" si="21"/>
        <v>2</v>
      </c>
      <c r="AC18" s="165">
        <f t="shared" si="19"/>
        <v>77.506111057963082</v>
      </c>
      <c r="AD18" s="165">
        <f t="shared" si="20"/>
        <v>105.12680216602915</v>
      </c>
      <c r="AE18" s="162"/>
      <c r="AF18" s="162">
        <f t="shared" si="10"/>
        <v>18</v>
      </c>
      <c r="AG18" s="167" t="str">
        <f t="shared" si="11"/>
        <v>N/A</v>
      </c>
      <c r="AH18" s="165">
        <f t="shared" si="12"/>
        <v>78.672068716499723</v>
      </c>
      <c r="AI18" s="165">
        <f t="shared" si="13"/>
        <v>55.240373584115432</v>
      </c>
      <c r="AJ18" s="165">
        <f t="shared" si="14"/>
        <v>108.62717864323447</v>
      </c>
      <c r="AK18" s="167">
        <f t="shared" si="15"/>
        <v>5</v>
      </c>
    </row>
    <row r="19" spans="1:37" x14ac:dyDescent="0.2">
      <c r="A19" s="62" t="s">
        <v>42</v>
      </c>
      <c r="B19" s="62" t="s">
        <v>65</v>
      </c>
      <c r="C19" s="62" t="s">
        <v>200</v>
      </c>
      <c r="D19" s="62"/>
      <c r="E19" s="62">
        <f t="shared" si="2"/>
        <v>4</v>
      </c>
      <c r="F19" s="128" t="s">
        <v>79</v>
      </c>
      <c r="G19" s="129">
        <v>63.8207990757411</v>
      </c>
      <c r="H19" s="129">
        <v>37.254071418080933</v>
      </c>
      <c r="I19" s="129">
        <v>101.2948392635375</v>
      </c>
      <c r="J19" s="129"/>
      <c r="K19" s="129"/>
      <c r="L19" s="129"/>
      <c r="M19" s="60">
        <f t="shared" si="0"/>
        <v>5</v>
      </c>
      <c r="N19" s="61">
        <f t="shared" si="3"/>
        <v>44.334041733063991</v>
      </c>
      <c r="O19" s="61">
        <f t="shared" si="16"/>
        <v>66.242857022666101</v>
      </c>
      <c r="P19" s="129">
        <f t="shared" si="4"/>
        <v>72.521498279672301</v>
      </c>
      <c r="Q19" s="129">
        <f t="shared" si="5"/>
        <v>65.362546636490976</v>
      </c>
      <c r="R19" s="129">
        <f t="shared" si="6"/>
        <v>80.244674211577859</v>
      </c>
      <c r="S19" s="61">
        <f t="shared" si="7"/>
        <v>80.036640937897857</v>
      </c>
      <c r="T19" s="61">
        <f t="shared" si="1"/>
        <v>105.12680216602915</v>
      </c>
      <c r="U19" s="61">
        <f t="shared" si="17"/>
        <v>67.021923142834083</v>
      </c>
      <c r="V19" s="61"/>
      <c r="Y19" s="162" t="s">
        <v>43</v>
      </c>
      <c r="Z19" s="162" t="s">
        <v>159</v>
      </c>
      <c r="AA19" s="162" t="s">
        <v>201</v>
      </c>
      <c r="AB19" s="162">
        <f t="shared" si="21"/>
        <v>3</v>
      </c>
      <c r="AC19" s="165">
        <f t="shared" si="19"/>
        <v>77.506111057963082</v>
      </c>
      <c r="AD19" s="165">
        <f t="shared" si="20"/>
        <v>105.12680216602915</v>
      </c>
      <c r="AE19" s="162"/>
      <c r="AF19" s="162">
        <f t="shared" si="10"/>
        <v>19</v>
      </c>
      <c r="AG19" s="167" t="str">
        <f t="shared" si="11"/>
        <v>N/A</v>
      </c>
      <c r="AH19" s="165">
        <f t="shared" si="12"/>
        <v>79.692270412379642</v>
      </c>
      <c r="AI19" s="165">
        <f t="shared" si="13"/>
        <v>58.730140279463363</v>
      </c>
      <c r="AJ19" s="165">
        <f t="shared" si="14"/>
        <v>105.52410006757398</v>
      </c>
      <c r="AK19" s="167">
        <f t="shared" si="15"/>
        <v>5</v>
      </c>
    </row>
    <row r="20" spans="1:37" x14ac:dyDescent="0.2">
      <c r="A20" s="62" t="s">
        <v>43</v>
      </c>
      <c r="B20" s="62" t="s">
        <v>159</v>
      </c>
      <c r="C20" s="62" t="s">
        <v>201</v>
      </c>
      <c r="D20" s="62"/>
      <c r="E20" s="62">
        <f t="shared" si="2"/>
        <v>19</v>
      </c>
      <c r="F20" s="128" t="s">
        <v>79</v>
      </c>
      <c r="G20" s="129">
        <v>79.692270412379642</v>
      </c>
      <c r="H20" s="129">
        <v>58.730140279463363</v>
      </c>
      <c r="I20" s="129">
        <v>105.52410006757398</v>
      </c>
      <c r="J20" s="129"/>
      <c r="K20" s="129"/>
      <c r="L20" s="129"/>
      <c r="M20" s="60">
        <f t="shared" si="0"/>
        <v>5</v>
      </c>
      <c r="N20" s="61">
        <f t="shared" si="3"/>
        <v>44.334041733063991</v>
      </c>
      <c r="O20" s="61">
        <f t="shared" si="16"/>
        <v>66.242857022666101</v>
      </c>
      <c r="P20" s="129">
        <f t="shared" si="4"/>
        <v>72.521498279672301</v>
      </c>
      <c r="Q20" s="129">
        <f t="shared" si="5"/>
        <v>65.362546636490976</v>
      </c>
      <c r="R20" s="129">
        <f t="shared" si="6"/>
        <v>80.244674211577859</v>
      </c>
      <c r="S20" s="61">
        <f t="shared" si="7"/>
        <v>80.036640937897857</v>
      </c>
      <c r="T20" s="61">
        <f t="shared" si="1"/>
        <v>105.12680216602915</v>
      </c>
      <c r="U20" s="61">
        <f t="shared" si="17"/>
        <v>81.392029308541638</v>
      </c>
      <c r="V20" s="61"/>
      <c r="Y20" s="162" t="s">
        <v>48</v>
      </c>
      <c r="Z20" s="162" t="s">
        <v>160</v>
      </c>
      <c r="AA20" s="162" t="s">
        <v>201</v>
      </c>
      <c r="AB20" s="162">
        <f t="shared" si="21"/>
        <v>5</v>
      </c>
      <c r="AC20" s="165">
        <f t="shared" si="19"/>
        <v>77.506111057963082</v>
      </c>
      <c r="AD20" s="165">
        <f t="shared" si="20"/>
        <v>105.12680216602915</v>
      </c>
      <c r="AE20" s="162"/>
      <c r="AF20" s="162">
        <f t="shared" si="10"/>
        <v>21</v>
      </c>
      <c r="AG20" s="167" t="str">
        <f t="shared" si="11"/>
        <v>N/A</v>
      </c>
      <c r="AH20" s="165">
        <f t="shared" si="12"/>
        <v>82.994536738630089</v>
      </c>
      <c r="AI20" s="165">
        <f t="shared" si="13"/>
        <v>60.185330062637888</v>
      </c>
      <c r="AJ20" s="165">
        <f t="shared" si="14"/>
        <v>111.41800734466027</v>
      </c>
      <c r="AK20" s="167">
        <f t="shared" si="15"/>
        <v>5</v>
      </c>
    </row>
    <row r="21" spans="1:37" x14ac:dyDescent="0.2">
      <c r="A21" s="62" t="s">
        <v>44</v>
      </c>
      <c r="B21" s="62" t="s">
        <v>66</v>
      </c>
      <c r="C21" s="62" t="s">
        <v>200</v>
      </c>
      <c r="D21" s="62"/>
      <c r="E21" s="62">
        <f t="shared" si="2"/>
        <v>1</v>
      </c>
      <c r="F21" s="128" t="s">
        <v>79</v>
      </c>
      <c r="G21" s="129">
        <v>44.334041733063991</v>
      </c>
      <c r="H21" s="129">
        <v>26.183179999991946</v>
      </c>
      <c r="I21" s="129">
        <v>69.93697374611358</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5</v>
      </c>
      <c r="N21" s="61">
        <f t="shared" si="3"/>
        <v>44.334041733063991</v>
      </c>
      <c r="O21" s="61">
        <f t="shared" si="16"/>
        <v>66.242857022666101</v>
      </c>
      <c r="P21" s="129">
        <f t="shared" si="4"/>
        <v>72.521498279672301</v>
      </c>
      <c r="Q21" s="129">
        <f t="shared" si="5"/>
        <v>65.362546636490976</v>
      </c>
      <c r="R21" s="129">
        <f t="shared" si="6"/>
        <v>80.244674211577859</v>
      </c>
      <c r="S21" s="61">
        <f t="shared" si="7"/>
        <v>80.036640937897857</v>
      </c>
      <c r="T21" s="61">
        <f t="shared" si="1"/>
        <v>105.12680216602915</v>
      </c>
      <c r="U21" s="61">
        <f t="shared" si="17"/>
        <v>67.021923142834083</v>
      </c>
      <c r="V21" s="61"/>
      <c r="Y21" s="162" t="s">
        <v>52</v>
      </c>
      <c r="Z21" s="162" t="s">
        <v>72</v>
      </c>
      <c r="AA21" s="162" t="s">
        <v>201</v>
      </c>
      <c r="AB21" s="162">
        <f t="shared" si="21"/>
        <v>8</v>
      </c>
      <c r="AC21" s="165">
        <f t="shared" si="19"/>
        <v>77.506111057963082</v>
      </c>
      <c r="AD21" s="165">
        <f t="shared" si="20"/>
        <v>105.12680216602915</v>
      </c>
      <c r="AE21" s="162"/>
      <c r="AF21" s="162">
        <f t="shared" si="10"/>
        <v>25</v>
      </c>
      <c r="AG21" s="167" t="str">
        <f t="shared" si="11"/>
        <v>N/A</v>
      </c>
      <c r="AH21" s="165">
        <f t="shared" si="12"/>
        <v>91.521728614422514</v>
      </c>
      <c r="AI21" s="165">
        <f t="shared" si="13"/>
        <v>54.392391127078497</v>
      </c>
      <c r="AJ21" s="165">
        <f t="shared" si="14"/>
        <v>143.01301550964052</v>
      </c>
      <c r="AK21" s="167">
        <f t="shared" si="15"/>
        <v>5</v>
      </c>
    </row>
    <row r="22" spans="1:37" x14ac:dyDescent="0.2">
      <c r="A22" s="62" t="s">
        <v>45</v>
      </c>
      <c r="B22" s="62" t="s">
        <v>67</v>
      </c>
      <c r="C22" s="62" t="s">
        <v>163</v>
      </c>
      <c r="D22" s="62"/>
      <c r="E22" s="62">
        <f t="shared" si="2"/>
        <v>13</v>
      </c>
      <c r="F22" s="128" t="s">
        <v>79</v>
      </c>
      <c r="G22" s="129">
        <v>74.265505594456769</v>
      </c>
      <c r="H22" s="129">
        <v>58.624045896775698</v>
      </c>
      <c r="I22" s="129">
        <v>92.779828614865011</v>
      </c>
      <c r="J22" s="129"/>
      <c r="K22" s="129"/>
      <c r="L22" s="129"/>
      <c r="M22" s="60">
        <f t="shared" si="0"/>
        <v>5</v>
      </c>
      <c r="N22" s="61">
        <f t="shared" si="3"/>
        <v>44.334041733063991</v>
      </c>
      <c r="O22" s="61">
        <f t="shared" si="16"/>
        <v>66.242857022666101</v>
      </c>
      <c r="P22" s="129">
        <f t="shared" si="4"/>
        <v>72.521498279672301</v>
      </c>
      <c r="Q22" s="129">
        <f t="shared" si="5"/>
        <v>65.362546636490976</v>
      </c>
      <c r="R22" s="129">
        <f t="shared" si="6"/>
        <v>80.244674211577859</v>
      </c>
      <c r="S22" s="61">
        <f t="shared" si="7"/>
        <v>80.036640937897857</v>
      </c>
      <c r="T22" s="61">
        <f t="shared" si="1"/>
        <v>105.12680216602915</v>
      </c>
      <c r="U22" s="61">
        <f>VLOOKUP(C22,$C$43:$I$46,5,FALSE)</f>
        <v>71.599078215424043</v>
      </c>
      <c r="V22" s="61"/>
      <c r="Y22" s="162" t="s">
        <v>54</v>
      </c>
      <c r="Z22" s="162" t="s">
        <v>73</v>
      </c>
      <c r="AA22" s="162" t="s">
        <v>201</v>
      </c>
      <c r="AB22" s="162">
        <f t="shared" si="21"/>
        <v>7</v>
      </c>
      <c r="AC22" s="165">
        <f t="shared" si="19"/>
        <v>77.506111057963082</v>
      </c>
      <c r="AD22" s="165">
        <f t="shared" si="20"/>
        <v>105.12680216602915</v>
      </c>
      <c r="AE22" s="162"/>
      <c r="AF22" s="162">
        <f t="shared" si="10"/>
        <v>23</v>
      </c>
      <c r="AG22" s="167" t="str">
        <f t="shared" si="11"/>
        <v>N/A</v>
      </c>
      <c r="AH22" s="165">
        <f t="shared" si="12"/>
        <v>85.017652105568942</v>
      </c>
      <c r="AI22" s="165">
        <f t="shared" si="13"/>
        <v>63.40187612694239</v>
      </c>
      <c r="AJ22" s="165">
        <f t="shared" si="14"/>
        <v>111.39985817709184</v>
      </c>
      <c r="AK22" s="167">
        <f t="shared" si="15"/>
        <v>5</v>
      </c>
    </row>
    <row r="23" spans="1:37" x14ac:dyDescent="0.2">
      <c r="A23" s="62" t="s">
        <v>46</v>
      </c>
      <c r="B23" s="62" t="s">
        <v>68</v>
      </c>
      <c r="C23" s="62" t="s">
        <v>163</v>
      </c>
      <c r="D23" s="62"/>
      <c r="E23" s="62">
        <f t="shared" si="2"/>
        <v>14</v>
      </c>
      <c r="F23" s="128" t="s">
        <v>79</v>
      </c>
      <c r="G23" s="129">
        <v>74.590652727998688</v>
      </c>
      <c r="H23" s="129">
        <v>61.174951819585125</v>
      </c>
      <c r="I23" s="129">
        <v>90.060593540432222</v>
      </c>
      <c r="J23" s="129"/>
      <c r="K23" s="129"/>
      <c r="L23" s="129"/>
      <c r="M23" s="60">
        <f t="shared" si="0"/>
        <v>5</v>
      </c>
      <c r="N23" s="61">
        <f t="shared" si="3"/>
        <v>44.334041733063991</v>
      </c>
      <c r="O23" s="61">
        <f t="shared" si="16"/>
        <v>66.242857022666101</v>
      </c>
      <c r="P23" s="129">
        <f t="shared" si="4"/>
        <v>72.521498279672301</v>
      </c>
      <c r="Q23" s="129">
        <f t="shared" si="5"/>
        <v>65.362546636490976</v>
      </c>
      <c r="R23" s="129">
        <f t="shared" si="6"/>
        <v>80.244674211577859</v>
      </c>
      <c r="S23" s="61">
        <f t="shared" si="7"/>
        <v>80.036640937897857</v>
      </c>
      <c r="T23" s="61">
        <f t="shared" si="1"/>
        <v>105.12680216602915</v>
      </c>
      <c r="U23" s="61">
        <f t="shared" si="17"/>
        <v>71.599078215424043</v>
      </c>
      <c r="V23" s="61"/>
      <c r="Y23" s="163" t="s">
        <v>30</v>
      </c>
      <c r="Z23" s="163" t="s">
        <v>56</v>
      </c>
      <c r="AA23" s="163" t="s">
        <v>200</v>
      </c>
      <c r="AB23" s="163">
        <f>RANK(AH23,$AH$23:$AH$31,1)</f>
        <v>7</v>
      </c>
      <c r="AC23" s="166">
        <f>MIN($AH$23:$AH$31)</f>
        <v>44.334041733063991</v>
      </c>
      <c r="AD23" s="166">
        <f>MAX($AH$23:$AH$31)</f>
        <v>86.155561966812058</v>
      </c>
      <c r="AE23" s="163"/>
      <c r="AF23" s="163">
        <f t="shared" si="10"/>
        <v>7</v>
      </c>
      <c r="AG23" s="168" t="str">
        <f t="shared" si="11"/>
        <v>N/A</v>
      </c>
      <c r="AH23" s="166">
        <f t="shared" si="12"/>
        <v>66.242857022666101</v>
      </c>
      <c r="AI23" s="166">
        <f t="shared" si="13"/>
        <v>47.494918389778768</v>
      </c>
      <c r="AJ23" s="166">
        <f t="shared" si="14"/>
        <v>89.848166615018727</v>
      </c>
      <c r="AK23" s="168">
        <f t="shared" si="15"/>
        <v>5</v>
      </c>
    </row>
    <row r="24" spans="1:37" x14ac:dyDescent="0.2">
      <c r="A24" s="62" t="s">
        <v>47</v>
      </c>
      <c r="B24" s="62" t="s">
        <v>69</v>
      </c>
      <c r="C24" s="62" t="s">
        <v>163</v>
      </c>
      <c r="D24" s="62"/>
      <c r="E24" s="62">
        <f t="shared" si="2"/>
        <v>17</v>
      </c>
      <c r="F24" s="128" t="s">
        <v>79</v>
      </c>
      <c r="G24" s="129">
        <v>78.03899148811486</v>
      </c>
      <c r="H24" s="129">
        <v>46.828657309052218</v>
      </c>
      <c r="I24" s="129">
        <v>122.06313071865787</v>
      </c>
      <c r="J24" s="129"/>
      <c r="K24" s="129"/>
      <c r="L24" s="129"/>
      <c r="M24" s="60">
        <f t="shared" si="0"/>
        <v>5</v>
      </c>
      <c r="N24" s="61">
        <f t="shared" si="3"/>
        <v>44.334041733063991</v>
      </c>
      <c r="O24" s="61">
        <f t="shared" si="16"/>
        <v>66.242857022666101</v>
      </c>
      <c r="P24" s="129">
        <f t="shared" si="4"/>
        <v>72.521498279672301</v>
      </c>
      <c r="Q24" s="129">
        <f t="shared" si="5"/>
        <v>65.362546636490976</v>
      </c>
      <c r="R24" s="129">
        <f t="shared" si="6"/>
        <v>80.244674211577859</v>
      </c>
      <c r="S24" s="61">
        <f t="shared" si="7"/>
        <v>80.036640937897857</v>
      </c>
      <c r="T24" s="61">
        <f t="shared" si="1"/>
        <v>105.12680216602915</v>
      </c>
      <c r="U24" s="61">
        <f t="shared" si="17"/>
        <v>71.599078215424043</v>
      </c>
      <c r="V24" s="61"/>
      <c r="Y24" s="163" t="s">
        <v>31</v>
      </c>
      <c r="Z24" s="163" t="s">
        <v>57</v>
      </c>
      <c r="AA24" s="163" t="s">
        <v>200</v>
      </c>
      <c r="AB24" s="163">
        <f t="shared" ref="AB24:AB31" si="22">RANK(AH24,$AH$23:$AH$31,1)</f>
        <v>6</v>
      </c>
      <c r="AC24" s="166">
        <f t="shared" ref="AC24:AC31" si="23">MIN($AH$23:$AH$31)</f>
        <v>44.334041733063991</v>
      </c>
      <c r="AD24" s="166">
        <f t="shared" ref="AD24:AD31" si="24">MAX($AH$23:$AH$31)</f>
        <v>86.155561966812058</v>
      </c>
      <c r="AE24" s="163"/>
      <c r="AF24" s="163">
        <f t="shared" si="10"/>
        <v>6</v>
      </c>
      <c r="AG24" s="168" t="str">
        <f t="shared" si="11"/>
        <v>N/A</v>
      </c>
      <c r="AH24" s="166">
        <f t="shared" si="12"/>
        <v>65.853712496527237</v>
      </c>
      <c r="AI24" s="166">
        <f t="shared" si="13"/>
        <v>53.978049484695241</v>
      </c>
      <c r="AJ24" s="166">
        <f t="shared" si="14"/>
        <v>79.547801620579719</v>
      </c>
      <c r="AK24" s="168">
        <f t="shared" si="15"/>
        <v>5</v>
      </c>
    </row>
    <row r="25" spans="1:37" x14ac:dyDescent="0.2">
      <c r="A25" s="62" t="s">
        <v>48</v>
      </c>
      <c r="B25" s="62" t="s">
        <v>160</v>
      </c>
      <c r="C25" s="62" t="s">
        <v>201</v>
      </c>
      <c r="D25" s="62"/>
      <c r="E25" s="62">
        <f t="shared" si="2"/>
        <v>21</v>
      </c>
      <c r="F25" s="128" t="s">
        <v>79</v>
      </c>
      <c r="G25" s="129">
        <v>82.994536738630089</v>
      </c>
      <c r="H25" s="129">
        <v>60.185330062637888</v>
      </c>
      <c r="I25" s="129">
        <v>111.41800734466027</v>
      </c>
      <c r="J25" s="129"/>
      <c r="K25" s="129"/>
      <c r="L25" s="129"/>
      <c r="M25" s="60">
        <f t="shared" si="0"/>
        <v>5</v>
      </c>
      <c r="N25" s="61">
        <f t="shared" si="3"/>
        <v>44.334041733063991</v>
      </c>
      <c r="O25" s="61">
        <f t="shared" si="16"/>
        <v>66.242857022666101</v>
      </c>
      <c r="P25" s="129">
        <f t="shared" si="4"/>
        <v>72.521498279672301</v>
      </c>
      <c r="Q25" s="129">
        <f t="shared" si="5"/>
        <v>65.362546636490976</v>
      </c>
      <c r="R25" s="129">
        <f t="shared" si="6"/>
        <v>80.244674211577859</v>
      </c>
      <c r="S25" s="61">
        <f t="shared" si="7"/>
        <v>80.036640937897857</v>
      </c>
      <c r="T25" s="61">
        <f t="shared" si="1"/>
        <v>105.12680216602915</v>
      </c>
      <c r="U25" s="61">
        <f t="shared" si="17"/>
        <v>81.392029308541638</v>
      </c>
      <c r="V25" s="61"/>
      <c r="Y25" s="163" t="s">
        <v>34</v>
      </c>
      <c r="Z25" s="163" t="s">
        <v>59</v>
      </c>
      <c r="AA25" s="163" t="s">
        <v>200</v>
      </c>
      <c r="AB25" s="163">
        <f t="shared" si="22"/>
        <v>8</v>
      </c>
      <c r="AC25" s="166">
        <f t="shared" si="23"/>
        <v>44.334041733063991</v>
      </c>
      <c r="AD25" s="166">
        <f t="shared" si="24"/>
        <v>86.155561966812058</v>
      </c>
      <c r="AE25" s="163"/>
      <c r="AF25" s="163">
        <f t="shared" si="10"/>
        <v>9</v>
      </c>
      <c r="AG25" s="168" t="str">
        <f t="shared" si="11"/>
        <v>N/A</v>
      </c>
      <c r="AH25" s="166">
        <f t="shared" si="12"/>
        <v>70.467609419183816</v>
      </c>
      <c r="AI25" s="166">
        <f t="shared" si="13"/>
        <v>57.175705393130755</v>
      </c>
      <c r="AJ25" s="166">
        <f t="shared" si="14"/>
        <v>85.891909113453366</v>
      </c>
      <c r="AK25" s="168">
        <f t="shared" si="15"/>
        <v>5</v>
      </c>
    </row>
    <row r="26" spans="1:37" x14ac:dyDescent="0.2">
      <c r="A26" s="62" t="s">
        <v>49</v>
      </c>
      <c r="B26" s="62" t="s">
        <v>70</v>
      </c>
      <c r="C26" s="62" t="s">
        <v>200</v>
      </c>
      <c r="D26" s="62"/>
      <c r="E26" s="62">
        <f t="shared" si="2"/>
        <v>3</v>
      </c>
      <c r="F26" s="128" t="s">
        <v>79</v>
      </c>
      <c r="G26" s="129">
        <v>62.874899859762188</v>
      </c>
      <c r="H26" s="129">
        <v>46.536717441790735</v>
      </c>
      <c r="I26" s="129">
        <v>82.967648646876142</v>
      </c>
      <c r="J26" s="129"/>
      <c r="K26" s="129"/>
      <c r="L26" s="129"/>
      <c r="M26" s="60">
        <f t="shared" si="0"/>
        <v>5</v>
      </c>
      <c r="N26" s="61">
        <f t="shared" si="3"/>
        <v>44.334041733063991</v>
      </c>
      <c r="O26" s="61">
        <f t="shared" si="16"/>
        <v>66.242857022666101</v>
      </c>
      <c r="P26" s="129">
        <f t="shared" si="4"/>
        <v>72.521498279672301</v>
      </c>
      <c r="Q26" s="129">
        <f t="shared" si="5"/>
        <v>65.362546636490976</v>
      </c>
      <c r="R26" s="129">
        <f t="shared" si="6"/>
        <v>80.244674211577859</v>
      </c>
      <c r="S26" s="61">
        <f t="shared" si="7"/>
        <v>80.036640937897857</v>
      </c>
      <c r="T26" s="61">
        <f t="shared" si="1"/>
        <v>105.12680216602915</v>
      </c>
      <c r="U26" s="61">
        <f t="shared" si="17"/>
        <v>67.021923142834083</v>
      </c>
      <c r="V26" s="61"/>
      <c r="Y26" s="163" t="s">
        <v>39</v>
      </c>
      <c r="Z26" s="163" t="s">
        <v>158</v>
      </c>
      <c r="AA26" s="163" t="s">
        <v>200</v>
      </c>
      <c r="AB26" s="163">
        <f t="shared" si="22"/>
        <v>5</v>
      </c>
      <c r="AC26" s="166">
        <f t="shared" si="23"/>
        <v>44.334041733063991</v>
      </c>
      <c r="AD26" s="166">
        <f t="shared" si="24"/>
        <v>86.155561966812058</v>
      </c>
      <c r="AE26" s="163"/>
      <c r="AF26" s="163">
        <f t="shared" si="10"/>
        <v>5</v>
      </c>
      <c r="AG26" s="168" t="str">
        <f t="shared" si="11"/>
        <v>N/A</v>
      </c>
      <c r="AH26" s="166">
        <f t="shared" si="12"/>
        <v>65.707978525712335</v>
      </c>
      <c r="AI26" s="166">
        <f t="shared" si="13"/>
        <v>52.745946288243658</v>
      </c>
      <c r="AJ26" s="166">
        <f t="shared" si="14"/>
        <v>80.858707066354683</v>
      </c>
      <c r="AK26" s="168">
        <f t="shared" si="15"/>
        <v>5</v>
      </c>
    </row>
    <row r="27" spans="1:37" x14ac:dyDescent="0.2">
      <c r="A27" s="62" t="s">
        <v>50</v>
      </c>
      <c r="B27" s="62" t="s">
        <v>161</v>
      </c>
      <c r="C27" s="62" t="s">
        <v>163</v>
      </c>
      <c r="D27" s="62"/>
      <c r="E27" s="62">
        <f t="shared" si="2"/>
        <v>8</v>
      </c>
      <c r="F27" s="128" t="s">
        <v>79</v>
      </c>
      <c r="G27" s="129">
        <v>68.373665253953078</v>
      </c>
      <c r="H27" s="129">
        <v>50.459444996272133</v>
      </c>
      <c r="I27" s="129">
        <v>90.543725824478756</v>
      </c>
      <c r="J27" s="129"/>
      <c r="K27" s="129"/>
      <c r="L27" s="129"/>
      <c r="M27" s="60">
        <f t="shared" si="0"/>
        <v>5</v>
      </c>
      <c r="N27" s="61">
        <f t="shared" si="3"/>
        <v>44.334041733063991</v>
      </c>
      <c r="O27" s="61">
        <f t="shared" si="16"/>
        <v>66.242857022666101</v>
      </c>
      <c r="P27" s="129">
        <f t="shared" si="4"/>
        <v>72.521498279672301</v>
      </c>
      <c r="Q27" s="129">
        <f t="shared" si="5"/>
        <v>65.362546636490976</v>
      </c>
      <c r="R27" s="129">
        <f t="shared" si="6"/>
        <v>80.244674211577859</v>
      </c>
      <c r="S27" s="61">
        <f t="shared" si="7"/>
        <v>80.036640937897857</v>
      </c>
      <c r="T27" s="61">
        <f t="shared" si="1"/>
        <v>105.12680216602915</v>
      </c>
      <c r="U27" s="61">
        <f t="shared" si="17"/>
        <v>71.599078215424043</v>
      </c>
      <c r="V27" s="61"/>
      <c r="Y27" s="163" t="s">
        <v>40</v>
      </c>
      <c r="Z27" s="163" t="s">
        <v>63</v>
      </c>
      <c r="AA27" s="163" t="s">
        <v>200</v>
      </c>
      <c r="AB27" s="163">
        <f t="shared" si="22"/>
        <v>2</v>
      </c>
      <c r="AC27" s="166">
        <f t="shared" si="23"/>
        <v>44.334041733063991</v>
      </c>
      <c r="AD27" s="166">
        <f t="shared" si="24"/>
        <v>86.155561966812058</v>
      </c>
      <c r="AE27" s="163"/>
      <c r="AF27" s="163">
        <f t="shared" si="10"/>
        <v>2</v>
      </c>
      <c r="AG27" s="168" t="str">
        <f t="shared" si="11"/>
        <v>N/A</v>
      </c>
      <c r="AH27" s="166">
        <f t="shared" si="12"/>
        <v>56.927608451404609</v>
      </c>
      <c r="AI27" s="166">
        <f t="shared" si="13"/>
        <v>39.28262261666103</v>
      </c>
      <c r="AJ27" s="166">
        <f t="shared" si="14"/>
        <v>79.727962272301681</v>
      </c>
      <c r="AK27" s="168">
        <f t="shared" si="15"/>
        <v>5</v>
      </c>
    </row>
    <row r="28" spans="1:37" x14ac:dyDescent="0.2">
      <c r="A28" s="62" t="s">
        <v>51</v>
      </c>
      <c r="B28" s="62" t="s">
        <v>71</v>
      </c>
      <c r="C28" s="62" t="s">
        <v>200</v>
      </c>
      <c r="D28" s="62"/>
      <c r="E28" s="62">
        <f t="shared" si="2"/>
        <v>24</v>
      </c>
      <c r="F28" s="128" t="s">
        <v>79</v>
      </c>
      <c r="G28" s="129">
        <v>86.155561966812058</v>
      </c>
      <c r="H28" s="129">
        <v>62.785227019034579</v>
      </c>
      <c r="I28" s="129">
        <v>115.27827710010099</v>
      </c>
      <c r="J28" s="129"/>
      <c r="K28" s="129"/>
      <c r="L28" s="129"/>
      <c r="M28" s="60">
        <f t="shared" si="0"/>
        <v>5</v>
      </c>
      <c r="N28" s="61">
        <f t="shared" si="3"/>
        <v>44.334041733063991</v>
      </c>
      <c r="O28" s="61">
        <f t="shared" si="16"/>
        <v>66.242857022666101</v>
      </c>
      <c r="P28" s="129">
        <f t="shared" si="4"/>
        <v>72.521498279672301</v>
      </c>
      <c r="Q28" s="129">
        <f t="shared" si="5"/>
        <v>65.362546636490976</v>
      </c>
      <c r="R28" s="129">
        <f t="shared" si="6"/>
        <v>80.244674211577859</v>
      </c>
      <c r="S28" s="61">
        <f t="shared" si="7"/>
        <v>80.036640937897857</v>
      </c>
      <c r="T28" s="61">
        <f t="shared" si="1"/>
        <v>105.12680216602915</v>
      </c>
      <c r="U28" s="61">
        <f t="shared" si="17"/>
        <v>67.021923142834083</v>
      </c>
      <c r="V28" s="61"/>
      <c r="Y28" s="163" t="s">
        <v>42</v>
      </c>
      <c r="Z28" s="163" t="s">
        <v>65</v>
      </c>
      <c r="AA28" s="163" t="s">
        <v>200</v>
      </c>
      <c r="AB28" s="163">
        <f t="shared" si="22"/>
        <v>4</v>
      </c>
      <c r="AC28" s="166">
        <f t="shared" si="23"/>
        <v>44.334041733063991</v>
      </c>
      <c r="AD28" s="166">
        <f t="shared" si="24"/>
        <v>86.155561966812058</v>
      </c>
      <c r="AE28" s="163"/>
      <c r="AF28" s="163">
        <f t="shared" si="10"/>
        <v>4</v>
      </c>
      <c r="AG28" s="168" t="str">
        <f t="shared" si="11"/>
        <v>N/A</v>
      </c>
      <c r="AH28" s="166">
        <f t="shared" si="12"/>
        <v>63.8207990757411</v>
      </c>
      <c r="AI28" s="166">
        <f t="shared" si="13"/>
        <v>37.254071418080933</v>
      </c>
      <c r="AJ28" s="166">
        <f t="shared" si="14"/>
        <v>101.2948392635375</v>
      </c>
      <c r="AK28" s="168">
        <f t="shared" si="15"/>
        <v>5</v>
      </c>
    </row>
    <row r="29" spans="1:37" x14ac:dyDescent="0.2">
      <c r="A29" s="62" t="s">
        <v>52</v>
      </c>
      <c r="B29" s="62" t="s">
        <v>72</v>
      </c>
      <c r="C29" s="62" t="s">
        <v>201</v>
      </c>
      <c r="D29" s="62"/>
      <c r="E29" s="62">
        <f t="shared" si="2"/>
        <v>25</v>
      </c>
      <c r="F29" s="128" t="s">
        <v>79</v>
      </c>
      <c r="G29" s="129">
        <v>91.521728614422514</v>
      </c>
      <c r="H29" s="129">
        <v>54.392391127078497</v>
      </c>
      <c r="I29" s="129">
        <v>143.01301550964052</v>
      </c>
      <c r="J29" s="129"/>
      <c r="K29" s="129"/>
      <c r="L29" s="129"/>
      <c r="M29" s="60">
        <f t="shared" si="0"/>
        <v>5</v>
      </c>
      <c r="N29" s="61">
        <f t="shared" si="3"/>
        <v>44.334041733063991</v>
      </c>
      <c r="O29" s="61">
        <f t="shared" si="16"/>
        <v>66.242857022666101</v>
      </c>
      <c r="P29" s="129">
        <f t="shared" si="4"/>
        <v>72.521498279672301</v>
      </c>
      <c r="Q29" s="129">
        <f t="shared" si="5"/>
        <v>65.362546636490976</v>
      </c>
      <c r="R29" s="129">
        <f t="shared" si="6"/>
        <v>80.244674211577859</v>
      </c>
      <c r="S29" s="61">
        <f t="shared" si="7"/>
        <v>80.036640937897857</v>
      </c>
      <c r="T29" s="61">
        <f t="shared" si="1"/>
        <v>105.12680216602915</v>
      </c>
      <c r="U29" s="61">
        <f t="shared" si="17"/>
        <v>81.392029308541638</v>
      </c>
      <c r="V29" s="61"/>
      <c r="Y29" s="163" t="s">
        <v>44</v>
      </c>
      <c r="Z29" s="163" t="s">
        <v>66</v>
      </c>
      <c r="AA29" s="163" t="s">
        <v>200</v>
      </c>
      <c r="AB29" s="163">
        <f t="shared" si="22"/>
        <v>1</v>
      </c>
      <c r="AC29" s="166">
        <f t="shared" si="23"/>
        <v>44.334041733063991</v>
      </c>
      <c r="AD29" s="166">
        <f t="shared" si="24"/>
        <v>86.155561966812058</v>
      </c>
      <c r="AE29" s="163"/>
      <c r="AF29" s="163">
        <f t="shared" si="10"/>
        <v>1</v>
      </c>
      <c r="AG29" s="168" t="str">
        <f t="shared" si="11"/>
        <v>N/A</v>
      </c>
      <c r="AH29" s="166">
        <f t="shared" si="12"/>
        <v>44.334041733063991</v>
      </c>
      <c r="AI29" s="166">
        <f t="shared" si="13"/>
        <v>26.183179999991946</v>
      </c>
      <c r="AJ29" s="166">
        <f t="shared" si="14"/>
        <v>69.93697374611358</v>
      </c>
      <c r="AK29" s="168">
        <f t="shared" si="15"/>
        <v>5</v>
      </c>
    </row>
    <row r="30" spans="1:37" x14ac:dyDescent="0.2">
      <c r="A30" s="62" t="s">
        <v>53</v>
      </c>
      <c r="B30" s="62" t="s">
        <v>162</v>
      </c>
      <c r="C30" s="62" t="s">
        <v>163</v>
      </c>
      <c r="D30" s="62"/>
      <c r="E30" s="62">
        <f t="shared" si="2"/>
        <v>11</v>
      </c>
      <c r="F30" s="128" t="s">
        <v>79</v>
      </c>
      <c r="G30" s="129">
        <v>71.763890682715498</v>
      </c>
      <c r="H30" s="129">
        <v>61.011745538069874</v>
      </c>
      <c r="I30" s="129">
        <v>83.856115536736041</v>
      </c>
      <c r="J30" s="129"/>
      <c r="K30" s="129"/>
      <c r="L30" s="129"/>
      <c r="M30" s="60">
        <f t="shared" si="0"/>
        <v>5</v>
      </c>
      <c r="N30" s="61">
        <f t="shared" si="3"/>
        <v>44.334041733063991</v>
      </c>
      <c r="O30" s="61">
        <f t="shared" si="16"/>
        <v>66.242857022666101</v>
      </c>
      <c r="P30" s="129">
        <f>$G$32</f>
        <v>72.521498279672301</v>
      </c>
      <c r="Q30" s="129">
        <f t="shared" si="5"/>
        <v>65.362546636490976</v>
      </c>
      <c r="R30" s="129">
        <f t="shared" si="6"/>
        <v>80.244674211577859</v>
      </c>
      <c r="S30" s="61">
        <f t="shared" si="7"/>
        <v>80.036640937897857</v>
      </c>
      <c r="T30" s="61">
        <f t="shared" si="1"/>
        <v>105.12680216602915</v>
      </c>
      <c r="U30" s="61">
        <f t="shared" si="17"/>
        <v>71.599078215424043</v>
      </c>
      <c r="V30" s="61"/>
      <c r="Y30" s="163" t="s">
        <v>49</v>
      </c>
      <c r="Z30" s="163" t="s">
        <v>70</v>
      </c>
      <c r="AA30" s="163" t="s">
        <v>200</v>
      </c>
      <c r="AB30" s="163">
        <f t="shared" si="22"/>
        <v>3</v>
      </c>
      <c r="AC30" s="166">
        <f t="shared" si="23"/>
        <v>44.334041733063991</v>
      </c>
      <c r="AD30" s="166">
        <f t="shared" si="24"/>
        <v>86.155561966812058</v>
      </c>
      <c r="AE30" s="163"/>
      <c r="AF30" s="163">
        <f t="shared" si="10"/>
        <v>3</v>
      </c>
      <c r="AG30" s="168" t="str">
        <f t="shared" si="11"/>
        <v>N/A</v>
      </c>
      <c r="AH30" s="166">
        <f t="shared" si="12"/>
        <v>62.874899859762188</v>
      </c>
      <c r="AI30" s="166">
        <f t="shared" si="13"/>
        <v>46.536717441790735</v>
      </c>
      <c r="AJ30" s="166">
        <f t="shared" si="14"/>
        <v>82.967648646876142</v>
      </c>
      <c r="AK30" s="168">
        <f t="shared" si="15"/>
        <v>5</v>
      </c>
    </row>
    <row r="31" spans="1:37" x14ac:dyDescent="0.2">
      <c r="A31" s="62" t="s">
        <v>54</v>
      </c>
      <c r="B31" s="62" t="s">
        <v>73</v>
      </c>
      <c r="C31" s="62" t="s">
        <v>201</v>
      </c>
      <c r="D31" s="62"/>
      <c r="E31" s="62">
        <f t="shared" si="2"/>
        <v>23</v>
      </c>
      <c r="F31" s="128" t="s">
        <v>79</v>
      </c>
      <c r="G31" s="129">
        <v>85.017652105568942</v>
      </c>
      <c r="H31" s="129">
        <v>63.40187612694239</v>
      </c>
      <c r="I31" s="129">
        <v>111.39985817709184</v>
      </c>
      <c r="J31" s="129"/>
      <c r="K31" s="129"/>
      <c r="L31" s="129"/>
      <c r="M31" s="60">
        <f t="shared" si="0"/>
        <v>5</v>
      </c>
      <c r="N31" s="61">
        <f t="shared" si="3"/>
        <v>44.334041733063991</v>
      </c>
      <c r="O31" s="61">
        <f t="shared" si="16"/>
        <v>66.242857022666101</v>
      </c>
      <c r="P31" s="129">
        <f t="shared" si="4"/>
        <v>72.521498279672301</v>
      </c>
      <c r="Q31" s="129">
        <f t="shared" si="5"/>
        <v>65.362546636490976</v>
      </c>
      <c r="R31" s="129">
        <f t="shared" si="6"/>
        <v>80.244674211577859</v>
      </c>
      <c r="S31" s="61">
        <f t="shared" si="7"/>
        <v>80.036640937897857</v>
      </c>
      <c r="T31" s="61">
        <f t="shared" si="1"/>
        <v>105.12680216602915</v>
      </c>
      <c r="U31" s="61">
        <f t="shared" si="17"/>
        <v>81.392029308541638</v>
      </c>
      <c r="V31" s="61"/>
      <c r="Y31" s="163" t="s">
        <v>51</v>
      </c>
      <c r="Z31" s="163" t="s">
        <v>71</v>
      </c>
      <c r="AA31" s="163" t="s">
        <v>200</v>
      </c>
      <c r="AB31" s="163">
        <f t="shared" si="22"/>
        <v>9</v>
      </c>
      <c r="AC31" s="166">
        <f t="shared" si="23"/>
        <v>44.334041733063991</v>
      </c>
      <c r="AD31" s="166">
        <f t="shared" si="24"/>
        <v>86.155561966812058</v>
      </c>
      <c r="AE31" s="163"/>
      <c r="AF31" s="163">
        <f t="shared" si="10"/>
        <v>24</v>
      </c>
      <c r="AG31" s="168" t="str">
        <f t="shared" si="11"/>
        <v>N/A</v>
      </c>
      <c r="AH31" s="166">
        <f t="shared" si="12"/>
        <v>86.155561966812058</v>
      </c>
      <c r="AI31" s="166">
        <f t="shared" si="13"/>
        <v>62.785227019034579</v>
      </c>
      <c r="AJ31" s="166">
        <f t="shared" si="14"/>
        <v>115.27827710010099</v>
      </c>
      <c r="AK31" s="168">
        <f t="shared" si="15"/>
        <v>5</v>
      </c>
    </row>
    <row r="32" spans="1:37" x14ac:dyDescent="0.2">
      <c r="A32" s="62"/>
      <c r="B32" s="62" t="s">
        <v>171</v>
      </c>
      <c r="C32" s="62"/>
      <c r="D32" s="62"/>
      <c r="E32" s="62"/>
      <c r="F32" s="128">
        <v>382</v>
      </c>
      <c r="G32" s="129">
        <v>72.521498279672301</v>
      </c>
      <c r="H32" s="129">
        <v>65.362546636490976</v>
      </c>
      <c r="I32" s="129">
        <v>80.244674211577859</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245" t="s">
        <v>274</v>
      </c>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160</v>
      </c>
      <c r="G44" s="129">
        <v>71.599078215424043</v>
      </c>
      <c r="H44" s="129">
        <v>60.872345910083823</v>
      </c>
      <c r="I44" s="129">
        <v>83.662722933766929</v>
      </c>
      <c r="J44" s="129">
        <f>VLOOKUP($C44,$AA$6:$AD$13,3,FALSE)</f>
        <v>68.373665253953078</v>
      </c>
      <c r="K44" s="129">
        <f>VLOOKUP($C44,$AA$6:$AD$13,4,FALSE)</f>
        <v>78.03899148811486</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5</v>
      </c>
      <c r="N44" s="61">
        <f>MIN($G$6:$G$31)</f>
        <v>44.334041733063991</v>
      </c>
      <c r="O44" s="61">
        <f>VLOOKUP(7,$E$5:$G$39,3,FALSE)</f>
        <v>66.242857022666101</v>
      </c>
      <c r="P44" s="129">
        <f>$G$32</f>
        <v>72.521498279672301</v>
      </c>
      <c r="Q44" s="129">
        <f>$H$32</f>
        <v>65.362546636490976</v>
      </c>
      <c r="R44" s="129">
        <f>$I$32</f>
        <v>80.244674211577859</v>
      </c>
      <c r="S44" s="61">
        <f>VLOOKUP(20,$E$5:$G$39,3,FALSE)</f>
        <v>80.036640937897857</v>
      </c>
      <c r="T44" s="61">
        <f>MAX($G$6:$G$31)</f>
        <v>105.12680216602915</v>
      </c>
    </row>
    <row r="45" spans="1:22" x14ac:dyDescent="0.2">
      <c r="C45" s="62" t="s">
        <v>201</v>
      </c>
      <c r="D45" s="62"/>
      <c r="E45" s="62"/>
      <c r="F45" s="128">
        <v>109</v>
      </c>
      <c r="G45" s="129">
        <v>81.392029308541638</v>
      </c>
      <c r="H45" s="129">
        <v>66.50748138291695</v>
      </c>
      <c r="I45" s="129">
        <v>98.55573003511617</v>
      </c>
      <c r="J45" s="129">
        <f>VLOOKUP($C45,$AA$14:$AD$22,3,FALSE)</f>
        <v>77.506111057963082</v>
      </c>
      <c r="K45" s="129">
        <f>VLOOKUP($C45,$AA$14:$AD$22,4,FALSE)</f>
        <v>105.12680216602915</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5</v>
      </c>
      <c r="N45" s="61">
        <f>MIN($G$6:$G$31)</f>
        <v>44.334041733063991</v>
      </c>
      <c r="O45" s="61">
        <f>VLOOKUP(7,$E$5:$G$39,3,FALSE)</f>
        <v>66.242857022666101</v>
      </c>
      <c r="P45" s="129">
        <f>$G$32</f>
        <v>72.521498279672301</v>
      </c>
      <c r="Q45" s="129">
        <f t="shared" ref="Q45:Q46" si="25">$H$32</f>
        <v>65.362546636490976</v>
      </c>
      <c r="R45" s="129">
        <f t="shared" ref="R45:R46" si="26">$I$32</f>
        <v>80.244674211577859</v>
      </c>
      <c r="S45" s="61">
        <f>VLOOKUP(20,$E$5:$G$39,3,FALSE)</f>
        <v>80.036640937897857</v>
      </c>
      <c r="T45" s="61">
        <f t="shared" ref="T45:T46" si="27">MAX($G$6:$G$31)</f>
        <v>105.12680216602915</v>
      </c>
    </row>
    <row r="46" spans="1:22" x14ac:dyDescent="0.2">
      <c r="C46" s="62" t="s">
        <v>200</v>
      </c>
      <c r="D46" s="62"/>
      <c r="E46" s="62"/>
      <c r="F46" s="128">
        <v>113</v>
      </c>
      <c r="G46" s="129">
        <v>67.021923142834083</v>
      </c>
      <c r="H46" s="129">
        <v>55.112122579023328</v>
      </c>
      <c r="I46" s="129">
        <v>80.720253742358167</v>
      </c>
      <c r="J46" s="129">
        <f>VLOOKUP($C46,$AA$23:$AD$31,3,FALSE)</f>
        <v>44.334041733063991</v>
      </c>
      <c r="K46" s="129">
        <f>VLOOKUP($C46,$AA$23:$AD$31,4,FALSE)</f>
        <v>86.155561966812058</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5</v>
      </c>
      <c r="N46" s="61">
        <f>MIN($G$6:$G$31)</f>
        <v>44.334041733063991</v>
      </c>
      <c r="O46" s="61">
        <f>VLOOKUP(7,$E$5:$G$39,3,FALSE)</f>
        <v>66.242857022666101</v>
      </c>
      <c r="P46" s="129">
        <f t="shared" ref="P46" si="28">$G$32</f>
        <v>72.521498279672301</v>
      </c>
      <c r="Q46" s="129">
        <f t="shared" si="25"/>
        <v>65.362546636490976</v>
      </c>
      <c r="R46" s="129">
        <f t="shared" si="26"/>
        <v>80.244674211577859</v>
      </c>
      <c r="S46" s="61">
        <f>VLOOKUP(20,$E$5:$G$39,3,FALSE)</f>
        <v>80.036640937897857</v>
      </c>
      <c r="T46" s="61">
        <f t="shared" si="27"/>
        <v>105.12680216602915</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K2:N2" xr:uid="{00000000-0002-0000-1F00-000000000000}">
      <formula1>"High = Worst,Low = Worst"</formula1>
    </dataValidation>
    <dataValidation type="list" allowBlank="1" showInputMessage="1" showErrorMessage="1" sqref="C2:D2" xr:uid="{00000000-0002-0000-1F00-000001000000}">
      <formula1>"Better / Worse,Higher / Lower,Significance not measured"</formula1>
    </dataValidation>
  </dataValidations>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8">
    <tabColor theme="6" tint="0.39997558519241921"/>
  </sheetPr>
  <dimension ref="A1:AK55"/>
  <sheetViews>
    <sheetView workbookViewId="0">
      <selection activeCell="B36" sqref="B36"/>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8" width="7.33203125" style="21" customWidth="1"/>
    <col min="9" max="9" width="6.886718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5.554687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8</v>
      </c>
      <c r="F6" s="128" t="s">
        <v>79</v>
      </c>
      <c r="G6" s="129">
        <v>73.166741103928828</v>
      </c>
      <c r="H6" s="129">
        <v>52.044046718231392</v>
      </c>
      <c r="I6" s="129">
        <v>99.915275859802691</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5</v>
      </c>
      <c r="N6" s="61">
        <f>MIN($G$6:$G$32)</f>
        <v>51.064235980336264</v>
      </c>
      <c r="O6" s="61">
        <f>VLOOKUP(7,$E$5:$G$39,3,FALSE)</f>
        <v>71.018799599538269</v>
      </c>
      <c r="P6" s="129">
        <f>$G$32</f>
        <v>105.35274830777894</v>
      </c>
      <c r="Q6" s="129">
        <f>$H$32</f>
        <v>96.574253978539005</v>
      </c>
      <c r="R6" s="129">
        <f>$I$32</f>
        <v>114.71036072244333</v>
      </c>
      <c r="S6" s="61">
        <f>VLOOKUP(20,$E$5:$G$39,3,FALSE)</f>
        <v>116.57854906875946</v>
      </c>
      <c r="T6" s="61">
        <f t="shared" ref="T6:T31" si="1">MAX($G$6:$G$31)</f>
        <v>156.08630055503525</v>
      </c>
      <c r="U6" s="61">
        <f>VLOOKUP(C6,$C$43:$I$46,5,FALSE)</f>
        <v>88.248779410105669</v>
      </c>
      <c r="V6" s="61"/>
      <c r="Y6" s="159" t="s">
        <v>33</v>
      </c>
      <c r="Z6" s="159" t="s">
        <v>58</v>
      </c>
      <c r="AA6" s="159" t="s">
        <v>163</v>
      </c>
      <c r="AB6" s="159">
        <f>RANK(AH6,$AH$6:$AH$13,1)</f>
        <v>3</v>
      </c>
      <c r="AC6" s="164">
        <f>MIN($AH$6:$AH$13)</f>
        <v>103.99239923086142</v>
      </c>
      <c r="AD6" s="164">
        <f>MAX($AH$6:$AH$13)</f>
        <v>116.57854906875946</v>
      </c>
      <c r="AE6" s="159"/>
      <c r="AF6" s="159">
        <f>VLOOKUP($Y6,$A$6:$I$31,5,FALSE)</f>
        <v>14</v>
      </c>
      <c r="AG6" s="160" t="str">
        <f>VLOOKUP($Y6,$A$6:$I$31,6,FALSE)</f>
        <v>N/A</v>
      </c>
      <c r="AH6" s="161">
        <f>VLOOKUP($Y6,$A$6:$I$31,7,FALSE)</f>
        <v>105.92833754020968</v>
      </c>
      <c r="AI6" s="161">
        <f>VLOOKUP($Y6,$A$6:$I$31,8,FALSE)</f>
        <v>90.30954343813633</v>
      </c>
      <c r="AJ6" s="161">
        <f>VLOOKUP($Y6,$A$6:$I$31,9,FALSE)</f>
        <v>123.46211351533256</v>
      </c>
      <c r="AK6" s="160">
        <f>VLOOKUP($Y6,$A$6:$M$31,13,FALSE)</f>
        <v>5</v>
      </c>
    </row>
    <row r="7" spans="1:37" x14ac:dyDescent="0.2">
      <c r="A7" s="62" t="s">
        <v>30</v>
      </c>
      <c r="B7" s="62" t="s">
        <v>56</v>
      </c>
      <c r="C7" s="62" t="s">
        <v>200</v>
      </c>
      <c r="D7" s="62"/>
      <c r="E7" s="62">
        <f t="shared" ref="E7:E31" si="2">RANK(G7,$G$6:$G$31,1)</f>
        <v>26</v>
      </c>
      <c r="F7" s="128" t="s">
        <v>79</v>
      </c>
      <c r="G7" s="129">
        <v>156.08630055503525</v>
      </c>
      <c r="H7" s="129">
        <v>126.30022606963257</v>
      </c>
      <c r="I7" s="129">
        <v>190.7035103346584</v>
      </c>
      <c r="J7" s="129"/>
      <c r="K7" s="129"/>
      <c r="L7" s="129"/>
      <c r="M7" s="60">
        <f t="shared" si="0"/>
        <v>1</v>
      </c>
      <c r="N7" s="61">
        <f t="shared" ref="N7:N31" si="3">MIN($G$6:$G$32)</f>
        <v>51.064235980336264</v>
      </c>
      <c r="O7" s="61">
        <f>VLOOKUP(7,$E$5:$G$39,3,FALSE)</f>
        <v>71.018799599538269</v>
      </c>
      <c r="P7" s="129">
        <f t="shared" ref="P7:P31" si="4">$G$32</f>
        <v>105.35274830777894</v>
      </c>
      <c r="Q7" s="129">
        <f t="shared" ref="Q7:Q31" si="5">$H$32</f>
        <v>96.574253978539005</v>
      </c>
      <c r="R7" s="129">
        <f t="shared" ref="R7:R31" si="6">$I$32</f>
        <v>114.71036072244333</v>
      </c>
      <c r="S7" s="61">
        <f t="shared" ref="S7:S31" si="7">VLOOKUP(20,$E$5:$G$39,3,FALSE)</f>
        <v>116.57854906875946</v>
      </c>
      <c r="T7" s="61">
        <f t="shared" si="1"/>
        <v>156.08630055503525</v>
      </c>
      <c r="U7" s="61">
        <f>VLOOKUP(C7,$C$43:$I$46,5,FALSE)</f>
        <v>119.45747842762287</v>
      </c>
      <c r="V7" s="61"/>
      <c r="Y7" s="159" t="s">
        <v>35</v>
      </c>
      <c r="Z7" s="159" t="s">
        <v>60</v>
      </c>
      <c r="AA7" s="159" t="s">
        <v>163</v>
      </c>
      <c r="AB7" s="159">
        <f t="shared" ref="AB7:AB12" si="8">RANK(AH7,$AH$6:$AH$13,1)</f>
        <v>6</v>
      </c>
      <c r="AC7" s="164">
        <f>MIN($AH$6:$AH$13)</f>
        <v>103.99239923086142</v>
      </c>
      <c r="AD7" s="164">
        <f t="shared" ref="AD7:AD13" si="9">MAX($AH$6:$AH$13)</f>
        <v>116.57854906875946</v>
      </c>
      <c r="AE7" s="159"/>
      <c r="AF7" s="159">
        <f t="shared" ref="AF7:AF31" si="10">VLOOKUP($Y7,$A$6:$I$31,5,FALSE)</f>
        <v>17</v>
      </c>
      <c r="AG7" s="160" t="str">
        <f t="shared" ref="AG7:AG31" si="11">VLOOKUP($Y7,$A$6:$I$31,6,FALSE)</f>
        <v>N/A</v>
      </c>
      <c r="AH7" s="161">
        <f t="shared" ref="AH7:AH31" si="12">VLOOKUP($Y7,$A$6:$I$31,7,FALSE)</f>
        <v>111.44039599589804</v>
      </c>
      <c r="AI7" s="161">
        <f t="shared" ref="AI7:AI31" si="13">VLOOKUP($Y7,$A$6:$I$31,8,FALSE)</f>
        <v>93.206892608174115</v>
      </c>
      <c r="AJ7" s="161">
        <f t="shared" ref="AJ7:AJ31" si="14">VLOOKUP($Y7,$A$6:$I$31,9,FALSE)</f>
        <v>132.18236919836508</v>
      </c>
      <c r="AK7" s="160">
        <f t="shared" ref="AK7:AK31" si="15">VLOOKUP($Y7,$A$6:$M$31,13,FALSE)</f>
        <v>5</v>
      </c>
    </row>
    <row r="8" spans="1:37" x14ac:dyDescent="0.2">
      <c r="A8" s="62" t="s">
        <v>31</v>
      </c>
      <c r="B8" s="62" t="s">
        <v>57</v>
      </c>
      <c r="C8" s="62" t="s">
        <v>200</v>
      </c>
      <c r="D8" s="62"/>
      <c r="E8" s="62">
        <f t="shared" si="2"/>
        <v>22</v>
      </c>
      <c r="F8" s="128" t="s">
        <v>79</v>
      </c>
      <c r="G8" s="129">
        <v>121.02444232564221</v>
      </c>
      <c r="H8" s="129">
        <v>104.50179146510936</v>
      </c>
      <c r="I8" s="129">
        <v>139.40091363517467</v>
      </c>
      <c r="J8" s="129"/>
      <c r="K8" s="129"/>
      <c r="L8" s="129"/>
      <c r="M8" s="60">
        <f t="shared" si="0"/>
        <v>5</v>
      </c>
      <c r="N8" s="61">
        <f t="shared" si="3"/>
        <v>51.064235980336264</v>
      </c>
      <c r="O8" s="61">
        <f t="shared" ref="O8:O31" si="16">VLOOKUP(7,$E$5:$G$39,3,FALSE)</f>
        <v>71.018799599538269</v>
      </c>
      <c r="P8" s="129">
        <f t="shared" si="4"/>
        <v>105.35274830777894</v>
      </c>
      <c r="Q8" s="129">
        <f t="shared" si="5"/>
        <v>96.574253978539005</v>
      </c>
      <c r="R8" s="129">
        <f t="shared" si="6"/>
        <v>114.71036072244333</v>
      </c>
      <c r="S8" s="61">
        <f t="shared" si="7"/>
        <v>116.57854906875946</v>
      </c>
      <c r="T8" s="61">
        <f t="shared" si="1"/>
        <v>156.08630055503525</v>
      </c>
      <c r="U8" s="61">
        <f t="shared" ref="U8:U31" si="17">VLOOKUP(C8,$C$43:$I$46,5,FALSE)</f>
        <v>119.45747842762287</v>
      </c>
      <c r="V8" s="61"/>
      <c r="Y8" s="159" t="s">
        <v>41</v>
      </c>
      <c r="Z8" s="159" t="s">
        <v>64</v>
      </c>
      <c r="AA8" s="159" t="s">
        <v>163</v>
      </c>
      <c r="AB8" s="159">
        <f t="shared" si="8"/>
        <v>7</v>
      </c>
      <c r="AC8" s="164">
        <f t="shared" ref="AC8:AC13" si="18">MIN($AH$6:$AH$13)</f>
        <v>103.99239923086142</v>
      </c>
      <c r="AD8" s="164">
        <f>MAX($AH$6:$AH$13)</f>
        <v>116.57854906875946</v>
      </c>
      <c r="AE8" s="159"/>
      <c r="AF8" s="159">
        <f t="shared" si="10"/>
        <v>18</v>
      </c>
      <c r="AG8" s="160" t="str">
        <f t="shared" si="11"/>
        <v>N/A</v>
      </c>
      <c r="AH8" s="161">
        <f t="shared" si="12"/>
        <v>114.3212776282808</v>
      </c>
      <c r="AI8" s="161">
        <f t="shared" si="13"/>
        <v>97.113957532913503</v>
      </c>
      <c r="AJ8" s="161">
        <f t="shared" si="14"/>
        <v>133.68763699798274</v>
      </c>
      <c r="AK8" s="160">
        <f t="shared" si="15"/>
        <v>5</v>
      </c>
    </row>
    <row r="9" spans="1:37" x14ac:dyDescent="0.2">
      <c r="A9" s="62" t="s">
        <v>32</v>
      </c>
      <c r="B9" s="62" t="s">
        <v>156</v>
      </c>
      <c r="C9" s="62" t="s">
        <v>201</v>
      </c>
      <c r="D9" s="62"/>
      <c r="E9" s="62">
        <f t="shared" si="2"/>
        <v>19</v>
      </c>
      <c r="F9" s="128" t="s">
        <v>79</v>
      </c>
      <c r="G9" s="129">
        <v>114.98783929800153</v>
      </c>
      <c r="H9" s="129">
        <v>96.567409732184089</v>
      </c>
      <c r="I9" s="129">
        <v>135.8737724863727</v>
      </c>
      <c r="J9" s="129"/>
      <c r="K9" s="129"/>
      <c r="L9" s="129"/>
      <c r="M9" s="60">
        <f t="shared" si="0"/>
        <v>5</v>
      </c>
      <c r="N9" s="61">
        <f t="shared" si="3"/>
        <v>51.064235980336264</v>
      </c>
      <c r="O9" s="61">
        <f t="shared" si="16"/>
        <v>71.018799599538269</v>
      </c>
      <c r="P9" s="129">
        <f t="shared" si="4"/>
        <v>105.35274830777894</v>
      </c>
      <c r="Q9" s="129">
        <f t="shared" si="5"/>
        <v>96.574253978539005</v>
      </c>
      <c r="R9" s="129">
        <f t="shared" si="6"/>
        <v>114.71036072244333</v>
      </c>
      <c r="S9" s="61">
        <f t="shared" si="7"/>
        <v>116.57854906875946</v>
      </c>
      <c r="T9" s="61">
        <f t="shared" si="1"/>
        <v>156.08630055503525</v>
      </c>
      <c r="U9" s="61">
        <f t="shared" si="17"/>
        <v>88.248779410105669</v>
      </c>
      <c r="V9" s="61"/>
      <c r="X9" s="63"/>
      <c r="Y9" s="159" t="s">
        <v>45</v>
      </c>
      <c r="Z9" s="159" t="s">
        <v>67</v>
      </c>
      <c r="AA9" s="159" t="s">
        <v>163</v>
      </c>
      <c r="AB9" s="159">
        <f t="shared" si="8"/>
        <v>1</v>
      </c>
      <c r="AC9" s="164">
        <f t="shared" si="18"/>
        <v>103.99239923086142</v>
      </c>
      <c r="AD9" s="164">
        <f t="shared" si="9"/>
        <v>116.57854906875946</v>
      </c>
      <c r="AE9" s="159"/>
      <c r="AF9" s="159">
        <f t="shared" si="10"/>
        <v>12</v>
      </c>
      <c r="AG9" s="160" t="str">
        <f t="shared" si="11"/>
        <v>N/A</v>
      </c>
      <c r="AH9" s="161">
        <f t="shared" si="12"/>
        <v>103.99239923086142</v>
      </c>
      <c r="AI9" s="161">
        <f t="shared" si="13"/>
        <v>85.199399338291229</v>
      </c>
      <c r="AJ9" s="161">
        <f t="shared" si="14"/>
        <v>125.67738175936114</v>
      </c>
      <c r="AK9" s="160">
        <f t="shared" si="15"/>
        <v>5</v>
      </c>
    </row>
    <row r="10" spans="1:37" x14ac:dyDescent="0.2">
      <c r="A10" s="62" t="s">
        <v>33</v>
      </c>
      <c r="B10" s="62" t="s">
        <v>58</v>
      </c>
      <c r="C10" s="62" t="s">
        <v>163</v>
      </c>
      <c r="D10" s="62"/>
      <c r="E10" s="62">
        <f t="shared" si="2"/>
        <v>14</v>
      </c>
      <c r="F10" s="128" t="s">
        <v>79</v>
      </c>
      <c r="G10" s="129">
        <v>105.92833754020968</v>
      </c>
      <c r="H10" s="129">
        <v>90.30954343813633</v>
      </c>
      <c r="I10" s="129">
        <v>123.46211351533256</v>
      </c>
      <c r="J10" s="129"/>
      <c r="K10" s="129"/>
      <c r="L10" s="129"/>
      <c r="M10" s="60">
        <f t="shared" si="0"/>
        <v>5</v>
      </c>
      <c r="N10" s="61">
        <f t="shared" si="3"/>
        <v>51.064235980336264</v>
      </c>
      <c r="O10" s="61">
        <f t="shared" si="16"/>
        <v>71.018799599538269</v>
      </c>
      <c r="P10" s="129">
        <f t="shared" si="4"/>
        <v>105.35274830777894</v>
      </c>
      <c r="Q10" s="129">
        <f t="shared" si="5"/>
        <v>96.574253978539005</v>
      </c>
      <c r="R10" s="129">
        <f t="shared" si="6"/>
        <v>114.71036072244333</v>
      </c>
      <c r="S10" s="61">
        <f t="shared" si="7"/>
        <v>116.57854906875946</v>
      </c>
      <c r="T10" s="61">
        <f t="shared" si="1"/>
        <v>156.08630055503525</v>
      </c>
      <c r="U10" s="61">
        <f t="shared" si="17"/>
        <v>104.90163144519751</v>
      </c>
      <c r="V10" s="61"/>
      <c r="Y10" s="159" t="s">
        <v>46</v>
      </c>
      <c r="Z10" s="159" t="s">
        <v>68</v>
      </c>
      <c r="AA10" s="159" t="s">
        <v>163</v>
      </c>
      <c r="AB10" s="159">
        <f t="shared" si="8"/>
        <v>2</v>
      </c>
      <c r="AC10" s="164">
        <f t="shared" si="18"/>
        <v>103.99239923086142</v>
      </c>
      <c r="AD10" s="164">
        <f t="shared" si="9"/>
        <v>116.57854906875946</v>
      </c>
      <c r="AE10" s="159"/>
      <c r="AF10" s="159">
        <f t="shared" si="10"/>
        <v>13</v>
      </c>
      <c r="AG10" s="160" t="str">
        <f t="shared" si="11"/>
        <v>N/A</v>
      </c>
      <c r="AH10" s="161">
        <f t="shared" si="12"/>
        <v>104.02873098608886</v>
      </c>
      <c r="AI10" s="161">
        <f t="shared" si="13"/>
        <v>87.871709739361222</v>
      </c>
      <c r="AJ10" s="161">
        <f t="shared" si="14"/>
        <v>122.28499384983959</v>
      </c>
      <c r="AK10" s="160">
        <f t="shared" si="15"/>
        <v>5</v>
      </c>
    </row>
    <row r="11" spans="1:37" x14ac:dyDescent="0.2">
      <c r="A11" s="62" t="s">
        <v>34</v>
      </c>
      <c r="B11" s="62" t="s">
        <v>59</v>
      </c>
      <c r="C11" s="62" t="s">
        <v>200</v>
      </c>
      <c r="D11" s="62"/>
      <c r="E11" s="62">
        <f t="shared" si="2"/>
        <v>23</v>
      </c>
      <c r="F11" s="128" t="s">
        <v>79</v>
      </c>
      <c r="G11" s="129">
        <v>122.92261122163715</v>
      </c>
      <c r="H11" s="129">
        <v>104.86619173602938</v>
      </c>
      <c r="I11" s="129">
        <v>143.17175363557487</v>
      </c>
      <c r="J11" s="129"/>
      <c r="K11" s="129"/>
      <c r="L11" s="129"/>
      <c r="M11" s="60">
        <f t="shared" si="0"/>
        <v>5</v>
      </c>
      <c r="N11" s="61">
        <f t="shared" si="3"/>
        <v>51.064235980336264</v>
      </c>
      <c r="O11" s="61">
        <f t="shared" si="16"/>
        <v>71.018799599538269</v>
      </c>
      <c r="P11" s="129">
        <f t="shared" si="4"/>
        <v>105.35274830777894</v>
      </c>
      <c r="Q11" s="129">
        <f t="shared" si="5"/>
        <v>96.574253978539005</v>
      </c>
      <c r="R11" s="129">
        <f t="shared" si="6"/>
        <v>114.71036072244333</v>
      </c>
      <c r="S11" s="61">
        <f t="shared" si="7"/>
        <v>116.57854906875946</v>
      </c>
      <c r="T11" s="61">
        <f t="shared" si="1"/>
        <v>156.08630055503525</v>
      </c>
      <c r="U11" s="61">
        <f t="shared" si="17"/>
        <v>119.45747842762287</v>
      </c>
      <c r="V11" s="61"/>
      <c r="Y11" s="159" t="s">
        <v>47</v>
      </c>
      <c r="Z11" s="159" t="s">
        <v>69</v>
      </c>
      <c r="AA11" s="159" t="s">
        <v>163</v>
      </c>
      <c r="AB11" s="159">
        <f t="shared" si="8"/>
        <v>8</v>
      </c>
      <c r="AC11" s="164">
        <f t="shared" si="18"/>
        <v>103.99239923086142</v>
      </c>
      <c r="AD11" s="164">
        <f t="shared" si="9"/>
        <v>116.57854906875946</v>
      </c>
      <c r="AE11" s="159"/>
      <c r="AF11" s="159">
        <f t="shared" si="10"/>
        <v>20</v>
      </c>
      <c r="AG11" s="160" t="str">
        <f t="shared" si="11"/>
        <v>N/A</v>
      </c>
      <c r="AH11" s="161">
        <f t="shared" si="12"/>
        <v>116.57854906875946</v>
      </c>
      <c r="AI11" s="161">
        <f t="shared" si="13"/>
        <v>77.286373877134338</v>
      </c>
      <c r="AJ11" s="161">
        <f t="shared" si="14"/>
        <v>168.70984923560772</v>
      </c>
      <c r="AK11" s="160">
        <f t="shared" si="15"/>
        <v>5</v>
      </c>
    </row>
    <row r="12" spans="1:37" x14ac:dyDescent="0.2">
      <c r="A12" s="62" t="s">
        <v>35</v>
      </c>
      <c r="B12" s="62" t="s">
        <v>60</v>
      </c>
      <c r="C12" s="62" t="s">
        <v>163</v>
      </c>
      <c r="D12" s="62"/>
      <c r="E12" s="62">
        <f t="shared" si="2"/>
        <v>17</v>
      </c>
      <c r="F12" s="128" t="s">
        <v>79</v>
      </c>
      <c r="G12" s="129">
        <v>111.44039599589804</v>
      </c>
      <c r="H12" s="129">
        <v>93.206892608174115</v>
      </c>
      <c r="I12" s="129">
        <v>132.18236919836508</v>
      </c>
      <c r="J12" s="129"/>
      <c r="K12" s="129"/>
      <c r="L12" s="129"/>
      <c r="M12" s="60">
        <f t="shared" si="0"/>
        <v>5</v>
      </c>
      <c r="N12" s="61">
        <f t="shared" si="3"/>
        <v>51.064235980336264</v>
      </c>
      <c r="O12" s="61">
        <f t="shared" si="16"/>
        <v>71.018799599538269</v>
      </c>
      <c r="P12" s="129">
        <f t="shared" si="4"/>
        <v>105.35274830777894</v>
      </c>
      <c r="Q12" s="129">
        <f t="shared" si="5"/>
        <v>96.574253978539005</v>
      </c>
      <c r="R12" s="129">
        <f t="shared" si="6"/>
        <v>114.71036072244333</v>
      </c>
      <c r="S12" s="61">
        <f t="shared" si="7"/>
        <v>116.57854906875946</v>
      </c>
      <c r="T12" s="61">
        <f t="shared" si="1"/>
        <v>156.08630055503525</v>
      </c>
      <c r="U12" s="61">
        <f t="shared" si="17"/>
        <v>104.90163144519751</v>
      </c>
      <c r="V12" s="61"/>
      <c r="Y12" s="159" t="s">
        <v>50</v>
      </c>
      <c r="Z12" s="159" t="s">
        <v>161</v>
      </c>
      <c r="AA12" s="159" t="s">
        <v>163</v>
      </c>
      <c r="AB12" s="159">
        <f t="shared" si="8"/>
        <v>5</v>
      </c>
      <c r="AC12" s="164">
        <f t="shared" si="18"/>
        <v>103.99239923086142</v>
      </c>
      <c r="AD12" s="164">
        <f t="shared" si="9"/>
        <v>116.57854906875946</v>
      </c>
      <c r="AE12" s="159"/>
      <c r="AF12" s="159">
        <f t="shared" si="10"/>
        <v>16</v>
      </c>
      <c r="AG12" s="160" t="str">
        <f t="shared" si="11"/>
        <v>N/A</v>
      </c>
      <c r="AH12" s="161">
        <f t="shared" si="12"/>
        <v>110.66536344839014</v>
      </c>
      <c r="AI12" s="161">
        <f t="shared" si="13"/>
        <v>87.301544083497816</v>
      </c>
      <c r="AJ12" s="161">
        <f t="shared" si="14"/>
        <v>138.32041016862786</v>
      </c>
      <c r="AK12" s="160">
        <f t="shared" si="15"/>
        <v>5</v>
      </c>
    </row>
    <row r="13" spans="1:37" x14ac:dyDescent="0.2">
      <c r="A13" s="62" t="s">
        <v>36</v>
      </c>
      <c r="B13" s="62" t="s">
        <v>61</v>
      </c>
      <c r="C13" s="62" t="s">
        <v>201</v>
      </c>
      <c r="D13" s="62"/>
      <c r="E13" s="62">
        <f t="shared" si="2"/>
        <v>5</v>
      </c>
      <c r="F13" s="128" t="s">
        <v>79</v>
      </c>
      <c r="G13" s="129">
        <v>65.713275796338692</v>
      </c>
      <c r="H13" s="129">
        <v>50.110065505007363</v>
      </c>
      <c r="I13" s="129">
        <v>84.568232528786979</v>
      </c>
      <c r="J13" s="129"/>
      <c r="K13" s="129"/>
      <c r="L13" s="129"/>
      <c r="M13" s="60">
        <f t="shared" si="0"/>
        <v>2</v>
      </c>
      <c r="N13" s="61">
        <f t="shared" si="3"/>
        <v>51.064235980336264</v>
      </c>
      <c r="O13" s="61">
        <f t="shared" si="16"/>
        <v>71.018799599538269</v>
      </c>
      <c r="P13" s="129">
        <f t="shared" si="4"/>
        <v>105.35274830777894</v>
      </c>
      <c r="Q13" s="129">
        <f t="shared" si="5"/>
        <v>96.574253978539005</v>
      </c>
      <c r="R13" s="129">
        <f t="shared" si="6"/>
        <v>114.71036072244333</v>
      </c>
      <c r="S13" s="61">
        <f t="shared" si="7"/>
        <v>116.57854906875946</v>
      </c>
      <c r="T13" s="61">
        <f t="shared" si="1"/>
        <v>156.08630055503525</v>
      </c>
      <c r="U13" s="61">
        <f t="shared" si="17"/>
        <v>88.248779410105669</v>
      </c>
      <c r="V13" s="61"/>
      <c r="Y13" s="159" t="s">
        <v>53</v>
      </c>
      <c r="Z13" s="159" t="s">
        <v>162</v>
      </c>
      <c r="AA13" s="159" t="s">
        <v>163</v>
      </c>
      <c r="AB13" s="159">
        <f>RANK(AH13,$AH$6:$AH$13,1)</f>
        <v>4</v>
      </c>
      <c r="AC13" s="164">
        <f t="shared" si="18"/>
        <v>103.99239923086142</v>
      </c>
      <c r="AD13" s="164">
        <f t="shared" si="9"/>
        <v>116.57854906875946</v>
      </c>
      <c r="AE13" s="159"/>
      <c r="AF13" s="159">
        <f t="shared" si="10"/>
        <v>15</v>
      </c>
      <c r="AG13" s="160" t="str">
        <f t="shared" si="11"/>
        <v>N/A</v>
      </c>
      <c r="AH13" s="161">
        <f t="shared" si="12"/>
        <v>107.44217182527855</v>
      </c>
      <c r="AI13" s="161">
        <f t="shared" si="13"/>
        <v>94.044515281441065</v>
      </c>
      <c r="AJ13" s="161">
        <f t="shared" si="14"/>
        <v>122.20495897672374</v>
      </c>
      <c r="AK13" s="160">
        <f t="shared" si="15"/>
        <v>5</v>
      </c>
    </row>
    <row r="14" spans="1:37" x14ac:dyDescent="0.2">
      <c r="A14" s="62" t="s">
        <v>37</v>
      </c>
      <c r="B14" s="62" t="s">
        <v>157</v>
      </c>
      <c r="C14" s="62" t="s">
        <v>201</v>
      </c>
      <c r="D14" s="62"/>
      <c r="E14" s="62">
        <f t="shared" si="2"/>
        <v>24</v>
      </c>
      <c r="F14" s="128" t="s">
        <v>79</v>
      </c>
      <c r="G14" s="129">
        <v>125.46810633025254</v>
      </c>
      <c r="H14" s="129">
        <v>92.420681327172503</v>
      </c>
      <c r="I14" s="129">
        <v>166.27824301092735</v>
      </c>
      <c r="J14" s="129"/>
      <c r="K14" s="129"/>
      <c r="L14" s="129"/>
      <c r="M14" s="60">
        <f t="shared" si="0"/>
        <v>5</v>
      </c>
      <c r="N14" s="61">
        <f t="shared" si="3"/>
        <v>51.064235980336264</v>
      </c>
      <c r="O14" s="61">
        <f t="shared" si="16"/>
        <v>71.018799599538269</v>
      </c>
      <c r="P14" s="129">
        <f t="shared" si="4"/>
        <v>105.35274830777894</v>
      </c>
      <c r="Q14" s="129">
        <f t="shared" si="5"/>
        <v>96.574253978539005</v>
      </c>
      <c r="R14" s="129">
        <f t="shared" si="6"/>
        <v>114.71036072244333</v>
      </c>
      <c r="S14" s="61">
        <f t="shared" si="7"/>
        <v>116.57854906875946</v>
      </c>
      <c r="T14" s="61">
        <f t="shared" si="1"/>
        <v>156.08630055503525</v>
      </c>
      <c r="U14" s="61">
        <f t="shared" si="17"/>
        <v>88.248779410105669</v>
      </c>
      <c r="V14" s="61"/>
      <c r="Y14" s="162" t="s">
        <v>29</v>
      </c>
      <c r="Z14" s="162" t="s">
        <v>55</v>
      </c>
      <c r="AA14" s="162" t="s">
        <v>201</v>
      </c>
      <c r="AB14" s="162">
        <f>RANK(AH14,$AH$14:$AH$22,1)</f>
        <v>6</v>
      </c>
      <c r="AC14" s="165">
        <f t="shared" ref="AC14:AC22" si="19">MIN($AH$14:$AH$22)</f>
        <v>51.064235980336264</v>
      </c>
      <c r="AD14" s="165">
        <f>MAX($AH$14:$AH$22)</f>
        <v>125.46810633025254</v>
      </c>
      <c r="AE14" s="162"/>
      <c r="AF14" s="162">
        <f t="shared" si="10"/>
        <v>8</v>
      </c>
      <c r="AG14" s="167" t="str">
        <f t="shared" si="11"/>
        <v>N/A</v>
      </c>
      <c r="AH14" s="165">
        <f t="shared" si="12"/>
        <v>73.166741103928828</v>
      </c>
      <c r="AI14" s="165">
        <f t="shared" si="13"/>
        <v>52.044046718231392</v>
      </c>
      <c r="AJ14" s="165">
        <f t="shared" si="14"/>
        <v>99.915275859802691</v>
      </c>
      <c r="AK14" s="167">
        <f t="shared" si="15"/>
        <v>5</v>
      </c>
    </row>
    <row r="15" spans="1:37" x14ac:dyDescent="0.2">
      <c r="A15" s="62" t="s">
        <v>38</v>
      </c>
      <c r="B15" s="62" t="s">
        <v>62</v>
      </c>
      <c r="C15" s="62" t="s">
        <v>201</v>
      </c>
      <c r="D15" s="62"/>
      <c r="E15" s="62">
        <f t="shared" si="2"/>
        <v>9</v>
      </c>
      <c r="F15" s="128" t="s">
        <v>79</v>
      </c>
      <c r="G15" s="129">
        <v>84.784298770208125</v>
      </c>
      <c r="H15" s="129">
        <v>60.130521807107279</v>
      </c>
      <c r="I15" s="129">
        <v>116.09935108023565</v>
      </c>
      <c r="J15" s="129"/>
      <c r="K15" s="129"/>
      <c r="L15" s="129"/>
      <c r="M15" s="60">
        <f t="shared" si="0"/>
        <v>5</v>
      </c>
      <c r="N15" s="61">
        <f t="shared" si="3"/>
        <v>51.064235980336264</v>
      </c>
      <c r="O15" s="61">
        <f t="shared" si="16"/>
        <v>71.018799599538269</v>
      </c>
      <c r="P15" s="129">
        <f t="shared" si="4"/>
        <v>105.35274830777894</v>
      </c>
      <c r="Q15" s="129">
        <f t="shared" si="5"/>
        <v>96.574253978539005</v>
      </c>
      <c r="R15" s="129">
        <f t="shared" si="6"/>
        <v>114.71036072244333</v>
      </c>
      <c r="S15" s="61">
        <f t="shared" si="7"/>
        <v>116.57854906875946</v>
      </c>
      <c r="T15" s="61">
        <f t="shared" si="1"/>
        <v>156.08630055503525</v>
      </c>
      <c r="U15" s="61">
        <f t="shared" si="17"/>
        <v>88.248779410105669</v>
      </c>
      <c r="V15" s="61"/>
      <c r="Y15" s="162" t="s">
        <v>32</v>
      </c>
      <c r="Z15" s="162" t="s">
        <v>156</v>
      </c>
      <c r="AA15" s="162" t="s">
        <v>201</v>
      </c>
      <c r="AB15" s="162">
        <f>RANK(AH15,$AH$14:$AH$22,1)</f>
        <v>8</v>
      </c>
      <c r="AC15" s="165">
        <f t="shared" si="19"/>
        <v>51.064235980336264</v>
      </c>
      <c r="AD15" s="165">
        <f t="shared" ref="AD15:AD22" si="20">MAX($AH$14:$AH$22)</f>
        <v>125.46810633025254</v>
      </c>
      <c r="AE15" s="162"/>
      <c r="AF15" s="162">
        <f t="shared" si="10"/>
        <v>19</v>
      </c>
      <c r="AG15" s="167" t="str">
        <f t="shared" si="11"/>
        <v>N/A</v>
      </c>
      <c r="AH15" s="165">
        <f t="shared" si="12"/>
        <v>114.98783929800153</v>
      </c>
      <c r="AI15" s="165">
        <f t="shared" si="13"/>
        <v>96.567409732184089</v>
      </c>
      <c r="AJ15" s="165">
        <f t="shared" si="14"/>
        <v>135.8737724863727</v>
      </c>
      <c r="AK15" s="167">
        <f t="shared" si="15"/>
        <v>5</v>
      </c>
    </row>
    <row r="16" spans="1:37" x14ac:dyDescent="0.2">
      <c r="A16" s="62" t="s">
        <v>39</v>
      </c>
      <c r="B16" s="62" t="s">
        <v>158</v>
      </c>
      <c r="C16" s="62" t="s">
        <v>200</v>
      </c>
      <c r="D16" s="62"/>
      <c r="E16" s="62">
        <f t="shared" si="2"/>
        <v>21</v>
      </c>
      <c r="F16" s="128" t="s">
        <v>79</v>
      </c>
      <c r="G16" s="129">
        <v>118.29958294466248</v>
      </c>
      <c r="H16" s="129">
        <v>100.28624451320536</v>
      </c>
      <c r="I16" s="129">
        <v>138.58849857759898</v>
      </c>
      <c r="J16" s="129"/>
      <c r="K16" s="129"/>
      <c r="L16" s="129"/>
      <c r="M16" s="60">
        <f t="shared" si="0"/>
        <v>5</v>
      </c>
      <c r="N16" s="61">
        <f t="shared" si="3"/>
        <v>51.064235980336264</v>
      </c>
      <c r="O16" s="61">
        <f t="shared" si="16"/>
        <v>71.018799599538269</v>
      </c>
      <c r="P16" s="129">
        <f t="shared" si="4"/>
        <v>105.35274830777894</v>
      </c>
      <c r="Q16" s="129">
        <f t="shared" si="5"/>
        <v>96.574253978539005</v>
      </c>
      <c r="R16" s="129">
        <f t="shared" si="6"/>
        <v>114.71036072244333</v>
      </c>
      <c r="S16" s="61">
        <f t="shared" si="7"/>
        <v>116.57854906875946</v>
      </c>
      <c r="T16" s="61">
        <f t="shared" si="1"/>
        <v>156.08630055503525</v>
      </c>
      <c r="U16" s="61">
        <f t="shared" si="17"/>
        <v>119.45747842762287</v>
      </c>
      <c r="V16" s="61"/>
      <c r="Y16" s="162" t="s">
        <v>36</v>
      </c>
      <c r="Z16" s="162" t="s">
        <v>61</v>
      </c>
      <c r="AA16" s="162" t="s">
        <v>201</v>
      </c>
      <c r="AB16" s="162">
        <f>RANK(AH16,$AH$14:$AH$22,1)</f>
        <v>4</v>
      </c>
      <c r="AC16" s="165">
        <f t="shared" si="19"/>
        <v>51.064235980336264</v>
      </c>
      <c r="AD16" s="165">
        <f t="shared" si="20"/>
        <v>125.46810633025254</v>
      </c>
      <c r="AE16" s="162"/>
      <c r="AF16" s="162">
        <f t="shared" si="10"/>
        <v>5</v>
      </c>
      <c r="AG16" s="167" t="str">
        <f t="shared" si="11"/>
        <v>N/A</v>
      </c>
      <c r="AH16" s="165">
        <f t="shared" si="12"/>
        <v>65.713275796338692</v>
      </c>
      <c r="AI16" s="165">
        <f t="shared" si="13"/>
        <v>50.110065505007363</v>
      </c>
      <c r="AJ16" s="165">
        <f t="shared" si="14"/>
        <v>84.568232528786979</v>
      </c>
      <c r="AK16" s="167">
        <f t="shared" si="15"/>
        <v>2</v>
      </c>
    </row>
    <row r="17" spans="1:37" x14ac:dyDescent="0.2">
      <c r="A17" s="62" t="s">
        <v>40</v>
      </c>
      <c r="B17" s="62" t="s">
        <v>63</v>
      </c>
      <c r="C17" s="62" t="s">
        <v>200</v>
      </c>
      <c r="D17" s="62"/>
      <c r="E17" s="62">
        <f t="shared" si="2"/>
        <v>11</v>
      </c>
      <c r="F17" s="128" t="s">
        <v>79</v>
      </c>
      <c r="G17" s="129">
        <v>102.57061519281464</v>
      </c>
      <c r="H17" s="129">
        <v>78.185081926560002</v>
      </c>
      <c r="I17" s="129">
        <v>132.08409839300256</v>
      </c>
      <c r="J17" s="129"/>
      <c r="K17" s="129"/>
      <c r="L17" s="129"/>
      <c r="M17" s="60">
        <f t="shared" si="0"/>
        <v>5</v>
      </c>
      <c r="N17" s="61">
        <f t="shared" si="3"/>
        <v>51.064235980336264</v>
      </c>
      <c r="O17" s="61">
        <f t="shared" si="16"/>
        <v>71.018799599538269</v>
      </c>
      <c r="P17" s="129">
        <f t="shared" si="4"/>
        <v>105.35274830777894</v>
      </c>
      <c r="Q17" s="129">
        <f t="shared" si="5"/>
        <v>96.574253978539005</v>
      </c>
      <c r="R17" s="129">
        <f t="shared" si="6"/>
        <v>114.71036072244333</v>
      </c>
      <c r="S17" s="61">
        <f t="shared" si="7"/>
        <v>116.57854906875946</v>
      </c>
      <c r="T17" s="61">
        <f t="shared" si="1"/>
        <v>156.08630055503525</v>
      </c>
      <c r="U17" s="61">
        <f t="shared" si="17"/>
        <v>119.45747842762287</v>
      </c>
      <c r="V17" s="61"/>
      <c r="Y17" s="162" t="s">
        <v>37</v>
      </c>
      <c r="Z17" s="162" t="s">
        <v>157</v>
      </c>
      <c r="AA17" s="162" t="s">
        <v>201</v>
      </c>
      <c r="AB17" s="162">
        <f t="shared" ref="AB17:AB22" si="21">RANK(AH17,$AH$14:$AH$22,1)</f>
        <v>9</v>
      </c>
      <c r="AC17" s="165">
        <f t="shared" si="19"/>
        <v>51.064235980336264</v>
      </c>
      <c r="AD17" s="165">
        <f>MAX($AH$14:$AH$22)</f>
        <v>125.46810633025254</v>
      </c>
      <c r="AE17" s="162"/>
      <c r="AF17" s="162">
        <f t="shared" si="10"/>
        <v>24</v>
      </c>
      <c r="AG17" s="167" t="str">
        <f t="shared" si="11"/>
        <v>N/A</v>
      </c>
      <c r="AH17" s="165">
        <f t="shared" si="12"/>
        <v>125.46810633025254</v>
      </c>
      <c r="AI17" s="165">
        <f t="shared" si="13"/>
        <v>92.420681327172503</v>
      </c>
      <c r="AJ17" s="165">
        <f t="shared" si="14"/>
        <v>166.27824301092735</v>
      </c>
      <c r="AK17" s="167">
        <f t="shared" si="15"/>
        <v>5</v>
      </c>
    </row>
    <row r="18" spans="1:37" x14ac:dyDescent="0.2">
      <c r="A18" s="62" t="s">
        <v>41</v>
      </c>
      <c r="B18" s="62" t="s">
        <v>64</v>
      </c>
      <c r="C18" s="62" t="s">
        <v>163</v>
      </c>
      <c r="D18" s="62"/>
      <c r="E18" s="62">
        <f t="shared" si="2"/>
        <v>18</v>
      </c>
      <c r="F18" s="128" t="s">
        <v>79</v>
      </c>
      <c r="G18" s="129">
        <v>114.3212776282808</v>
      </c>
      <c r="H18" s="129">
        <v>97.113957532913503</v>
      </c>
      <c r="I18" s="129">
        <v>133.68763699798274</v>
      </c>
      <c r="J18" s="129"/>
      <c r="K18" s="129"/>
      <c r="L18" s="129"/>
      <c r="M18" s="60">
        <f t="shared" si="0"/>
        <v>5</v>
      </c>
      <c r="N18" s="61">
        <f t="shared" si="3"/>
        <v>51.064235980336264</v>
      </c>
      <c r="O18" s="61">
        <f t="shared" si="16"/>
        <v>71.018799599538269</v>
      </c>
      <c r="P18" s="129">
        <f t="shared" si="4"/>
        <v>105.35274830777894</v>
      </c>
      <c r="Q18" s="129">
        <f t="shared" si="5"/>
        <v>96.574253978539005</v>
      </c>
      <c r="R18" s="129">
        <f t="shared" si="6"/>
        <v>114.71036072244333</v>
      </c>
      <c r="S18" s="61">
        <f t="shared" si="7"/>
        <v>116.57854906875946</v>
      </c>
      <c r="T18" s="61">
        <f t="shared" si="1"/>
        <v>156.08630055503525</v>
      </c>
      <c r="U18" s="61">
        <f t="shared" si="17"/>
        <v>104.90163144519751</v>
      </c>
      <c r="V18" s="61"/>
      <c r="Y18" s="162" t="s">
        <v>38</v>
      </c>
      <c r="Z18" s="162" t="s">
        <v>62</v>
      </c>
      <c r="AA18" s="162" t="s">
        <v>201</v>
      </c>
      <c r="AB18" s="162">
        <f t="shared" si="21"/>
        <v>7</v>
      </c>
      <c r="AC18" s="165">
        <f t="shared" si="19"/>
        <v>51.064235980336264</v>
      </c>
      <c r="AD18" s="165">
        <f t="shared" si="20"/>
        <v>125.46810633025254</v>
      </c>
      <c r="AE18" s="162"/>
      <c r="AF18" s="162">
        <f t="shared" si="10"/>
        <v>9</v>
      </c>
      <c r="AG18" s="167" t="str">
        <f t="shared" si="11"/>
        <v>N/A</v>
      </c>
      <c r="AH18" s="165">
        <f t="shared" si="12"/>
        <v>84.784298770208125</v>
      </c>
      <c r="AI18" s="165">
        <f t="shared" si="13"/>
        <v>60.130521807107279</v>
      </c>
      <c r="AJ18" s="165">
        <f t="shared" si="14"/>
        <v>116.09935108023565</v>
      </c>
      <c r="AK18" s="167">
        <f t="shared" si="15"/>
        <v>5</v>
      </c>
    </row>
    <row r="19" spans="1:37" x14ac:dyDescent="0.2">
      <c r="A19" s="62" t="s">
        <v>42</v>
      </c>
      <c r="B19" s="62" t="s">
        <v>65</v>
      </c>
      <c r="C19" s="62" t="s">
        <v>200</v>
      </c>
      <c r="D19" s="62"/>
      <c r="E19" s="62">
        <f t="shared" si="2"/>
        <v>10</v>
      </c>
      <c r="F19" s="128" t="s">
        <v>79</v>
      </c>
      <c r="G19" s="129">
        <v>97.816816040599676</v>
      </c>
      <c r="H19" s="129">
        <v>61.983870087872099</v>
      </c>
      <c r="I19" s="129">
        <v>146.46039343697691</v>
      </c>
      <c r="J19" s="129"/>
      <c r="K19" s="129"/>
      <c r="L19" s="129"/>
      <c r="M19" s="60">
        <f t="shared" si="0"/>
        <v>5</v>
      </c>
      <c r="N19" s="61">
        <f t="shared" si="3"/>
        <v>51.064235980336264</v>
      </c>
      <c r="O19" s="61">
        <f t="shared" si="16"/>
        <v>71.018799599538269</v>
      </c>
      <c r="P19" s="129">
        <f t="shared" si="4"/>
        <v>105.35274830777894</v>
      </c>
      <c r="Q19" s="129">
        <f t="shared" si="5"/>
        <v>96.574253978539005</v>
      </c>
      <c r="R19" s="129">
        <f t="shared" si="6"/>
        <v>114.71036072244333</v>
      </c>
      <c r="S19" s="61">
        <f t="shared" si="7"/>
        <v>116.57854906875946</v>
      </c>
      <c r="T19" s="61">
        <f t="shared" si="1"/>
        <v>156.08630055503525</v>
      </c>
      <c r="U19" s="61">
        <f t="shared" si="17"/>
        <v>119.45747842762287</v>
      </c>
      <c r="V19" s="61"/>
      <c r="Y19" s="162" t="s">
        <v>43</v>
      </c>
      <c r="Z19" s="162" t="s">
        <v>159</v>
      </c>
      <c r="AA19" s="162" t="s">
        <v>201</v>
      </c>
      <c r="AB19" s="162">
        <f t="shared" si="21"/>
        <v>5</v>
      </c>
      <c r="AC19" s="165">
        <f t="shared" si="19"/>
        <v>51.064235980336264</v>
      </c>
      <c r="AD19" s="165">
        <f t="shared" si="20"/>
        <v>125.46810633025254</v>
      </c>
      <c r="AE19" s="162"/>
      <c r="AF19" s="162">
        <f t="shared" si="10"/>
        <v>7</v>
      </c>
      <c r="AG19" s="167" t="str">
        <f t="shared" si="11"/>
        <v>N/A</v>
      </c>
      <c r="AH19" s="165">
        <f t="shared" si="12"/>
        <v>71.018799599538269</v>
      </c>
      <c r="AI19" s="165">
        <f t="shared" si="13"/>
        <v>51.539511011411953</v>
      </c>
      <c r="AJ19" s="165">
        <f t="shared" si="14"/>
        <v>95.35236264146657</v>
      </c>
      <c r="AK19" s="167">
        <f t="shared" si="15"/>
        <v>2</v>
      </c>
    </row>
    <row r="20" spans="1:37" x14ac:dyDescent="0.2">
      <c r="A20" s="62" t="s">
        <v>43</v>
      </c>
      <c r="B20" s="62" t="s">
        <v>159</v>
      </c>
      <c r="C20" s="62" t="s">
        <v>201</v>
      </c>
      <c r="D20" s="62"/>
      <c r="E20" s="62">
        <f t="shared" si="2"/>
        <v>7</v>
      </c>
      <c r="F20" s="128" t="s">
        <v>79</v>
      </c>
      <c r="G20" s="129">
        <v>71.018799599538269</v>
      </c>
      <c r="H20" s="129">
        <v>51.539511011411953</v>
      </c>
      <c r="I20" s="129">
        <v>95.35236264146657</v>
      </c>
      <c r="J20" s="129"/>
      <c r="K20" s="129"/>
      <c r="L20" s="129"/>
      <c r="M20" s="60">
        <f t="shared" si="0"/>
        <v>2</v>
      </c>
      <c r="N20" s="61">
        <f t="shared" si="3"/>
        <v>51.064235980336264</v>
      </c>
      <c r="O20" s="61">
        <f t="shared" si="16"/>
        <v>71.018799599538269</v>
      </c>
      <c r="P20" s="129">
        <f t="shared" si="4"/>
        <v>105.35274830777894</v>
      </c>
      <c r="Q20" s="129">
        <f t="shared" si="5"/>
        <v>96.574253978539005</v>
      </c>
      <c r="R20" s="129">
        <f t="shared" si="6"/>
        <v>114.71036072244333</v>
      </c>
      <c r="S20" s="61">
        <f t="shared" si="7"/>
        <v>116.57854906875946</v>
      </c>
      <c r="T20" s="61">
        <f t="shared" si="1"/>
        <v>156.08630055503525</v>
      </c>
      <c r="U20" s="61">
        <f t="shared" si="17"/>
        <v>88.248779410105669</v>
      </c>
      <c r="V20" s="61"/>
      <c r="Y20" s="162" t="s">
        <v>48</v>
      </c>
      <c r="Z20" s="162" t="s">
        <v>160</v>
      </c>
      <c r="AA20" s="162" t="s">
        <v>201</v>
      </c>
      <c r="AB20" s="162">
        <f t="shared" si="21"/>
        <v>2</v>
      </c>
      <c r="AC20" s="165">
        <f t="shared" si="19"/>
        <v>51.064235980336264</v>
      </c>
      <c r="AD20" s="165">
        <f t="shared" si="20"/>
        <v>125.46810633025254</v>
      </c>
      <c r="AE20" s="162"/>
      <c r="AF20" s="162">
        <f t="shared" si="10"/>
        <v>2</v>
      </c>
      <c r="AG20" s="167" t="str">
        <f t="shared" si="11"/>
        <v>N/A</v>
      </c>
      <c r="AH20" s="165">
        <f t="shared" si="12"/>
        <v>54.942541645713625</v>
      </c>
      <c r="AI20" s="165">
        <f t="shared" si="13"/>
        <v>36.380805193793272</v>
      </c>
      <c r="AJ20" s="165">
        <f t="shared" si="14"/>
        <v>79.447439630656405</v>
      </c>
      <c r="AK20" s="167">
        <f t="shared" si="15"/>
        <v>2</v>
      </c>
    </row>
    <row r="21" spans="1:37" x14ac:dyDescent="0.2">
      <c r="A21" s="62" t="s">
        <v>44</v>
      </c>
      <c r="B21" s="62" t="s">
        <v>66</v>
      </c>
      <c r="C21" s="62" t="s">
        <v>200</v>
      </c>
      <c r="D21" s="62"/>
      <c r="E21" s="62">
        <f t="shared" si="2"/>
        <v>3</v>
      </c>
      <c r="F21" s="128" t="s">
        <v>79</v>
      </c>
      <c r="G21" s="129">
        <v>59.223167646054428</v>
      </c>
      <c r="H21" s="129">
        <v>37.48782198207801</v>
      </c>
      <c r="I21" s="129">
        <v>88.729113666721176</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2</v>
      </c>
      <c r="N21" s="61">
        <f t="shared" si="3"/>
        <v>51.064235980336264</v>
      </c>
      <c r="O21" s="61">
        <f t="shared" si="16"/>
        <v>71.018799599538269</v>
      </c>
      <c r="P21" s="129">
        <f t="shared" si="4"/>
        <v>105.35274830777894</v>
      </c>
      <c r="Q21" s="129">
        <f t="shared" si="5"/>
        <v>96.574253978539005</v>
      </c>
      <c r="R21" s="129">
        <f t="shared" si="6"/>
        <v>114.71036072244333</v>
      </c>
      <c r="S21" s="61">
        <f t="shared" si="7"/>
        <v>116.57854906875946</v>
      </c>
      <c r="T21" s="61">
        <f t="shared" si="1"/>
        <v>156.08630055503525</v>
      </c>
      <c r="U21" s="61">
        <f t="shared" si="17"/>
        <v>119.45747842762287</v>
      </c>
      <c r="V21" s="61"/>
      <c r="Y21" s="162" t="s">
        <v>52</v>
      </c>
      <c r="Z21" s="162" t="s">
        <v>72</v>
      </c>
      <c r="AA21" s="162" t="s">
        <v>201</v>
      </c>
      <c r="AB21" s="162">
        <f t="shared" si="21"/>
        <v>1</v>
      </c>
      <c r="AC21" s="165">
        <f t="shared" si="19"/>
        <v>51.064235980336264</v>
      </c>
      <c r="AD21" s="165">
        <f t="shared" si="20"/>
        <v>125.46810633025254</v>
      </c>
      <c r="AE21" s="162"/>
      <c r="AF21" s="162">
        <f t="shared" si="10"/>
        <v>1</v>
      </c>
      <c r="AG21" s="167" t="str">
        <f t="shared" si="11"/>
        <v>N/A</v>
      </c>
      <c r="AH21" s="165">
        <f t="shared" si="12"/>
        <v>51.064235980336264</v>
      </c>
      <c r="AI21" s="165">
        <f t="shared" si="13"/>
        <v>25.369361963366124</v>
      </c>
      <c r="AJ21" s="165">
        <f t="shared" si="14"/>
        <v>90.726665829660078</v>
      </c>
      <c r="AK21" s="167">
        <f t="shared" si="15"/>
        <v>2</v>
      </c>
    </row>
    <row r="22" spans="1:37" x14ac:dyDescent="0.2">
      <c r="A22" s="62" t="s">
        <v>45</v>
      </c>
      <c r="B22" s="62" t="s">
        <v>67</v>
      </c>
      <c r="C22" s="62" t="s">
        <v>163</v>
      </c>
      <c r="D22" s="62"/>
      <c r="E22" s="62">
        <f t="shared" si="2"/>
        <v>12</v>
      </c>
      <c r="F22" s="128" t="s">
        <v>79</v>
      </c>
      <c r="G22" s="129">
        <v>103.99239923086142</v>
      </c>
      <c r="H22" s="129">
        <v>85.199399338291229</v>
      </c>
      <c r="I22" s="129">
        <v>125.67738175936114</v>
      </c>
      <c r="J22" s="129"/>
      <c r="K22" s="129"/>
      <c r="L22" s="129"/>
      <c r="M22" s="60">
        <f t="shared" si="0"/>
        <v>5</v>
      </c>
      <c r="N22" s="61">
        <f t="shared" si="3"/>
        <v>51.064235980336264</v>
      </c>
      <c r="O22" s="61">
        <f t="shared" si="16"/>
        <v>71.018799599538269</v>
      </c>
      <c r="P22" s="129">
        <f t="shared" si="4"/>
        <v>105.35274830777894</v>
      </c>
      <c r="Q22" s="129">
        <f t="shared" si="5"/>
        <v>96.574253978539005</v>
      </c>
      <c r="R22" s="129">
        <f t="shared" si="6"/>
        <v>114.71036072244333</v>
      </c>
      <c r="S22" s="61">
        <f t="shared" si="7"/>
        <v>116.57854906875946</v>
      </c>
      <c r="T22" s="61">
        <f t="shared" si="1"/>
        <v>156.08630055503525</v>
      </c>
      <c r="U22" s="61">
        <f>VLOOKUP(C22,$C$43:$I$46,5,FALSE)</f>
        <v>104.90163144519751</v>
      </c>
      <c r="V22" s="61"/>
      <c r="Y22" s="162" t="s">
        <v>54</v>
      </c>
      <c r="Z22" s="162" t="s">
        <v>73</v>
      </c>
      <c r="AA22" s="162" t="s">
        <v>201</v>
      </c>
      <c r="AB22" s="162">
        <f t="shared" si="21"/>
        <v>3</v>
      </c>
      <c r="AC22" s="165">
        <f t="shared" si="19"/>
        <v>51.064235980336264</v>
      </c>
      <c r="AD22" s="165">
        <f t="shared" si="20"/>
        <v>125.46810633025254</v>
      </c>
      <c r="AE22" s="162"/>
      <c r="AF22" s="162">
        <f t="shared" si="10"/>
        <v>4</v>
      </c>
      <c r="AG22" s="167" t="str">
        <f t="shared" si="11"/>
        <v>N/A</v>
      </c>
      <c r="AH22" s="165">
        <f t="shared" si="12"/>
        <v>61.751714042611546</v>
      </c>
      <c r="AI22" s="165">
        <f t="shared" si="13"/>
        <v>43.332871076539213</v>
      </c>
      <c r="AJ22" s="165">
        <f t="shared" si="14"/>
        <v>85.221170511969476</v>
      </c>
      <c r="AK22" s="167">
        <f t="shared" si="15"/>
        <v>2</v>
      </c>
    </row>
    <row r="23" spans="1:37" x14ac:dyDescent="0.2">
      <c r="A23" s="62" t="s">
        <v>46</v>
      </c>
      <c r="B23" s="62" t="s">
        <v>68</v>
      </c>
      <c r="C23" s="62" t="s">
        <v>163</v>
      </c>
      <c r="D23" s="62"/>
      <c r="E23" s="62">
        <f t="shared" si="2"/>
        <v>13</v>
      </c>
      <c r="F23" s="128" t="s">
        <v>79</v>
      </c>
      <c r="G23" s="129">
        <v>104.02873098608886</v>
      </c>
      <c r="H23" s="129">
        <v>87.871709739361222</v>
      </c>
      <c r="I23" s="129">
        <v>122.28499384983959</v>
      </c>
      <c r="J23" s="129"/>
      <c r="K23" s="129"/>
      <c r="L23" s="129"/>
      <c r="M23" s="60">
        <f t="shared" si="0"/>
        <v>5</v>
      </c>
      <c r="N23" s="61">
        <f t="shared" si="3"/>
        <v>51.064235980336264</v>
      </c>
      <c r="O23" s="61">
        <f t="shared" si="16"/>
        <v>71.018799599538269</v>
      </c>
      <c r="P23" s="129">
        <f t="shared" si="4"/>
        <v>105.35274830777894</v>
      </c>
      <c r="Q23" s="129">
        <f t="shared" si="5"/>
        <v>96.574253978539005</v>
      </c>
      <c r="R23" s="129">
        <f t="shared" si="6"/>
        <v>114.71036072244333</v>
      </c>
      <c r="S23" s="61">
        <f t="shared" si="7"/>
        <v>116.57854906875946</v>
      </c>
      <c r="T23" s="61">
        <f t="shared" si="1"/>
        <v>156.08630055503525</v>
      </c>
      <c r="U23" s="61">
        <f t="shared" si="17"/>
        <v>104.90163144519751</v>
      </c>
      <c r="V23" s="61"/>
      <c r="Y23" s="163" t="s">
        <v>30</v>
      </c>
      <c r="Z23" s="163" t="s">
        <v>56</v>
      </c>
      <c r="AA23" s="163" t="s">
        <v>200</v>
      </c>
      <c r="AB23" s="163">
        <f>RANK(AH23,$AH$23:$AH$31,1)</f>
        <v>9</v>
      </c>
      <c r="AC23" s="166">
        <f>MIN($AH$23:$AH$31)</f>
        <v>59.223167646054428</v>
      </c>
      <c r="AD23" s="166">
        <f>MAX($AH$23:$AH$31)</f>
        <v>156.08630055503525</v>
      </c>
      <c r="AE23" s="163"/>
      <c r="AF23" s="163">
        <f t="shared" si="10"/>
        <v>26</v>
      </c>
      <c r="AG23" s="168" t="str">
        <f t="shared" si="11"/>
        <v>N/A</v>
      </c>
      <c r="AH23" s="166">
        <f t="shared" si="12"/>
        <v>156.08630055503525</v>
      </c>
      <c r="AI23" s="166">
        <f t="shared" si="13"/>
        <v>126.30022606963257</v>
      </c>
      <c r="AJ23" s="166">
        <f t="shared" si="14"/>
        <v>190.7035103346584</v>
      </c>
      <c r="AK23" s="168">
        <f t="shared" si="15"/>
        <v>1</v>
      </c>
    </row>
    <row r="24" spans="1:37" x14ac:dyDescent="0.2">
      <c r="A24" s="62" t="s">
        <v>47</v>
      </c>
      <c r="B24" s="62" t="s">
        <v>69</v>
      </c>
      <c r="C24" s="62" t="s">
        <v>163</v>
      </c>
      <c r="D24" s="62"/>
      <c r="E24" s="62">
        <f t="shared" si="2"/>
        <v>20</v>
      </c>
      <c r="F24" s="128" t="s">
        <v>79</v>
      </c>
      <c r="G24" s="129">
        <v>116.57854906875946</v>
      </c>
      <c r="H24" s="129">
        <v>77.286373877134338</v>
      </c>
      <c r="I24" s="129">
        <v>168.70984923560772</v>
      </c>
      <c r="J24" s="129"/>
      <c r="K24" s="129"/>
      <c r="L24" s="129"/>
      <c r="M24" s="60">
        <f t="shared" si="0"/>
        <v>5</v>
      </c>
      <c r="N24" s="61">
        <f t="shared" si="3"/>
        <v>51.064235980336264</v>
      </c>
      <c r="O24" s="61">
        <f t="shared" si="16"/>
        <v>71.018799599538269</v>
      </c>
      <c r="P24" s="129">
        <f t="shared" si="4"/>
        <v>105.35274830777894</v>
      </c>
      <c r="Q24" s="129">
        <f t="shared" si="5"/>
        <v>96.574253978539005</v>
      </c>
      <c r="R24" s="129">
        <f t="shared" si="6"/>
        <v>114.71036072244333</v>
      </c>
      <c r="S24" s="61">
        <f t="shared" si="7"/>
        <v>116.57854906875946</v>
      </c>
      <c r="T24" s="61">
        <f t="shared" si="1"/>
        <v>156.08630055503525</v>
      </c>
      <c r="U24" s="61">
        <f t="shared" si="17"/>
        <v>104.90163144519751</v>
      </c>
      <c r="V24" s="61"/>
      <c r="Y24" s="163" t="s">
        <v>31</v>
      </c>
      <c r="Z24" s="163" t="s">
        <v>57</v>
      </c>
      <c r="AA24" s="163" t="s">
        <v>200</v>
      </c>
      <c r="AB24" s="163">
        <f t="shared" ref="AB24:AB31" si="22">RANK(AH24,$AH$23:$AH$31,1)</f>
        <v>6</v>
      </c>
      <c r="AC24" s="166">
        <f t="shared" ref="AC24:AC31" si="23">MIN($AH$23:$AH$31)</f>
        <v>59.223167646054428</v>
      </c>
      <c r="AD24" s="166">
        <f t="shared" ref="AD24:AD31" si="24">MAX($AH$23:$AH$31)</f>
        <v>156.08630055503525</v>
      </c>
      <c r="AE24" s="163"/>
      <c r="AF24" s="163">
        <f t="shared" si="10"/>
        <v>22</v>
      </c>
      <c r="AG24" s="168" t="str">
        <f t="shared" si="11"/>
        <v>N/A</v>
      </c>
      <c r="AH24" s="166">
        <f t="shared" si="12"/>
        <v>121.02444232564221</v>
      </c>
      <c r="AI24" s="166">
        <f t="shared" si="13"/>
        <v>104.50179146510936</v>
      </c>
      <c r="AJ24" s="166">
        <f t="shared" si="14"/>
        <v>139.40091363517467</v>
      </c>
      <c r="AK24" s="168">
        <f t="shared" si="15"/>
        <v>5</v>
      </c>
    </row>
    <row r="25" spans="1:37" x14ac:dyDescent="0.2">
      <c r="A25" s="62" t="s">
        <v>48</v>
      </c>
      <c r="B25" s="62" t="s">
        <v>160</v>
      </c>
      <c r="C25" s="62" t="s">
        <v>201</v>
      </c>
      <c r="D25" s="62"/>
      <c r="E25" s="62">
        <f t="shared" si="2"/>
        <v>2</v>
      </c>
      <c r="F25" s="128" t="s">
        <v>79</v>
      </c>
      <c r="G25" s="129">
        <v>54.942541645713625</v>
      </c>
      <c r="H25" s="129">
        <v>36.380805193793272</v>
      </c>
      <c r="I25" s="129">
        <v>79.447439630656405</v>
      </c>
      <c r="J25" s="129"/>
      <c r="K25" s="129"/>
      <c r="L25" s="129"/>
      <c r="M25" s="60">
        <f t="shared" si="0"/>
        <v>2</v>
      </c>
      <c r="N25" s="61">
        <f t="shared" si="3"/>
        <v>51.064235980336264</v>
      </c>
      <c r="O25" s="61">
        <f t="shared" si="16"/>
        <v>71.018799599538269</v>
      </c>
      <c r="P25" s="129">
        <f t="shared" si="4"/>
        <v>105.35274830777894</v>
      </c>
      <c r="Q25" s="129">
        <f t="shared" si="5"/>
        <v>96.574253978539005</v>
      </c>
      <c r="R25" s="129">
        <f t="shared" si="6"/>
        <v>114.71036072244333</v>
      </c>
      <c r="S25" s="61">
        <f t="shared" si="7"/>
        <v>116.57854906875946</v>
      </c>
      <c r="T25" s="61">
        <f t="shared" si="1"/>
        <v>156.08630055503525</v>
      </c>
      <c r="U25" s="61">
        <f t="shared" si="17"/>
        <v>88.248779410105669</v>
      </c>
      <c r="V25" s="61"/>
      <c r="Y25" s="163" t="s">
        <v>34</v>
      </c>
      <c r="Z25" s="163" t="s">
        <v>59</v>
      </c>
      <c r="AA25" s="163" t="s">
        <v>200</v>
      </c>
      <c r="AB25" s="163">
        <f t="shared" si="22"/>
        <v>7</v>
      </c>
      <c r="AC25" s="166">
        <f t="shared" si="23"/>
        <v>59.223167646054428</v>
      </c>
      <c r="AD25" s="166">
        <f t="shared" si="24"/>
        <v>156.08630055503525</v>
      </c>
      <c r="AE25" s="163"/>
      <c r="AF25" s="163">
        <f t="shared" si="10"/>
        <v>23</v>
      </c>
      <c r="AG25" s="168" t="str">
        <f t="shared" si="11"/>
        <v>N/A</v>
      </c>
      <c r="AH25" s="166">
        <f t="shared" si="12"/>
        <v>122.92261122163715</v>
      </c>
      <c r="AI25" s="166">
        <f t="shared" si="13"/>
        <v>104.86619173602938</v>
      </c>
      <c r="AJ25" s="166">
        <f t="shared" si="14"/>
        <v>143.17175363557487</v>
      </c>
      <c r="AK25" s="168">
        <f t="shared" si="15"/>
        <v>5</v>
      </c>
    </row>
    <row r="26" spans="1:37" x14ac:dyDescent="0.2">
      <c r="A26" s="62" t="s">
        <v>49</v>
      </c>
      <c r="B26" s="62" t="s">
        <v>70</v>
      </c>
      <c r="C26" s="62" t="s">
        <v>200</v>
      </c>
      <c r="D26" s="62"/>
      <c r="E26" s="62">
        <f t="shared" si="2"/>
        <v>6</v>
      </c>
      <c r="F26" s="128" t="s">
        <v>79</v>
      </c>
      <c r="G26" s="129">
        <v>67.7179489737144</v>
      </c>
      <c r="H26" s="129">
        <v>50.315285979311668</v>
      </c>
      <c r="I26" s="129">
        <v>89.119799364900899</v>
      </c>
      <c r="J26" s="129"/>
      <c r="K26" s="129"/>
      <c r="L26" s="129"/>
      <c r="M26" s="60">
        <f t="shared" si="0"/>
        <v>2</v>
      </c>
      <c r="N26" s="61">
        <f t="shared" si="3"/>
        <v>51.064235980336264</v>
      </c>
      <c r="O26" s="61">
        <f t="shared" si="16"/>
        <v>71.018799599538269</v>
      </c>
      <c r="P26" s="129">
        <f t="shared" si="4"/>
        <v>105.35274830777894</v>
      </c>
      <c r="Q26" s="129">
        <f t="shared" si="5"/>
        <v>96.574253978539005</v>
      </c>
      <c r="R26" s="129">
        <f t="shared" si="6"/>
        <v>114.71036072244333</v>
      </c>
      <c r="S26" s="61">
        <f t="shared" si="7"/>
        <v>116.57854906875946</v>
      </c>
      <c r="T26" s="61">
        <f t="shared" si="1"/>
        <v>156.08630055503525</v>
      </c>
      <c r="U26" s="61">
        <f t="shared" si="17"/>
        <v>119.45747842762287</v>
      </c>
      <c r="V26" s="61"/>
      <c r="Y26" s="163" t="s">
        <v>39</v>
      </c>
      <c r="Z26" s="163" t="s">
        <v>158</v>
      </c>
      <c r="AA26" s="163" t="s">
        <v>200</v>
      </c>
      <c r="AB26" s="163">
        <f t="shared" si="22"/>
        <v>5</v>
      </c>
      <c r="AC26" s="166">
        <f t="shared" si="23"/>
        <v>59.223167646054428</v>
      </c>
      <c r="AD26" s="166">
        <f t="shared" si="24"/>
        <v>156.08630055503525</v>
      </c>
      <c r="AE26" s="163"/>
      <c r="AF26" s="163">
        <f t="shared" si="10"/>
        <v>21</v>
      </c>
      <c r="AG26" s="168" t="str">
        <f t="shared" si="11"/>
        <v>N/A</v>
      </c>
      <c r="AH26" s="166">
        <f t="shared" si="12"/>
        <v>118.29958294466248</v>
      </c>
      <c r="AI26" s="166">
        <f t="shared" si="13"/>
        <v>100.28624451320536</v>
      </c>
      <c r="AJ26" s="166">
        <f t="shared" si="14"/>
        <v>138.58849857759898</v>
      </c>
      <c r="AK26" s="168">
        <f t="shared" si="15"/>
        <v>5</v>
      </c>
    </row>
    <row r="27" spans="1:37" x14ac:dyDescent="0.2">
      <c r="A27" s="62" t="s">
        <v>50</v>
      </c>
      <c r="B27" s="62" t="s">
        <v>161</v>
      </c>
      <c r="C27" s="62" t="s">
        <v>163</v>
      </c>
      <c r="D27" s="62"/>
      <c r="E27" s="62">
        <f t="shared" si="2"/>
        <v>16</v>
      </c>
      <c r="F27" s="128" t="s">
        <v>79</v>
      </c>
      <c r="G27" s="129">
        <v>110.66536344839014</v>
      </c>
      <c r="H27" s="129">
        <v>87.301544083497816</v>
      </c>
      <c r="I27" s="129">
        <v>138.32041016862786</v>
      </c>
      <c r="J27" s="129"/>
      <c r="K27" s="129"/>
      <c r="L27" s="129"/>
      <c r="M27" s="60">
        <f t="shared" si="0"/>
        <v>5</v>
      </c>
      <c r="N27" s="61">
        <f t="shared" si="3"/>
        <v>51.064235980336264</v>
      </c>
      <c r="O27" s="61">
        <f t="shared" si="16"/>
        <v>71.018799599538269</v>
      </c>
      <c r="P27" s="129">
        <f t="shared" si="4"/>
        <v>105.35274830777894</v>
      </c>
      <c r="Q27" s="129">
        <f t="shared" si="5"/>
        <v>96.574253978539005</v>
      </c>
      <c r="R27" s="129">
        <f t="shared" si="6"/>
        <v>114.71036072244333</v>
      </c>
      <c r="S27" s="61">
        <f t="shared" si="7"/>
        <v>116.57854906875946</v>
      </c>
      <c r="T27" s="61">
        <f t="shared" si="1"/>
        <v>156.08630055503525</v>
      </c>
      <c r="U27" s="61">
        <f t="shared" si="17"/>
        <v>104.90163144519751</v>
      </c>
      <c r="V27" s="61"/>
      <c r="Y27" s="163" t="s">
        <v>40</v>
      </c>
      <c r="Z27" s="163" t="s">
        <v>63</v>
      </c>
      <c r="AA27" s="163" t="s">
        <v>200</v>
      </c>
      <c r="AB27" s="163">
        <f t="shared" si="22"/>
        <v>4</v>
      </c>
      <c r="AC27" s="166">
        <f t="shared" si="23"/>
        <v>59.223167646054428</v>
      </c>
      <c r="AD27" s="166">
        <f t="shared" si="24"/>
        <v>156.08630055503525</v>
      </c>
      <c r="AE27" s="163"/>
      <c r="AF27" s="163">
        <f t="shared" si="10"/>
        <v>11</v>
      </c>
      <c r="AG27" s="168" t="str">
        <f t="shared" si="11"/>
        <v>N/A</v>
      </c>
      <c r="AH27" s="166">
        <f t="shared" si="12"/>
        <v>102.57061519281464</v>
      </c>
      <c r="AI27" s="166">
        <f t="shared" si="13"/>
        <v>78.185081926560002</v>
      </c>
      <c r="AJ27" s="166">
        <f t="shared" si="14"/>
        <v>132.08409839300256</v>
      </c>
      <c r="AK27" s="168">
        <f t="shared" si="15"/>
        <v>5</v>
      </c>
    </row>
    <row r="28" spans="1:37" x14ac:dyDescent="0.2">
      <c r="A28" s="62" t="s">
        <v>51</v>
      </c>
      <c r="B28" s="62" t="s">
        <v>71</v>
      </c>
      <c r="C28" s="62" t="s">
        <v>200</v>
      </c>
      <c r="D28" s="62"/>
      <c r="E28" s="62">
        <f t="shared" si="2"/>
        <v>25</v>
      </c>
      <c r="F28" s="128" t="s">
        <v>79</v>
      </c>
      <c r="G28" s="129">
        <v>129.45074046523087</v>
      </c>
      <c r="H28" s="129">
        <v>100.2770379936976</v>
      </c>
      <c r="I28" s="129">
        <v>164.40204339323415</v>
      </c>
      <c r="J28" s="129"/>
      <c r="K28" s="129"/>
      <c r="L28" s="129"/>
      <c r="M28" s="60">
        <f t="shared" si="0"/>
        <v>5</v>
      </c>
      <c r="N28" s="61">
        <f t="shared" si="3"/>
        <v>51.064235980336264</v>
      </c>
      <c r="O28" s="61">
        <f t="shared" si="16"/>
        <v>71.018799599538269</v>
      </c>
      <c r="P28" s="129">
        <f t="shared" si="4"/>
        <v>105.35274830777894</v>
      </c>
      <c r="Q28" s="129">
        <f t="shared" si="5"/>
        <v>96.574253978539005</v>
      </c>
      <c r="R28" s="129">
        <f t="shared" si="6"/>
        <v>114.71036072244333</v>
      </c>
      <c r="S28" s="61">
        <f t="shared" si="7"/>
        <v>116.57854906875946</v>
      </c>
      <c r="T28" s="61">
        <f t="shared" si="1"/>
        <v>156.08630055503525</v>
      </c>
      <c r="U28" s="61">
        <f t="shared" si="17"/>
        <v>119.45747842762287</v>
      </c>
      <c r="V28" s="61"/>
      <c r="Y28" s="163" t="s">
        <v>42</v>
      </c>
      <c r="Z28" s="163" t="s">
        <v>65</v>
      </c>
      <c r="AA28" s="163" t="s">
        <v>200</v>
      </c>
      <c r="AB28" s="163">
        <f t="shared" si="22"/>
        <v>3</v>
      </c>
      <c r="AC28" s="166">
        <f t="shared" si="23"/>
        <v>59.223167646054428</v>
      </c>
      <c r="AD28" s="166">
        <f t="shared" si="24"/>
        <v>156.08630055503525</v>
      </c>
      <c r="AE28" s="163"/>
      <c r="AF28" s="163">
        <f t="shared" si="10"/>
        <v>10</v>
      </c>
      <c r="AG28" s="168" t="str">
        <f t="shared" si="11"/>
        <v>N/A</v>
      </c>
      <c r="AH28" s="166">
        <f t="shared" si="12"/>
        <v>97.816816040599676</v>
      </c>
      <c r="AI28" s="166">
        <f t="shared" si="13"/>
        <v>61.983870087872099</v>
      </c>
      <c r="AJ28" s="166">
        <f t="shared" si="14"/>
        <v>146.46039343697691</v>
      </c>
      <c r="AK28" s="168">
        <f t="shared" si="15"/>
        <v>5</v>
      </c>
    </row>
    <row r="29" spans="1:37" x14ac:dyDescent="0.2">
      <c r="A29" s="62" t="s">
        <v>52</v>
      </c>
      <c r="B29" s="62" t="s">
        <v>72</v>
      </c>
      <c r="C29" s="62" t="s">
        <v>201</v>
      </c>
      <c r="D29" s="62"/>
      <c r="E29" s="62">
        <f t="shared" si="2"/>
        <v>1</v>
      </c>
      <c r="F29" s="128" t="s">
        <v>79</v>
      </c>
      <c r="G29" s="129">
        <v>51.064235980336264</v>
      </c>
      <c r="H29" s="129">
        <v>25.369361963366124</v>
      </c>
      <c r="I29" s="129">
        <v>90.726665829660078</v>
      </c>
      <c r="J29" s="129"/>
      <c r="K29" s="129"/>
      <c r="L29" s="129"/>
      <c r="M29" s="60">
        <f t="shared" si="0"/>
        <v>2</v>
      </c>
      <c r="N29" s="61">
        <f t="shared" si="3"/>
        <v>51.064235980336264</v>
      </c>
      <c r="O29" s="61">
        <f t="shared" si="16"/>
        <v>71.018799599538269</v>
      </c>
      <c r="P29" s="129">
        <f t="shared" si="4"/>
        <v>105.35274830777894</v>
      </c>
      <c r="Q29" s="129">
        <f t="shared" si="5"/>
        <v>96.574253978539005</v>
      </c>
      <c r="R29" s="129">
        <f t="shared" si="6"/>
        <v>114.71036072244333</v>
      </c>
      <c r="S29" s="61">
        <f t="shared" si="7"/>
        <v>116.57854906875946</v>
      </c>
      <c r="T29" s="61">
        <f t="shared" si="1"/>
        <v>156.08630055503525</v>
      </c>
      <c r="U29" s="61">
        <f t="shared" si="17"/>
        <v>88.248779410105669</v>
      </c>
      <c r="V29" s="61"/>
      <c r="Y29" s="163" t="s">
        <v>44</v>
      </c>
      <c r="Z29" s="163" t="s">
        <v>66</v>
      </c>
      <c r="AA29" s="163" t="s">
        <v>200</v>
      </c>
      <c r="AB29" s="163">
        <f t="shared" si="22"/>
        <v>1</v>
      </c>
      <c r="AC29" s="166">
        <f t="shared" si="23"/>
        <v>59.223167646054428</v>
      </c>
      <c r="AD29" s="166">
        <f t="shared" si="24"/>
        <v>156.08630055503525</v>
      </c>
      <c r="AE29" s="163"/>
      <c r="AF29" s="163">
        <f t="shared" si="10"/>
        <v>3</v>
      </c>
      <c r="AG29" s="168" t="str">
        <f t="shared" si="11"/>
        <v>N/A</v>
      </c>
      <c r="AH29" s="166">
        <f t="shared" si="12"/>
        <v>59.223167646054428</v>
      </c>
      <c r="AI29" s="166">
        <f t="shared" si="13"/>
        <v>37.48782198207801</v>
      </c>
      <c r="AJ29" s="166">
        <f t="shared" si="14"/>
        <v>88.729113666721176</v>
      </c>
      <c r="AK29" s="168">
        <f t="shared" si="15"/>
        <v>2</v>
      </c>
    </row>
    <row r="30" spans="1:37" x14ac:dyDescent="0.2">
      <c r="A30" s="62" t="s">
        <v>53</v>
      </c>
      <c r="B30" s="62" t="s">
        <v>162</v>
      </c>
      <c r="C30" s="62" t="s">
        <v>163</v>
      </c>
      <c r="D30" s="62"/>
      <c r="E30" s="62">
        <f t="shared" si="2"/>
        <v>15</v>
      </c>
      <c r="F30" s="128" t="s">
        <v>79</v>
      </c>
      <c r="G30" s="129">
        <v>107.44217182527855</v>
      </c>
      <c r="H30" s="129">
        <v>94.044515281441065</v>
      </c>
      <c r="I30" s="129">
        <v>122.20495897672374</v>
      </c>
      <c r="J30" s="129"/>
      <c r="K30" s="129"/>
      <c r="L30" s="129"/>
      <c r="M30" s="60">
        <f t="shared" si="0"/>
        <v>5</v>
      </c>
      <c r="N30" s="61">
        <f t="shared" si="3"/>
        <v>51.064235980336264</v>
      </c>
      <c r="O30" s="61">
        <f t="shared" si="16"/>
        <v>71.018799599538269</v>
      </c>
      <c r="P30" s="129">
        <f>$G$32</f>
        <v>105.35274830777894</v>
      </c>
      <c r="Q30" s="129">
        <f t="shared" si="5"/>
        <v>96.574253978539005</v>
      </c>
      <c r="R30" s="129">
        <f t="shared" si="6"/>
        <v>114.71036072244333</v>
      </c>
      <c r="S30" s="61">
        <f t="shared" si="7"/>
        <v>116.57854906875946</v>
      </c>
      <c r="T30" s="61">
        <f t="shared" si="1"/>
        <v>156.08630055503525</v>
      </c>
      <c r="U30" s="61">
        <f t="shared" si="17"/>
        <v>104.90163144519751</v>
      </c>
      <c r="V30" s="61"/>
      <c r="Y30" s="163" t="s">
        <v>49</v>
      </c>
      <c r="Z30" s="163" t="s">
        <v>70</v>
      </c>
      <c r="AA30" s="163" t="s">
        <v>200</v>
      </c>
      <c r="AB30" s="163">
        <f t="shared" si="22"/>
        <v>2</v>
      </c>
      <c r="AC30" s="166">
        <f t="shared" si="23"/>
        <v>59.223167646054428</v>
      </c>
      <c r="AD30" s="166">
        <f t="shared" si="24"/>
        <v>156.08630055503525</v>
      </c>
      <c r="AE30" s="163"/>
      <c r="AF30" s="163">
        <f t="shared" si="10"/>
        <v>6</v>
      </c>
      <c r="AG30" s="168" t="str">
        <f t="shared" si="11"/>
        <v>N/A</v>
      </c>
      <c r="AH30" s="166">
        <f t="shared" si="12"/>
        <v>67.7179489737144</v>
      </c>
      <c r="AI30" s="166">
        <f t="shared" si="13"/>
        <v>50.315285979311668</v>
      </c>
      <c r="AJ30" s="166">
        <f t="shared" si="14"/>
        <v>89.119799364900899</v>
      </c>
      <c r="AK30" s="168">
        <f t="shared" si="15"/>
        <v>2</v>
      </c>
    </row>
    <row r="31" spans="1:37" x14ac:dyDescent="0.2">
      <c r="A31" s="62" t="s">
        <v>54</v>
      </c>
      <c r="B31" s="62" t="s">
        <v>73</v>
      </c>
      <c r="C31" s="62" t="s">
        <v>201</v>
      </c>
      <c r="D31" s="62"/>
      <c r="E31" s="62">
        <f t="shared" si="2"/>
        <v>4</v>
      </c>
      <c r="F31" s="128" t="s">
        <v>79</v>
      </c>
      <c r="G31" s="129">
        <v>61.751714042611546</v>
      </c>
      <c r="H31" s="129">
        <v>43.332871076539213</v>
      </c>
      <c r="I31" s="129">
        <v>85.221170511969476</v>
      </c>
      <c r="J31" s="129"/>
      <c r="K31" s="129"/>
      <c r="L31" s="129"/>
      <c r="M31" s="60">
        <f t="shared" si="0"/>
        <v>2</v>
      </c>
      <c r="N31" s="61">
        <f t="shared" si="3"/>
        <v>51.064235980336264</v>
      </c>
      <c r="O31" s="61">
        <f t="shared" si="16"/>
        <v>71.018799599538269</v>
      </c>
      <c r="P31" s="129">
        <f t="shared" si="4"/>
        <v>105.35274830777894</v>
      </c>
      <c r="Q31" s="129">
        <f t="shared" si="5"/>
        <v>96.574253978539005</v>
      </c>
      <c r="R31" s="129">
        <f t="shared" si="6"/>
        <v>114.71036072244333</v>
      </c>
      <c r="S31" s="61">
        <f t="shared" si="7"/>
        <v>116.57854906875946</v>
      </c>
      <c r="T31" s="61">
        <f t="shared" si="1"/>
        <v>156.08630055503525</v>
      </c>
      <c r="U31" s="61">
        <f t="shared" si="17"/>
        <v>88.248779410105669</v>
      </c>
      <c r="V31" s="61"/>
      <c r="Y31" s="163" t="s">
        <v>51</v>
      </c>
      <c r="Z31" s="163" t="s">
        <v>71</v>
      </c>
      <c r="AA31" s="163" t="s">
        <v>200</v>
      </c>
      <c r="AB31" s="163">
        <f t="shared" si="22"/>
        <v>8</v>
      </c>
      <c r="AC31" s="166">
        <f t="shared" si="23"/>
        <v>59.223167646054428</v>
      </c>
      <c r="AD31" s="166">
        <f t="shared" si="24"/>
        <v>156.08630055503525</v>
      </c>
      <c r="AE31" s="163"/>
      <c r="AF31" s="163">
        <f t="shared" si="10"/>
        <v>25</v>
      </c>
      <c r="AG31" s="168" t="str">
        <f t="shared" si="11"/>
        <v>N/A</v>
      </c>
      <c r="AH31" s="166">
        <f t="shared" si="12"/>
        <v>129.45074046523087</v>
      </c>
      <c r="AI31" s="166">
        <f t="shared" si="13"/>
        <v>100.2770379936976</v>
      </c>
      <c r="AJ31" s="166">
        <f t="shared" si="14"/>
        <v>164.40204339323415</v>
      </c>
      <c r="AK31" s="168">
        <f t="shared" si="15"/>
        <v>5</v>
      </c>
    </row>
    <row r="32" spans="1:37" x14ac:dyDescent="0.2">
      <c r="A32" s="62"/>
      <c r="B32" s="62" t="s">
        <v>171</v>
      </c>
      <c r="C32" s="62"/>
      <c r="D32" s="62"/>
      <c r="E32" s="62"/>
      <c r="F32" s="128">
        <v>538</v>
      </c>
      <c r="G32" s="129">
        <v>105.35274830777894</v>
      </c>
      <c r="H32" s="129">
        <v>96.574253978539005</v>
      </c>
      <c r="I32" s="129">
        <v>114.71036072244333</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245" t="s">
        <v>274</v>
      </c>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230</v>
      </c>
      <c r="G44" s="129">
        <v>104.90163144519751</v>
      </c>
      <c r="H44" s="129">
        <v>91.712819371660473</v>
      </c>
      <c r="I44" s="129">
        <v>119.44656702102196</v>
      </c>
      <c r="J44" s="129">
        <f>VLOOKUP($C44,$AA$6:$AD$13,3,FALSE)</f>
        <v>103.99239923086142</v>
      </c>
      <c r="K44" s="129">
        <f>VLOOKUP($C44,$AA$6:$AD$13,4,FALSE)</f>
        <v>116.57854906875946</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5</v>
      </c>
      <c r="N44" s="61">
        <f>MIN($G$6:$G$31)</f>
        <v>51.064235980336264</v>
      </c>
      <c r="O44" s="61">
        <f>VLOOKUP(7,$E$5:$G$39,3,FALSE)</f>
        <v>71.018799599538269</v>
      </c>
      <c r="P44" s="129">
        <f>$G$32</f>
        <v>105.35274830777894</v>
      </c>
      <c r="Q44" s="129">
        <f>$H$32</f>
        <v>96.574253978539005</v>
      </c>
      <c r="R44" s="129">
        <f>$I$32</f>
        <v>114.71036072244333</v>
      </c>
      <c r="S44" s="61">
        <f>VLOOKUP(20,$E$5:$G$39,3,FALSE)</f>
        <v>116.57854906875946</v>
      </c>
      <c r="T44" s="61">
        <f>MAX($G$6:$G$31)</f>
        <v>156.08630055503525</v>
      </c>
    </row>
    <row r="45" spans="1:22" x14ac:dyDescent="0.2">
      <c r="C45" s="62" t="s">
        <v>201</v>
      </c>
      <c r="D45" s="62"/>
      <c r="E45" s="62"/>
      <c r="F45" s="128">
        <v>113</v>
      </c>
      <c r="G45" s="129">
        <v>88.248779410105669</v>
      </c>
      <c r="H45" s="129">
        <v>72.529734226637103</v>
      </c>
      <c r="I45" s="129">
        <v>106.32840017943215</v>
      </c>
      <c r="J45" s="129">
        <f>VLOOKUP($C45,$AA$14:$AD$22,3,FALSE)</f>
        <v>51.064235980336264</v>
      </c>
      <c r="K45" s="129">
        <f>VLOOKUP($C45,$AA$14:$AD$22,4,FALSE)</f>
        <v>125.46810633025254</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5</v>
      </c>
      <c r="N45" s="61">
        <f>MIN($G$6:$G$31)</f>
        <v>51.064235980336264</v>
      </c>
      <c r="O45" s="61">
        <f>VLOOKUP(7,$E$5:$G$39,3,FALSE)</f>
        <v>71.018799599538269</v>
      </c>
      <c r="P45" s="129">
        <f>$G$32</f>
        <v>105.35274830777894</v>
      </c>
      <c r="Q45" s="129">
        <f t="shared" ref="Q45:Q46" si="25">$H$32</f>
        <v>96.574253978539005</v>
      </c>
      <c r="R45" s="129">
        <f t="shared" ref="R45:R46" si="26">$I$32</f>
        <v>114.71036072244333</v>
      </c>
      <c r="S45" s="61">
        <f>VLOOKUP(20,$E$5:$G$39,3,FALSE)</f>
        <v>116.57854906875946</v>
      </c>
      <c r="T45" s="61">
        <f t="shared" ref="T45:T46" si="27">MAX($G$6:$G$31)</f>
        <v>156.08630055503525</v>
      </c>
    </row>
    <row r="46" spans="1:22" x14ac:dyDescent="0.2">
      <c r="C46" s="62" t="s">
        <v>200</v>
      </c>
      <c r="D46" s="62"/>
      <c r="E46" s="62"/>
      <c r="F46" s="128">
        <v>195</v>
      </c>
      <c r="G46" s="129">
        <v>119.45747842762287</v>
      </c>
      <c r="H46" s="129">
        <v>103.12668726643683</v>
      </c>
      <c r="I46" s="129">
        <v>137.62056362313143</v>
      </c>
      <c r="J46" s="129">
        <f>VLOOKUP($C46,$AA$23:$AD$31,3,FALSE)</f>
        <v>59.223167646054428</v>
      </c>
      <c r="K46" s="129">
        <f>VLOOKUP($C46,$AA$23:$AD$31,4,FALSE)</f>
        <v>156.08630055503525</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5</v>
      </c>
      <c r="N46" s="61">
        <f>MIN($G$6:$G$31)</f>
        <v>51.064235980336264</v>
      </c>
      <c r="O46" s="61">
        <f>VLOOKUP(7,$E$5:$G$39,3,FALSE)</f>
        <v>71.018799599538269</v>
      </c>
      <c r="P46" s="129">
        <f t="shared" ref="P46" si="28">$G$32</f>
        <v>105.35274830777894</v>
      </c>
      <c r="Q46" s="129">
        <f t="shared" si="25"/>
        <v>96.574253978539005</v>
      </c>
      <c r="R46" s="129">
        <f t="shared" si="26"/>
        <v>114.71036072244333</v>
      </c>
      <c r="S46" s="61">
        <f>VLOOKUP(20,$E$5:$G$39,3,FALSE)</f>
        <v>116.57854906875946</v>
      </c>
      <c r="T46" s="61">
        <f t="shared" si="27"/>
        <v>156.08630055503525</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K2:N2" xr:uid="{00000000-0002-0000-2000-000000000000}">
      <formula1>"High = Worst,Low = Worst"</formula1>
    </dataValidation>
    <dataValidation type="list" allowBlank="1" showInputMessage="1" showErrorMessage="1" sqref="C2:D2" xr:uid="{00000000-0002-0000-2000-000001000000}">
      <formula1>"Better / Worse,Higher / Lower,Significance not measured"</formula1>
    </dataValidation>
  </dataValidations>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9">
    <tabColor theme="6" tint="0.39997558519241921"/>
  </sheetPr>
  <dimension ref="A1:AK55"/>
  <sheetViews>
    <sheetView workbookViewId="0">
      <selection activeCell="D74" sqref="D74"/>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8" width="7.33203125" style="21" customWidth="1"/>
    <col min="9" max="9" width="6.886718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5.554687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6</v>
      </c>
      <c r="F6" s="128" t="s">
        <v>79</v>
      </c>
      <c r="G6" s="129">
        <v>158.92858913493109</v>
      </c>
      <c r="H6" s="129">
        <v>114.9669393654524</v>
      </c>
      <c r="I6" s="129">
        <v>213.98508914834497</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5</v>
      </c>
      <c r="N6" s="61">
        <f>MIN($G$6:$G$32)</f>
        <v>120.98080377397729</v>
      </c>
      <c r="O6" s="61">
        <f>VLOOKUP(7,$E$5:$G$39,3,FALSE)</f>
        <v>162.00446089175094</v>
      </c>
      <c r="P6" s="129">
        <f>$G$32</f>
        <v>175.67583764175842</v>
      </c>
      <c r="Q6" s="129">
        <f>$H$32</f>
        <v>160.55001253033535</v>
      </c>
      <c r="R6" s="129">
        <f>$I$32</f>
        <v>191.83278455549694</v>
      </c>
      <c r="S6" s="61">
        <f>VLOOKUP(20,$E$5:$G$39,3,FALSE)</f>
        <v>184.19484117435195</v>
      </c>
      <c r="T6" s="61">
        <f t="shared" ref="T6:T31" si="1">MAX($G$6:$G$31)</f>
        <v>244.30958277018706</v>
      </c>
      <c r="U6" s="61">
        <f>VLOOKUP(C6,$C$43:$I$46,5,FALSE)</f>
        <v>152.77944102230558</v>
      </c>
      <c r="V6" s="61"/>
      <c r="Y6" s="159" t="s">
        <v>33</v>
      </c>
      <c r="Z6" s="159" t="s">
        <v>58</v>
      </c>
      <c r="AA6" s="159" t="s">
        <v>163</v>
      </c>
      <c r="AB6" s="159">
        <f>RANK(AH6,$AH$6:$AH$13,1)</f>
        <v>7</v>
      </c>
      <c r="AC6" s="164">
        <f>MIN($AH$6:$AH$13)</f>
        <v>162.00446089175094</v>
      </c>
      <c r="AD6" s="164">
        <f>MAX($AH$6:$AH$13)</f>
        <v>241.56164299381712</v>
      </c>
      <c r="AE6" s="159"/>
      <c r="AF6" s="159">
        <f>VLOOKUP($Y6,$A$6:$I$31,5,FALSE)</f>
        <v>22</v>
      </c>
      <c r="AG6" s="160" t="str">
        <f>VLOOKUP($Y6,$A$6:$I$31,6,FALSE)</f>
        <v>N/A</v>
      </c>
      <c r="AH6" s="161">
        <f>VLOOKUP($Y6,$A$6:$I$31,7,FALSE)</f>
        <v>191.8624124398826</v>
      </c>
      <c r="AI6" s="161">
        <f>VLOOKUP($Y6,$A$6:$I$31,8,FALSE)</f>
        <v>163.32398839787496</v>
      </c>
      <c r="AJ6" s="161">
        <f>VLOOKUP($Y6,$A$6:$I$31,9,FALSE)</f>
        <v>223.92265886279162</v>
      </c>
      <c r="AK6" s="160">
        <f>VLOOKUP($Y6,$A$6:$M$31,13,FALSE)</f>
        <v>5</v>
      </c>
    </row>
    <row r="7" spans="1:37" x14ac:dyDescent="0.2">
      <c r="A7" s="62" t="s">
        <v>30</v>
      </c>
      <c r="B7" s="62" t="s">
        <v>56</v>
      </c>
      <c r="C7" s="62" t="s">
        <v>200</v>
      </c>
      <c r="D7" s="62"/>
      <c r="E7" s="62">
        <f t="shared" ref="E7:E31" si="2">RANK(G7,$G$6:$G$31,1)</f>
        <v>24</v>
      </c>
      <c r="F7" s="128" t="s">
        <v>79</v>
      </c>
      <c r="G7" s="129">
        <v>193.80255332413364</v>
      </c>
      <c r="H7" s="129">
        <v>150.09533304011876</v>
      </c>
      <c r="I7" s="129">
        <v>246.16561206781483</v>
      </c>
      <c r="J7" s="129"/>
      <c r="K7" s="129"/>
      <c r="L7" s="129"/>
      <c r="M7" s="60">
        <f t="shared" si="0"/>
        <v>5</v>
      </c>
      <c r="N7" s="61">
        <f t="shared" ref="N7:N31" si="3">MIN($G$6:$G$32)</f>
        <v>120.98080377397729</v>
      </c>
      <c r="O7" s="61">
        <f>VLOOKUP(7,$E$5:$G$39,3,FALSE)</f>
        <v>162.00446089175094</v>
      </c>
      <c r="P7" s="129">
        <f t="shared" ref="P7:P31" si="4">$G$32</f>
        <v>175.67583764175842</v>
      </c>
      <c r="Q7" s="129">
        <f t="shared" ref="Q7:Q31" si="5">$H$32</f>
        <v>160.55001253033535</v>
      </c>
      <c r="R7" s="129">
        <f t="shared" ref="R7:R31" si="6">$I$32</f>
        <v>191.83278455549694</v>
      </c>
      <c r="S7" s="61">
        <f t="shared" ref="S7:S31" si="7">VLOOKUP(20,$E$5:$G$39,3,FALSE)</f>
        <v>184.19484117435195</v>
      </c>
      <c r="T7" s="61">
        <f t="shared" si="1"/>
        <v>244.30958277018706</v>
      </c>
      <c r="U7" s="61">
        <f>VLOOKUP(C7,$C$43:$I$46,5,FALSE)</f>
        <v>179.92662738920393</v>
      </c>
      <c r="V7" s="61"/>
      <c r="Y7" s="159" t="s">
        <v>35</v>
      </c>
      <c r="Z7" s="159" t="s">
        <v>60</v>
      </c>
      <c r="AA7" s="159" t="s">
        <v>163</v>
      </c>
      <c r="AB7" s="159">
        <f t="shared" ref="AB7:AB12" si="8">RANK(AH7,$AH$6:$AH$13,1)</f>
        <v>5</v>
      </c>
      <c r="AC7" s="164">
        <f>MIN($AH$6:$AH$13)</f>
        <v>162.00446089175094</v>
      </c>
      <c r="AD7" s="164">
        <f t="shared" ref="AD7:AD13" si="9">MAX($AH$6:$AH$13)</f>
        <v>241.56164299381712</v>
      </c>
      <c r="AE7" s="159"/>
      <c r="AF7" s="159">
        <f t="shared" ref="AF7:AF31" si="10">VLOOKUP($Y7,$A$6:$I$31,5,FALSE)</f>
        <v>20</v>
      </c>
      <c r="AG7" s="160" t="str">
        <f t="shared" ref="AG7:AG31" si="11">VLOOKUP($Y7,$A$6:$I$31,6,FALSE)</f>
        <v>N/A</v>
      </c>
      <c r="AH7" s="161">
        <f t="shared" ref="AH7:AH31" si="12">VLOOKUP($Y7,$A$6:$I$31,7,FALSE)</f>
        <v>184.19484117435195</v>
      </c>
      <c r="AI7" s="161">
        <f t="shared" ref="AI7:AI31" si="13">VLOOKUP($Y7,$A$6:$I$31,8,FALSE)</f>
        <v>153.12942231875954</v>
      </c>
      <c r="AJ7" s="161">
        <f t="shared" ref="AJ7:AJ31" si="14">VLOOKUP($Y7,$A$6:$I$31,9,FALSE)</f>
        <v>219.67877073766343</v>
      </c>
      <c r="AK7" s="160">
        <f t="shared" ref="AK7:AK31" si="15">VLOOKUP($Y7,$A$6:$M$31,13,FALSE)</f>
        <v>5</v>
      </c>
    </row>
    <row r="8" spans="1:37" x14ac:dyDescent="0.2">
      <c r="A8" s="62" t="s">
        <v>31</v>
      </c>
      <c r="B8" s="62" t="s">
        <v>57</v>
      </c>
      <c r="C8" s="62" t="s">
        <v>200</v>
      </c>
      <c r="D8" s="62"/>
      <c r="E8" s="62">
        <f t="shared" si="2"/>
        <v>19</v>
      </c>
      <c r="F8" s="128" t="s">
        <v>79</v>
      </c>
      <c r="G8" s="129">
        <v>183.43558605350279</v>
      </c>
      <c r="H8" s="129">
        <v>156.62867912095481</v>
      </c>
      <c r="I8" s="129">
        <v>213.47742008268315</v>
      </c>
      <c r="J8" s="129"/>
      <c r="K8" s="129"/>
      <c r="L8" s="129"/>
      <c r="M8" s="60">
        <f t="shared" si="0"/>
        <v>5</v>
      </c>
      <c r="N8" s="61">
        <f t="shared" si="3"/>
        <v>120.98080377397729</v>
      </c>
      <c r="O8" s="61">
        <f t="shared" ref="O8:O31" si="16">VLOOKUP(7,$E$5:$G$39,3,FALSE)</f>
        <v>162.00446089175094</v>
      </c>
      <c r="P8" s="129">
        <f t="shared" si="4"/>
        <v>175.67583764175842</v>
      </c>
      <c r="Q8" s="129">
        <f t="shared" si="5"/>
        <v>160.55001253033535</v>
      </c>
      <c r="R8" s="129">
        <f t="shared" si="6"/>
        <v>191.83278455549694</v>
      </c>
      <c r="S8" s="61">
        <f t="shared" si="7"/>
        <v>184.19484117435195</v>
      </c>
      <c r="T8" s="61">
        <f t="shared" si="1"/>
        <v>244.30958277018706</v>
      </c>
      <c r="U8" s="61">
        <f t="shared" ref="U8:U31" si="17">VLOOKUP(C8,$C$43:$I$46,5,FALSE)</f>
        <v>179.92662738920393</v>
      </c>
      <c r="V8" s="61"/>
      <c r="Y8" s="159" t="s">
        <v>41</v>
      </c>
      <c r="Z8" s="159" t="s">
        <v>64</v>
      </c>
      <c r="AA8" s="159" t="s">
        <v>163</v>
      </c>
      <c r="AB8" s="159">
        <f t="shared" si="8"/>
        <v>3</v>
      </c>
      <c r="AC8" s="164">
        <f t="shared" ref="AC8:AC13" si="18">MIN($AH$6:$AH$13)</f>
        <v>162.00446089175094</v>
      </c>
      <c r="AD8" s="164">
        <f>MAX($AH$6:$AH$13)</f>
        <v>241.56164299381712</v>
      </c>
      <c r="AE8" s="159"/>
      <c r="AF8" s="159">
        <f t="shared" si="10"/>
        <v>16</v>
      </c>
      <c r="AG8" s="160" t="str">
        <f t="shared" si="11"/>
        <v>N/A</v>
      </c>
      <c r="AH8" s="161">
        <f t="shared" si="12"/>
        <v>181.56621391744557</v>
      </c>
      <c r="AI8" s="161">
        <f t="shared" si="13"/>
        <v>152.4568734102738</v>
      </c>
      <c r="AJ8" s="161">
        <f t="shared" si="14"/>
        <v>214.58670643553128</v>
      </c>
      <c r="AK8" s="160">
        <f t="shared" si="15"/>
        <v>5</v>
      </c>
    </row>
    <row r="9" spans="1:37" x14ac:dyDescent="0.2">
      <c r="A9" s="62" t="s">
        <v>32</v>
      </c>
      <c r="B9" s="62" t="s">
        <v>156</v>
      </c>
      <c r="C9" s="62" t="s">
        <v>201</v>
      </c>
      <c r="D9" s="62"/>
      <c r="E9" s="62">
        <f t="shared" si="2"/>
        <v>12</v>
      </c>
      <c r="F9" s="128" t="s">
        <v>79</v>
      </c>
      <c r="G9" s="129">
        <v>176.09606809549902</v>
      </c>
      <c r="H9" s="129">
        <v>145.44038018047442</v>
      </c>
      <c r="I9" s="129">
        <v>211.22886885754545</v>
      </c>
      <c r="J9" s="129"/>
      <c r="K9" s="129"/>
      <c r="L9" s="129"/>
      <c r="M9" s="60">
        <f t="shared" si="0"/>
        <v>5</v>
      </c>
      <c r="N9" s="61">
        <f t="shared" si="3"/>
        <v>120.98080377397729</v>
      </c>
      <c r="O9" s="61">
        <f t="shared" si="16"/>
        <v>162.00446089175094</v>
      </c>
      <c r="P9" s="129">
        <f t="shared" si="4"/>
        <v>175.67583764175842</v>
      </c>
      <c r="Q9" s="129">
        <f t="shared" si="5"/>
        <v>160.55001253033535</v>
      </c>
      <c r="R9" s="129">
        <f t="shared" si="6"/>
        <v>191.83278455549694</v>
      </c>
      <c r="S9" s="61">
        <f t="shared" si="7"/>
        <v>184.19484117435195</v>
      </c>
      <c r="T9" s="61">
        <f t="shared" si="1"/>
        <v>244.30958277018706</v>
      </c>
      <c r="U9" s="61">
        <f t="shared" si="17"/>
        <v>152.77944102230558</v>
      </c>
      <c r="V9" s="61"/>
      <c r="X9" s="63"/>
      <c r="Y9" s="159" t="s">
        <v>45</v>
      </c>
      <c r="Z9" s="159" t="s">
        <v>67</v>
      </c>
      <c r="AA9" s="159" t="s">
        <v>163</v>
      </c>
      <c r="AB9" s="159">
        <f t="shared" si="8"/>
        <v>2</v>
      </c>
      <c r="AC9" s="164">
        <f t="shared" si="18"/>
        <v>162.00446089175094</v>
      </c>
      <c r="AD9" s="164">
        <f t="shared" si="9"/>
        <v>241.56164299381712</v>
      </c>
      <c r="AE9" s="159"/>
      <c r="AF9" s="159">
        <f t="shared" si="10"/>
        <v>15</v>
      </c>
      <c r="AG9" s="160" t="str">
        <f t="shared" si="11"/>
        <v>N/A</v>
      </c>
      <c r="AH9" s="161">
        <f t="shared" si="12"/>
        <v>179.95785932868648</v>
      </c>
      <c r="AI9" s="161">
        <f t="shared" si="13"/>
        <v>146.97585465450484</v>
      </c>
      <c r="AJ9" s="161">
        <f t="shared" si="14"/>
        <v>218.09320415023171</v>
      </c>
      <c r="AK9" s="160">
        <f t="shared" si="15"/>
        <v>5</v>
      </c>
    </row>
    <row r="10" spans="1:37" x14ac:dyDescent="0.2">
      <c r="A10" s="62" t="s">
        <v>33</v>
      </c>
      <c r="B10" s="62" t="s">
        <v>58</v>
      </c>
      <c r="C10" s="62" t="s">
        <v>163</v>
      </c>
      <c r="D10" s="62"/>
      <c r="E10" s="62">
        <f t="shared" si="2"/>
        <v>22</v>
      </c>
      <c r="F10" s="128" t="s">
        <v>79</v>
      </c>
      <c r="G10" s="129">
        <v>191.8624124398826</v>
      </c>
      <c r="H10" s="129">
        <v>163.32398839787496</v>
      </c>
      <c r="I10" s="129">
        <v>223.92265886279162</v>
      </c>
      <c r="J10" s="129"/>
      <c r="K10" s="129"/>
      <c r="L10" s="129"/>
      <c r="M10" s="60">
        <f t="shared" si="0"/>
        <v>5</v>
      </c>
      <c r="N10" s="61">
        <f t="shared" si="3"/>
        <v>120.98080377397729</v>
      </c>
      <c r="O10" s="61">
        <f t="shared" si="16"/>
        <v>162.00446089175094</v>
      </c>
      <c r="P10" s="129">
        <f t="shared" si="4"/>
        <v>175.67583764175842</v>
      </c>
      <c r="Q10" s="129">
        <f t="shared" si="5"/>
        <v>160.55001253033535</v>
      </c>
      <c r="R10" s="129">
        <f t="shared" si="6"/>
        <v>191.83278455549694</v>
      </c>
      <c r="S10" s="61">
        <f t="shared" si="7"/>
        <v>184.19484117435195</v>
      </c>
      <c r="T10" s="61">
        <f t="shared" si="1"/>
        <v>244.30958277018706</v>
      </c>
      <c r="U10" s="61">
        <f t="shared" si="17"/>
        <v>186.77712388547107</v>
      </c>
      <c r="V10" s="61"/>
      <c r="Y10" s="159" t="s">
        <v>46</v>
      </c>
      <c r="Z10" s="159" t="s">
        <v>68</v>
      </c>
      <c r="AA10" s="159" t="s">
        <v>163</v>
      </c>
      <c r="AB10" s="159">
        <f t="shared" si="8"/>
        <v>4</v>
      </c>
      <c r="AC10" s="164">
        <f t="shared" si="18"/>
        <v>162.00446089175094</v>
      </c>
      <c r="AD10" s="164">
        <f t="shared" si="9"/>
        <v>241.56164299381712</v>
      </c>
      <c r="AE10" s="159"/>
      <c r="AF10" s="159">
        <f t="shared" si="10"/>
        <v>18</v>
      </c>
      <c r="AG10" s="160" t="str">
        <f t="shared" si="11"/>
        <v>N/A</v>
      </c>
      <c r="AH10" s="161">
        <f t="shared" si="12"/>
        <v>183.28297854767865</v>
      </c>
      <c r="AI10" s="161">
        <f t="shared" si="13"/>
        <v>154.38255764846386</v>
      </c>
      <c r="AJ10" s="161">
        <f t="shared" si="14"/>
        <v>215.99375148339786</v>
      </c>
      <c r="AK10" s="160">
        <f t="shared" si="15"/>
        <v>5</v>
      </c>
    </row>
    <row r="11" spans="1:37" x14ac:dyDescent="0.2">
      <c r="A11" s="62" t="s">
        <v>34</v>
      </c>
      <c r="B11" s="62" t="s">
        <v>59</v>
      </c>
      <c r="C11" s="62" t="s">
        <v>200</v>
      </c>
      <c r="D11" s="62"/>
      <c r="E11" s="62">
        <f t="shared" si="2"/>
        <v>13</v>
      </c>
      <c r="F11" s="128" t="s">
        <v>79</v>
      </c>
      <c r="G11" s="129">
        <v>176.11471674831861</v>
      </c>
      <c r="H11" s="129">
        <v>148.10648154509573</v>
      </c>
      <c r="I11" s="129">
        <v>207.8294616953599</v>
      </c>
      <c r="J11" s="129"/>
      <c r="K11" s="129"/>
      <c r="L11" s="129"/>
      <c r="M11" s="60">
        <f t="shared" si="0"/>
        <v>5</v>
      </c>
      <c r="N11" s="61">
        <f t="shared" si="3"/>
        <v>120.98080377397729</v>
      </c>
      <c r="O11" s="61">
        <f t="shared" si="16"/>
        <v>162.00446089175094</v>
      </c>
      <c r="P11" s="129">
        <f t="shared" si="4"/>
        <v>175.67583764175842</v>
      </c>
      <c r="Q11" s="129">
        <f t="shared" si="5"/>
        <v>160.55001253033535</v>
      </c>
      <c r="R11" s="129">
        <f t="shared" si="6"/>
        <v>191.83278455549694</v>
      </c>
      <c r="S11" s="61">
        <f t="shared" si="7"/>
        <v>184.19484117435195</v>
      </c>
      <c r="T11" s="61">
        <f t="shared" si="1"/>
        <v>244.30958277018706</v>
      </c>
      <c r="U11" s="61">
        <f t="shared" si="17"/>
        <v>179.92662738920393</v>
      </c>
      <c r="V11" s="61"/>
      <c r="Y11" s="159" t="s">
        <v>47</v>
      </c>
      <c r="Z11" s="159" t="s">
        <v>69</v>
      </c>
      <c r="AA11" s="159" t="s">
        <v>163</v>
      </c>
      <c r="AB11" s="159">
        <f t="shared" si="8"/>
        <v>8</v>
      </c>
      <c r="AC11" s="164">
        <f t="shared" si="18"/>
        <v>162.00446089175094</v>
      </c>
      <c r="AD11" s="164">
        <f t="shared" si="9"/>
        <v>241.56164299381712</v>
      </c>
      <c r="AE11" s="159"/>
      <c r="AF11" s="159">
        <f t="shared" si="10"/>
        <v>25</v>
      </c>
      <c r="AG11" s="160" t="str">
        <f t="shared" si="11"/>
        <v>N/A</v>
      </c>
      <c r="AH11" s="161">
        <f t="shared" si="12"/>
        <v>241.56164299381712</v>
      </c>
      <c r="AI11" s="161">
        <f t="shared" si="13"/>
        <v>163.76435361135802</v>
      </c>
      <c r="AJ11" s="161">
        <f t="shared" si="14"/>
        <v>343.32742204472703</v>
      </c>
      <c r="AK11" s="160">
        <f t="shared" si="15"/>
        <v>5</v>
      </c>
    </row>
    <row r="12" spans="1:37" x14ac:dyDescent="0.2">
      <c r="A12" s="62" t="s">
        <v>35</v>
      </c>
      <c r="B12" s="62" t="s">
        <v>60</v>
      </c>
      <c r="C12" s="62" t="s">
        <v>163</v>
      </c>
      <c r="D12" s="62"/>
      <c r="E12" s="62">
        <f t="shared" si="2"/>
        <v>20</v>
      </c>
      <c r="F12" s="128" t="s">
        <v>79</v>
      </c>
      <c r="G12" s="129">
        <v>184.19484117435195</v>
      </c>
      <c r="H12" s="129">
        <v>153.12942231875954</v>
      </c>
      <c r="I12" s="129">
        <v>219.67877073766343</v>
      </c>
      <c r="J12" s="129"/>
      <c r="K12" s="129"/>
      <c r="L12" s="129"/>
      <c r="M12" s="60">
        <f t="shared" si="0"/>
        <v>5</v>
      </c>
      <c r="N12" s="61">
        <f t="shared" si="3"/>
        <v>120.98080377397729</v>
      </c>
      <c r="O12" s="61">
        <f t="shared" si="16"/>
        <v>162.00446089175094</v>
      </c>
      <c r="P12" s="129">
        <f t="shared" si="4"/>
        <v>175.67583764175842</v>
      </c>
      <c r="Q12" s="129">
        <f t="shared" si="5"/>
        <v>160.55001253033535</v>
      </c>
      <c r="R12" s="129">
        <f t="shared" si="6"/>
        <v>191.83278455549694</v>
      </c>
      <c r="S12" s="61">
        <f t="shared" si="7"/>
        <v>184.19484117435195</v>
      </c>
      <c r="T12" s="61">
        <f t="shared" si="1"/>
        <v>244.30958277018706</v>
      </c>
      <c r="U12" s="61">
        <f t="shared" si="17"/>
        <v>186.77712388547107</v>
      </c>
      <c r="V12" s="61"/>
      <c r="Y12" s="159" t="s">
        <v>50</v>
      </c>
      <c r="Z12" s="159" t="s">
        <v>161</v>
      </c>
      <c r="AA12" s="159" t="s">
        <v>163</v>
      </c>
      <c r="AB12" s="159">
        <f t="shared" si="8"/>
        <v>1</v>
      </c>
      <c r="AC12" s="164">
        <f t="shared" si="18"/>
        <v>162.00446089175094</v>
      </c>
      <c r="AD12" s="164">
        <f t="shared" si="9"/>
        <v>241.56164299381712</v>
      </c>
      <c r="AE12" s="159"/>
      <c r="AF12" s="159">
        <f t="shared" si="10"/>
        <v>7</v>
      </c>
      <c r="AG12" s="160" t="str">
        <f t="shared" si="11"/>
        <v>N/A</v>
      </c>
      <c r="AH12" s="161">
        <f t="shared" si="12"/>
        <v>162.00446089175094</v>
      </c>
      <c r="AI12" s="161">
        <f t="shared" si="13"/>
        <v>124.96894158572904</v>
      </c>
      <c r="AJ12" s="161">
        <f t="shared" si="14"/>
        <v>206.49623921863181</v>
      </c>
      <c r="AK12" s="160">
        <f t="shared" si="15"/>
        <v>5</v>
      </c>
    </row>
    <row r="13" spans="1:37" x14ac:dyDescent="0.2">
      <c r="A13" s="62" t="s">
        <v>36</v>
      </c>
      <c r="B13" s="62" t="s">
        <v>61</v>
      </c>
      <c r="C13" s="62" t="s">
        <v>201</v>
      </c>
      <c r="D13" s="62"/>
      <c r="E13" s="62">
        <f t="shared" si="2"/>
        <v>8</v>
      </c>
      <c r="F13" s="128" t="s">
        <v>79</v>
      </c>
      <c r="G13" s="129">
        <v>164.90355106469224</v>
      </c>
      <c r="H13" s="129">
        <v>129.56550017734176</v>
      </c>
      <c r="I13" s="129">
        <v>206.68704306607643</v>
      </c>
      <c r="J13" s="129"/>
      <c r="K13" s="129"/>
      <c r="L13" s="129"/>
      <c r="M13" s="60">
        <f t="shared" si="0"/>
        <v>5</v>
      </c>
      <c r="N13" s="61">
        <f t="shared" si="3"/>
        <v>120.98080377397729</v>
      </c>
      <c r="O13" s="61">
        <f t="shared" si="16"/>
        <v>162.00446089175094</v>
      </c>
      <c r="P13" s="129">
        <f t="shared" si="4"/>
        <v>175.67583764175842</v>
      </c>
      <c r="Q13" s="129">
        <f t="shared" si="5"/>
        <v>160.55001253033535</v>
      </c>
      <c r="R13" s="129">
        <f t="shared" si="6"/>
        <v>191.83278455549694</v>
      </c>
      <c r="S13" s="61">
        <f t="shared" si="7"/>
        <v>184.19484117435195</v>
      </c>
      <c r="T13" s="61">
        <f t="shared" si="1"/>
        <v>244.30958277018706</v>
      </c>
      <c r="U13" s="61">
        <f t="shared" si="17"/>
        <v>152.77944102230558</v>
      </c>
      <c r="V13" s="61"/>
      <c r="Y13" s="159" t="s">
        <v>53</v>
      </c>
      <c r="Z13" s="159" t="s">
        <v>162</v>
      </c>
      <c r="AA13" s="159" t="s">
        <v>163</v>
      </c>
      <c r="AB13" s="159">
        <f>RANK(AH13,$AH$6:$AH$13,1)</f>
        <v>6</v>
      </c>
      <c r="AC13" s="164">
        <f t="shared" si="18"/>
        <v>162.00446089175094</v>
      </c>
      <c r="AD13" s="164">
        <f t="shared" si="9"/>
        <v>241.56164299381712</v>
      </c>
      <c r="AE13" s="159"/>
      <c r="AF13" s="159">
        <f t="shared" si="10"/>
        <v>21</v>
      </c>
      <c r="AG13" s="160" t="str">
        <f t="shared" si="11"/>
        <v>N/A</v>
      </c>
      <c r="AH13" s="161">
        <f t="shared" si="12"/>
        <v>186.17847609756029</v>
      </c>
      <c r="AI13" s="161">
        <f t="shared" si="13"/>
        <v>162.49975639527642</v>
      </c>
      <c r="AJ13" s="161">
        <f t="shared" si="14"/>
        <v>212.3203257143079</v>
      </c>
      <c r="AK13" s="160">
        <f t="shared" si="15"/>
        <v>5</v>
      </c>
    </row>
    <row r="14" spans="1:37" x14ac:dyDescent="0.2">
      <c r="A14" s="62" t="s">
        <v>37</v>
      </c>
      <c r="B14" s="62" t="s">
        <v>157</v>
      </c>
      <c r="C14" s="62" t="s">
        <v>201</v>
      </c>
      <c r="D14" s="62"/>
      <c r="E14" s="62">
        <f t="shared" si="2"/>
        <v>2</v>
      </c>
      <c r="F14" s="128" t="s">
        <v>79</v>
      </c>
      <c r="G14" s="129">
        <v>129.61365204823039</v>
      </c>
      <c r="H14" s="129">
        <v>86.984698526540924</v>
      </c>
      <c r="I14" s="129">
        <v>185.13835941312732</v>
      </c>
      <c r="J14" s="129"/>
      <c r="K14" s="129"/>
      <c r="L14" s="129"/>
      <c r="M14" s="60">
        <f t="shared" si="0"/>
        <v>5</v>
      </c>
      <c r="N14" s="61">
        <f t="shared" si="3"/>
        <v>120.98080377397729</v>
      </c>
      <c r="O14" s="61">
        <f t="shared" si="16"/>
        <v>162.00446089175094</v>
      </c>
      <c r="P14" s="129">
        <f t="shared" si="4"/>
        <v>175.67583764175842</v>
      </c>
      <c r="Q14" s="129">
        <f t="shared" si="5"/>
        <v>160.55001253033535</v>
      </c>
      <c r="R14" s="129">
        <f t="shared" si="6"/>
        <v>191.83278455549694</v>
      </c>
      <c r="S14" s="61">
        <f t="shared" si="7"/>
        <v>184.19484117435195</v>
      </c>
      <c r="T14" s="61">
        <f t="shared" si="1"/>
        <v>244.30958277018706</v>
      </c>
      <c r="U14" s="61">
        <f t="shared" si="17"/>
        <v>152.77944102230558</v>
      </c>
      <c r="V14" s="61"/>
      <c r="Y14" s="162" t="s">
        <v>29</v>
      </c>
      <c r="Z14" s="162" t="s">
        <v>55</v>
      </c>
      <c r="AA14" s="162" t="s">
        <v>201</v>
      </c>
      <c r="AB14" s="162">
        <f>RANK(AH14,$AH$14:$AH$22,1)</f>
        <v>5</v>
      </c>
      <c r="AC14" s="165">
        <f t="shared" ref="AC14:AC22" si="19">MIN($AH$14:$AH$22)</f>
        <v>129.61365204823039</v>
      </c>
      <c r="AD14" s="165">
        <f>MAX($AH$14:$AH$22)</f>
        <v>182.94424832842614</v>
      </c>
      <c r="AE14" s="162"/>
      <c r="AF14" s="162">
        <f t="shared" si="10"/>
        <v>6</v>
      </c>
      <c r="AG14" s="167" t="str">
        <f t="shared" si="11"/>
        <v>N/A</v>
      </c>
      <c r="AH14" s="165">
        <f t="shared" si="12"/>
        <v>158.92858913493109</v>
      </c>
      <c r="AI14" s="165">
        <f t="shared" si="13"/>
        <v>114.9669393654524</v>
      </c>
      <c r="AJ14" s="165">
        <f t="shared" si="14"/>
        <v>213.98508914834497</v>
      </c>
      <c r="AK14" s="167">
        <f t="shared" si="15"/>
        <v>5</v>
      </c>
    </row>
    <row r="15" spans="1:37" x14ac:dyDescent="0.2">
      <c r="A15" s="62" t="s">
        <v>38</v>
      </c>
      <c r="B15" s="62" t="s">
        <v>62</v>
      </c>
      <c r="C15" s="62" t="s">
        <v>201</v>
      </c>
      <c r="D15" s="62"/>
      <c r="E15" s="62">
        <f t="shared" si="2"/>
        <v>4</v>
      </c>
      <c r="F15" s="128" t="s">
        <v>79</v>
      </c>
      <c r="G15" s="129">
        <v>149.01150257788521</v>
      </c>
      <c r="H15" s="129">
        <v>104.03087424428995</v>
      </c>
      <c r="I15" s="129">
        <v>206.71187405592926</v>
      </c>
      <c r="J15" s="129"/>
      <c r="K15" s="129"/>
      <c r="L15" s="129"/>
      <c r="M15" s="60">
        <f t="shared" si="0"/>
        <v>5</v>
      </c>
      <c r="N15" s="61">
        <f t="shared" si="3"/>
        <v>120.98080377397729</v>
      </c>
      <c r="O15" s="61">
        <f t="shared" si="16"/>
        <v>162.00446089175094</v>
      </c>
      <c r="P15" s="129">
        <f t="shared" si="4"/>
        <v>175.67583764175842</v>
      </c>
      <c r="Q15" s="129">
        <f t="shared" si="5"/>
        <v>160.55001253033535</v>
      </c>
      <c r="R15" s="129">
        <f t="shared" si="6"/>
        <v>191.83278455549694</v>
      </c>
      <c r="S15" s="61">
        <f t="shared" si="7"/>
        <v>184.19484117435195</v>
      </c>
      <c r="T15" s="61">
        <f t="shared" si="1"/>
        <v>244.30958277018706</v>
      </c>
      <c r="U15" s="61">
        <f t="shared" si="17"/>
        <v>152.77944102230558</v>
      </c>
      <c r="V15" s="61"/>
      <c r="Y15" s="162" t="s">
        <v>32</v>
      </c>
      <c r="Z15" s="162" t="s">
        <v>156</v>
      </c>
      <c r="AA15" s="162" t="s">
        <v>201</v>
      </c>
      <c r="AB15" s="162">
        <f>RANK(AH15,$AH$14:$AH$22,1)</f>
        <v>8</v>
      </c>
      <c r="AC15" s="165">
        <f t="shared" si="19"/>
        <v>129.61365204823039</v>
      </c>
      <c r="AD15" s="165">
        <f t="shared" ref="AD15:AD22" si="20">MAX($AH$14:$AH$22)</f>
        <v>182.94424832842614</v>
      </c>
      <c r="AE15" s="162"/>
      <c r="AF15" s="162">
        <f t="shared" si="10"/>
        <v>12</v>
      </c>
      <c r="AG15" s="167" t="str">
        <f t="shared" si="11"/>
        <v>N/A</v>
      </c>
      <c r="AH15" s="165">
        <f t="shared" si="12"/>
        <v>176.09606809549902</v>
      </c>
      <c r="AI15" s="165">
        <f t="shared" si="13"/>
        <v>145.44038018047442</v>
      </c>
      <c r="AJ15" s="165">
        <f t="shared" si="14"/>
        <v>211.22886885754545</v>
      </c>
      <c r="AK15" s="167">
        <f t="shared" si="15"/>
        <v>5</v>
      </c>
    </row>
    <row r="16" spans="1:37" x14ac:dyDescent="0.2">
      <c r="A16" s="62" t="s">
        <v>39</v>
      </c>
      <c r="B16" s="62" t="s">
        <v>158</v>
      </c>
      <c r="C16" s="62" t="s">
        <v>200</v>
      </c>
      <c r="D16" s="62"/>
      <c r="E16" s="62">
        <f t="shared" si="2"/>
        <v>10</v>
      </c>
      <c r="F16" s="128" t="s">
        <v>79</v>
      </c>
      <c r="G16" s="129">
        <v>174.40248295427071</v>
      </c>
      <c r="H16" s="129">
        <v>145.99516529160817</v>
      </c>
      <c r="I16" s="129">
        <v>206.67148908296829</v>
      </c>
      <c r="J16" s="129"/>
      <c r="K16" s="129"/>
      <c r="L16" s="129"/>
      <c r="M16" s="60">
        <f t="shared" si="0"/>
        <v>5</v>
      </c>
      <c r="N16" s="61">
        <f t="shared" si="3"/>
        <v>120.98080377397729</v>
      </c>
      <c r="O16" s="61">
        <f t="shared" si="16"/>
        <v>162.00446089175094</v>
      </c>
      <c r="P16" s="129">
        <f t="shared" si="4"/>
        <v>175.67583764175842</v>
      </c>
      <c r="Q16" s="129">
        <f t="shared" si="5"/>
        <v>160.55001253033535</v>
      </c>
      <c r="R16" s="129">
        <f t="shared" si="6"/>
        <v>191.83278455549694</v>
      </c>
      <c r="S16" s="61">
        <f t="shared" si="7"/>
        <v>184.19484117435195</v>
      </c>
      <c r="T16" s="61">
        <f t="shared" si="1"/>
        <v>244.30958277018706</v>
      </c>
      <c r="U16" s="61">
        <f t="shared" si="17"/>
        <v>179.92662738920393</v>
      </c>
      <c r="V16" s="61"/>
      <c r="Y16" s="162" t="s">
        <v>36</v>
      </c>
      <c r="Z16" s="162" t="s">
        <v>61</v>
      </c>
      <c r="AA16" s="162" t="s">
        <v>201</v>
      </c>
      <c r="AB16" s="162">
        <f>RANK(AH16,$AH$14:$AH$22,1)</f>
        <v>6</v>
      </c>
      <c r="AC16" s="165">
        <f t="shared" si="19"/>
        <v>129.61365204823039</v>
      </c>
      <c r="AD16" s="165">
        <f t="shared" si="20"/>
        <v>182.94424832842614</v>
      </c>
      <c r="AE16" s="162"/>
      <c r="AF16" s="162">
        <f t="shared" si="10"/>
        <v>8</v>
      </c>
      <c r="AG16" s="167" t="str">
        <f t="shared" si="11"/>
        <v>N/A</v>
      </c>
      <c r="AH16" s="165">
        <f t="shared" si="12"/>
        <v>164.90355106469224</v>
      </c>
      <c r="AI16" s="165">
        <f t="shared" si="13"/>
        <v>129.56550017734176</v>
      </c>
      <c r="AJ16" s="165">
        <f t="shared" si="14"/>
        <v>206.68704306607643</v>
      </c>
      <c r="AK16" s="167">
        <f t="shared" si="15"/>
        <v>5</v>
      </c>
    </row>
    <row r="17" spans="1:37" x14ac:dyDescent="0.2">
      <c r="A17" s="62" t="s">
        <v>40</v>
      </c>
      <c r="B17" s="62" t="s">
        <v>63</v>
      </c>
      <c r="C17" s="62" t="s">
        <v>200</v>
      </c>
      <c r="D17" s="62"/>
      <c r="E17" s="62">
        <f t="shared" si="2"/>
        <v>9</v>
      </c>
      <c r="F17" s="128" t="s">
        <v>79</v>
      </c>
      <c r="G17" s="129">
        <v>168.39484581605032</v>
      </c>
      <c r="H17" s="129">
        <v>127.08709320312181</v>
      </c>
      <c r="I17" s="129">
        <v>218.7220682640218</v>
      </c>
      <c r="J17" s="129"/>
      <c r="K17" s="129"/>
      <c r="L17" s="129"/>
      <c r="M17" s="60">
        <f t="shared" si="0"/>
        <v>5</v>
      </c>
      <c r="N17" s="61">
        <f t="shared" si="3"/>
        <v>120.98080377397729</v>
      </c>
      <c r="O17" s="61">
        <f t="shared" si="16"/>
        <v>162.00446089175094</v>
      </c>
      <c r="P17" s="129">
        <f t="shared" si="4"/>
        <v>175.67583764175842</v>
      </c>
      <c r="Q17" s="129">
        <f t="shared" si="5"/>
        <v>160.55001253033535</v>
      </c>
      <c r="R17" s="129">
        <f t="shared" si="6"/>
        <v>191.83278455549694</v>
      </c>
      <c r="S17" s="61">
        <f t="shared" si="7"/>
        <v>184.19484117435195</v>
      </c>
      <c r="T17" s="61">
        <f t="shared" si="1"/>
        <v>244.30958277018706</v>
      </c>
      <c r="U17" s="61">
        <f t="shared" si="17"/>
        <v>179.92662738920393</v>
      </c>
      <c r="V17" s="61"/>
      <c r="Y17" s="162" t="s">
        <v>37</v>
      </c>
      <c r="Z17" s="162" t="s">
        <v>157</v>
      </c>
      <c r="AA17" s="162" t="s">
        <v>201</v>
      </c>
      <c r="AB17" s="162">
        <f t="shared" ref="AB17:AB22" si="21">RANK(AH17,$AH$14:$AH$22,1)</f>
        <v>1</v>
      </c>
      <c r="AC17" s="165">
        <f t="shared" si="19"/>
        <v>129.61365204823039</v>
      </c>
      <c r="AD17" s="165">
        <f>MAX($AH$14:$AH$22)</f>
        <v>182.94424832842614</v>
      </c>
      <c r="AE17" s="162"/>
      <c r="AF17" s="162">
        <f t="shared" si="10"/>
        <v>2</v>
      </c>
      <c r="AG17" s="167" t="str">
        <f t="shared" si="11"/>
        <v>N/A</v>
      </c>
      <c r="AH17" s="165">
        <f t="shared" si="12"/>
        <v>129.61365204823039</v>
      </c>
      <c r="AI17" s="165">
        <f t="shared" si="13"/>
        <v>86.984698526540924</v>
      </c>
      <c r="AJ17" s="165">
        <f t="shared" si="14"/>
        <v>185.13835941312732</v>
      </c>
      <c r="AK17" s="167">
        <f t="shared" si="15"/>
        <v>5</v>
      </c>
    </row>
    <row r="18" spans="1:37" x14ac:dyDescent="0.2">
      <c r="A18" s="62" t="s">
        <v>41</v>
      </c>
      <c r="B18" s="62" t="s">
        <v>64</v>
      </c>
      <c r="C18" s="62" t="s">
        <v>163</v>
      </c>
      <c r="D18" s="62"/>
      <c r="E18" s="62">
        <f t="shared" si="2"/>
        <v>16</v>
      </c>
      <c r="F18" s="128" t="s">
        <v>79</v>
      </c>
      <c r="G18" s="129">
        <v>181.56621391744557</v>
      </c>
      <c r="H18" s="129">
        <v>152.4568734102738</v>
      </c>
      <c r="I18" s="129">
        <v>214.58670643553128</v>
      </c>
      <c r="J18" s="129"/>
      <c r="K18" s="129"/>
      <c r="L18" s="129"/>
      <c r="M18" s="60">
        <f t="shared" si="0"/>
        <v>5</v>
      </c>
      <c r="N18" s="61">
        <f t="shared" si="3"/>
        <v>120.98080377397729</v>
      </c>
      <c r="O18" s="61">
        <f t="shared" si="16"/>
        <v>162.00446089175094</v>
      </c>
      <c r="P18" s="129">
        <f t="shared" si="4"/>
        <v>175.67583764175842</v>
      </c>
      <c r="Q18" s="129">
        <f t="shared" si="5"/>
        <v>160.55001253033535</v>
      </c>
      <c r="R18" s="129">
        <f t="shared" si="6"/>
        <v>191.83278455549694</v>
      </c>
      <c r="S18" s="61">
        <f t="shared" si="7"/>
        <v>184.19484117435195</v>
      </c>
      <c r="T18" s="61">
        <f t="shared" si="1"/>
        <v>244.30958277018706</v>
      </c>
      <c r="U18" s="61">
        <f t="shared" si="17"/>
        <v>186.77712388547107</v>
      </c>
      <c r="V18" s="61"/>
      <c r="Y18" s="162" t="s">
        <v>38</v>
      </c>
      <c r="Z18" s="162" t="s">
        <v>62</v>
      </c>
      <c r="AA18" s="162" t="s">
        <v>201</v>
      </c>
      <c r="AB18" s="162">
        <f t="shared" si="21"/>
        <v>3</v>
      </c>
      <c r="AC18" s="165">
        <f t="shared" si="19"/>
        <v>129.61365204823039</v>
      </c>
      <c r="AD18" s="165">
        <f t="shared" si="20"/>
        <v>182.94424832842614</v>
      </c>
      <c r="AE18" s="162"/>
      <c r="AF18" s="162">
        <f t="shared" si="10"/>
        <v>4</v>
      </c>
      <c r="AG18" s="167" t="str">
        <f t="shared" si="11"/>
        <v>N/A</v>
      </c>
      <c r="AH18" s="165">
        <f t="shared" si="12"/>
        <v>149.01150257788521</v>
      </c>
      <c r="AI18" s="165">
        <f t="shared" si="13"/>
        <v>104.03087424428995</v>
      </c>
      <c r="AJ18" s="165">
        <f t="shared" si="14"/>
        <v>206.71187405592926</v>
      </c>
      <c r="AK18" s="167">
        <f t="shared" si="15"/>
        <v>5</v>
      </c>
    </row>
    <row r="19" spans="1:37" x14ac:dyDescent="0.2">
      <c r="A19" s="62" t="s">
        <v>42</v>
      </c>
      <c r="B19" s="62" t="s">
        <v>65</v>
      </c>
      <c r="C19" s="62" t="s">
        <v>200</v>
      </c>
      <c r="D19" s="62"/>
      <c r="E19" s="62">
        <f t="shared" si="2"/>
        <v>1</v>
      </c>
      <c r="F19" s="128" t="s">
        <v>79</v>
      </c>
      <c r="G19" s="129">
        <v>120.98080377397729</v>
      </c>
      <c r="H19" s="129">
        <v>69.656248552048908</v>
      </c>
      <c r="I19" s="129">
        <v>194.07139430919932</v>
      </c>
      <c r="J19" s="129"/>
      <c r="K19" s="129"/>
      <c r="L19" s="129"/>
      <c r="M19" s="60">
        <f t="shared" si="0"/>
        <v>5</v>
      </c>
      <c r="N19" s="61">
        <f t="shared" si="3"/>
        <v>120.98080377397729</v>
      </c>
      <c r="O19" s="61">
        <f t="shared" si="16"/>
        <v>162.00446089175094</v>
      </c>
      <c r="P19" s="129">
        <f t="shared" si="4"/>
        <v>175.67583764175842</v>
      </c>
      <c r="Q19" s="129">
        <f t="shared" si="5"/>
        <v>160.55001253033535</v>
      </c>
      <c r="R19" s="129">
        <f t="shared" si="6"/>
        <v>191.83278455549694</v>
      </c>
      <c r="S19" s="61">
        <f t="shared" si="7"/>
        <v>184.19484117435195</v>
      </c>
      <c r="T19" s="61">
        <f t="shared" si="1"/>
        <v>244.30958277018706</v>
      </c>
      <c r="U19" s="61">
        <f t="shared" si="17"/>
        <v>179.92662738920393</v>
      </c>
      <c r="V19" s="61"/>
      <c r="Y19" s="162" t="s">
        <v>43</v>
      </c>
      <c r="Z19" s="162" t="s">
        <v>159</v>
      </c>
      <c r="AA19" s="162" t="s">
        <v>201</v>
      </c>
      <c r="AB19" s="162">
        <f t="shared" si="21"/>
        <v>4</v>
      </c>
      <c r="AC19" s="165">
        <f t="shared" si="19"/>
        <v>129.61365204823039</v>
      </c>
      <c r="AD19" s="165">
        <f t="shared" si="20"/>
        <v>182.94424832842614</v>
      </c>
      <c r="AE19" s="162"/>
      <c r="AF19" s="162">
        <f t="shared" si="10"/>
        <v>5</v>
      </c>
      <c r="AG19" s="167" t="str">
        <f t="shared" si="11"/>
        <v>N/A</v>
      </c>
      <c r="AH19" s="165">
        <f t="shared" si="12"/>
        <v>150.38996851385514</v>
      </c>
      <c r="AI19" s="165">
        <f t="shared" si="13"/>
        <v>110.12719551526224</v>
      </c>
      <c r="AJ19" s="165">
        <f t="shared" si="14"/>
        <v>200.2178763589317</v>
      </c>
      <c r="AK19" s="167">
        <f t="shared" si="15"/>
        <v>5</v>
      </c>
    </row>
    <row r="20" spans="1:37" x14ac:dyDescent="0.2">
      <c r="A20" s="62" t="s">
        <v>43</v>
      </c>
      <c r="B20" s="62" t="s">
        <v>159</v>
      </c>
      <c r="C20" s="62" t="s">
        <v>201</v>
      </c>
      <c r="D20" s="62"/>
      <c r="E20" s="62">
        <f t="shared" si="2"/>
        <v>5</v>
      </c>
      <c r="F20" s="128" t="s">
        <v>79</v>
      </c>
      <c r="G20" s="129">
        <v>150.38996851385514</v>
      </c>
      <c r="H20" s="129">
        <v>110.12719551526224</v>
      </c>
      <c r="I20" s="129">
        <v>200.2178763589317</v>
      </c>
      <c r="J20" s="129"/>
      <c r="K20" s="129"/>
      <c r="L20" s="129"/>
      <c r="M20" s="60">
        <f t="shared" si="0"/>
        <v>5</v>
      </c>
      <c r="N20" s="61">
        <f t="shared" si="3"/>
        <v>120.98080377397729</v>
      </c>
      <c r="O20" s="61">
        <f t="shared" si="16"/>
        <v>162.00446089175094</v>
      </c>
      <c r="P20" s="129">
        <f t="shared" si="4"/>
        <v>175.67583764175842</v>
      </c>
      <c r="Q20" s="129">
        <f t="shared" si="5"/>
        <v>160.55001253033535</v>
      </c>
      <c r="R20" s="129">
        <f t="shared" si="6"/>
        <v>191.83278455549694</v>
      </c>
      <c r="S20" s="61">
        <f t="shared" si="7"/>
        <v>184.19484117435195</v>
      </c>
      <c r="T20" s="61">
        <f t="shared" si="1"/>
        <v>244.30958277018706</v>
      </c>
      <c r="U20" s="61">
        <f t="shared" si="17"/>
        <v>152.77944102230558</v>
      </c>
      <c r="V20" s="61"/>
      <c r="Y20" s="162" t="s">
        <v>48</v>
      </c>
      <c r="Z20" s="162" t="s">
        <v>160</v>
      </c>
      <c r="AA20" s="162" t="s">
        <v>201</v>
      </c>
      <c r="AB20" s="162">
        <f t="shared" si="21"/>
        <v>2</v>
      </c>
      <c r="AC20" s="165">
        <f t="shared" si="19"/>
        <v>129.61365204823039</v>
      </c>
      <c r="AD20" s="165">
        <f t="shared" si="20"/>
        <v>182.94424832842614</v>
      </c>
      <c r="AE20" s="162"/>
      <c r="AF20" s="162">
        <f t="shared" si="10"/>
        <v>3</v>
      </c>
      <c r="AG20" s="167" t="str">
        <f t="shared" si="11"/>
        <v>N/A</v>
      </c>
      <c r="AH20" s="165">
        <f t="shared" si="12"/>
        <v>147.34568283578196</v>
      </c>
      <c r="AI20" s="165">
        <f t="shared" si="13"/>
        <v>102.29467088759613</v>
      </c>
      <c r="AJ20" s="165">
        <f t="shared" si="14"/>
        <v>205.13634119638627</v>
      </c>
      <c r="AK20" s="167">
        <f t="shared" si="15"/>
        <v>5</v>
      </c>
    </row>
    <row r="21" spans="1:37" x14ac:dyDescent="0.2">
      <c r="A21" s="62" t="s">
        <v>44</v>
      </c>
      <c r="B21" s="62" t="s">
        <v>66</v>
      </c>
      <c r="C21" s="62" t="s">
        <v>200</v>
      </c>
      <c r="D21" s="62"/>
      <c r="E21" s="62">
        <f t="shared" si="2"/>
        <v>26</v>
      </c>
      <c r="F21" s="128" t="s">
        <v>79</v>
      </c>
      <c r="G21" s="129">
        <v>244.30958277018706</v>
      </c>
      <c r="H21" s="129">
        <v>184.73076451527163</v>
      </c>
      <c r="I21" s="129">
        <v>316.65064104562867</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5</v>
      </c>
      <c r="N21" s="61">
        <f t="shared" si="3"/>
        <v>120.98080377397729</v>
      </c>
      <c r="O21" s="61">
        <f t="shared" si="16"/>
        <v>162.00446089175094</v>
      </c>
      <c r="P21" s="129">
        <f t="shared" si="4"/>
        <v>175.67583764175842</v>
      </c>
      <c r="Q21" s="129">
        <f t="shared" si="5"/>
        <v>160.55001253033535</v>
      </c>
      <c r="R21" s="129">
        <f t="shared" si="6"/>
        <v>191.83278455549694</v>
      </c>
      <c r="S21" s="61">
        <f t="shared" si="7"/>
        <v>184.19484117435195</v>
      </c>
      <c r="T21" s="61">
        <f t="shared" si="1"/>
        <v>244.30958277018706</v>
      </c>
      <c r="U21" s="61">
        <f t="shared" si="17"/>
        <v>179.92662738920393</v>
      </c>
      <c r="V21" s="61"/>
      <c r="Y21" s="162" t="s">
        <v>52</v>
      </c>
      <c r="Z21" s="162" t="s">
        <v>72</v>
      </c>
      <c r="AA21" s="162" t="s">
        <v>201</v>
      </c>
      <c r="AB21" s="162">
        <f t="shared" si="21"/>
        <v>9</v>
      </c>
      <c r="AC21" s="165">
        <f t="shared" si="19"/>
        <v>129.61365204823039</v>
      </c>
      <c r="AD21" s="165">
        <f t="shared" si="20"/>
        <v>182.94424832842614</v>
      </c>
      <c r="AE21" s="162"/>
      <c r="AF21" s="162">
        <f t="shared" si="10"/>
        <v>17</v>
      </c>
      <c r="AG21" s="167" t="str">
        <f t="shared" si="11"/>
        <v>N/A</v>
      </c>
      <c r="AH21" s="165">
        <f t="shared" si="12"/>
        <v>182.94424832842614</v>
      </c>
      <c r="AI21" s="165">
        <f t="shared" si="13"/>
        <v>108.53318496588356</v>
      </c>
      <c r="AJ21" s="165">
        <f t="shared" si="14"/>
        <v>286.13815565534645</v>
      </c>
      <c r="AK21" s="167">
        <f t="shared" si="15"/>
        <v>5</v>
      </c>
    </row>
    <row r="22" spans="1:37" x14ac:dyDescent="0.2">
      <c r="A22" s="62" t="s">
        <v>45</v>
      </c>
      <c r="B22" s="62" t="s">
        <v>67</v>
      </c>
      <c r="C22" s="62" t="s">
        <v>163</v>
      </c>
      <c r="D22" s="62"/>
      <c r="E22" s="62">
        <f t="shared" si="2"/>
        <v>15</v>
      </c>
      <c r="F22" s="128" t="s">
        <v>79</v>
      </c>
      <c r="G22" s="129">
        <v>179.95785932868648</v>
      </c>
      <c r="H22" s="129">
        <v>146.97585465450484</v>
      </c>
      <c r="I22" s="129">
        <v>218.09320415023171</v>
      </c>
      <c r="J22" s="129"/>
      <c r="K22" s="129"/>
      <c r="L22" s="129"/>
      <c r="M22" s="60">
        <f t="shared" si="0"/>
        <v>5</v>
      </c>
      <c r="N22" s="61">
        <f t="shared" si="3"/>
        <v>120.98080377397729</v>
      </c>
      <c r="O22" s="61">
        <f t="shared" si="16"/>
        <v>162.00446089175094</v>
      </c>
      <c r="P22" s="129">
        <f t="shared" si="4"/>
        <v>175.67583764175842</v>
      </c>
      <c r="Q22" s="129">
        <f t="shared" si="5"/>
        <v>160.55001253033535</v>
      </c>
      <c r="R22" s="129">
        <f t="shared" si="6"/>
        <v>191.83278455549694</v>
      </c>
      <c r="S22" s="61">
        <f t="shared" si="7"/>
        <v>184.19484117435195</v>
      </c>
      <c r="T22" s="61">
        <f t="shared" si="1"/>
        <v>244.30958277018706</v>
      </c>
      <c r="U22" s="61">
        <f>VLOOKUP(C22,$C$43:$I$46,5,FALSE)</f>
        <v>186.77712388547107</v>
      </c>
      <c r="V22" s="61"/>
      <c r="Y22" s="162" t="s">
        <v>54</v>
      </c>
      <c r="Z22" s="162" t="s">
        <v>73</v>
      </c>
      <c r="AA22" s="162" t="s">
        <v>201</v>
      </c>
      <c r="AB22" s="162">
        <f t="shared" si="21"/>
        <v>7</v>
      </c>
      <c r="AC22" s="165">
        <f t="shared" si="19"/>
        <v>129.61365204823039</v>
      </c>
      <c r="AD22" s="165">
        <f t="shared" si="20"/>
        <v>182.94424832842614</v>
      </c>
      <c r="AE22" s="162"/>
      <c r="AF22" s="162">
        <f t="shared" si="10"/>
        <v>11</v>
      </c>
      <c r="AG22" s="167" t="str">
        <f t="shared" si="11"/>
        <v>N/A</v>
      </c>
      <c r="AH22" s="165">
        <f t="shared" si="12"/>
        <v>174.82867829746769</v>
      </c>
      <c r="AI22" s="165">
        <f t="shared" si="13"/>
        <v>129.46874715683501</v>
      </c>
      <c r="AJ22" s="165">
        <f t="shared" si="14"/>
        <v>230.50225508594252</v>
      </c>
      <c r="AK22" s="167">
        <f t="shared" si="15"/>
        <v>5</v>
      </c>
    </row>
    <row r="23" spans="1:37" x14ac:dyDescent="0.2">
      <c r="A23" s="62" t="s">
        <v>46</v>
      </c>
      <c r="B23" s="62" t="s">
        <v>68</v>
      </c>
      <c r="C23" s="62" t="s">
        <v>163</v>
      </c>
      <c r="D23" s="62"/>
      <c r="E23" s="62">
        <f t="shared" si="2"/>
        <v>18</v>
      </c>
      <c r="F23" s="128" t="s">
        <v>79</v>
      </c>
      <c r="G23" s="129">
        <v>183.28297854767865</v>
      </c>
      <c r="H23" s="129">
        <v>154.38255764846386</v>
      </c>
      <c r="I23" s="129">
        <v>215.99375148339786</v>
      </c>
      <c r="J23" s="129"/>
      <c r="K23" s="129"/>
      <c r="L23" s="129"/>
      <c r="M23" s="60">
        <f t="shared" si="0"/>
        <v>5</v>
      </c>
      <c r="N23" s="61">
        <f t="shared" si="3"/>
        <v>120.98080377397729</v>
      </c>
      <c r="O23" s="61">
        <f t="shared" si="16"/>
        <v>162.00446089175094</v>
      </c>
      <c r="P23" s="129">
        <f t="shared" si="4"/>
        <v>175.67583764175842</v>
      </c>
      <c r="Q23" s="129">
        <f t="shared" si="5"/>
        <v>160.55001253033535</v>
      </c>
      <c r="R23" s="129">
        <f t="shared" si="6"/>
        <v>191.83278455549694</v>
      </c>
      <c r="S23" s="61">
        <f t="shared" si="7"/>
        <v>184.19484117435195</v>
      </c>
      <c r="T23" s="61">
        <f t="shared" si="1"/>
        <v>244.30958277018706</v>
      </c>
      <c r="U23" s="61">
        <f t="shared" si="17"/>
        <v>186.77712388547107</v>
      </c>
      <c r="V23" s="61"/>
      <c r="Y23" s="163" t="s">
        <v>30</v>
      </c>
      <c r="Z23" s="163" t="s">
        <v>56</v>
      </c>
      <c r="AA23" s="163" t="s">
        <v>200</v>
      </c>
      <c r="AB23" s="163">
        <f>RANK(AH23,$AH$23:$AH$31,1)</f>
        <v>8</v>
      </c>
      <c r="AC23" s="166">
        <f>MIN($AH$23:$AH$31)</f>
        <v>120.98080377397729</v>
      </c>
      <c r="AD23" s="166">
        <f>MAX($AH$23:$AH$31)</f>
        <v>244.30958277018706</v>
      </c>
      <c r="AE23" s="163"/>
      <c r="AF23" s="163">
        <f t="shared" si="10"/>
        <v>24</v>
      </c>
      <c r="AG23" s="168" t="str">
        <f t="shared" si="11"/>
        <v>N/A</v>
      </c>
      <c r="AH23" s="166">
        <f t="shared" si="12"/>
        <v>193.80255332413364</v>
      </c>
      <c r="AI23" s="166">
        <f t="shared" si="13"/>
        <v>150.09533304011876</v>
      </c>
      <c r="AJ23" s="166">
        <f t="shared" si="14"/>
        <v>246.16561206781483</v>
      </c>
      <c r="AK23" s="168">
        <f t="shared" si="15"/>
        <v>5</v>
      </c>
    </row>
    <row r="24" spans="1:37" x14ac:dyDescent="0.2">
      <c r="A24" s="62" t="s">
        <v>47</v>
      </c>
      <c r="B24" s="62" t="s">
        <v>69</v>
      </c>
      <c r="C24" s="62" t="s">
        <v>163</v>
      </c>
      <c r="D24" s="62"/>
      <c r="E24" s="62">
        <f t="shared" si="2"/>
        <v>25</v>
      </c>
      <c r="F24" s="128" t="s">
        <v>79</v>
      </c>
      <c r="G24" s="129">
        <v>241.56164299381712</v>
      </c>
      <c r="H24" s="129">
        <v>163.76435361135802</v>
      </c>
      <c r="I24" s="129">
        <v>343.32742204472703</v>
      </c>
      <c r="J24" s="129"/>
      <c r="K24" s="129"/>
      <c r="L24" s="129"/>
      <c r="M24" s="60">
        <f t="shared" si="0"/>
        <v>5</v>
      </c>
      <c r="N24" s="61">
        <f t="shared" si="3"/>
        <v>120.98080377397729</v>
      </c>
      <c r="O24" s="61">
        <f t="shared" si="16"/>
        <v>162.00446089175094</v>
      </c>
      <c r="P24" s="129">
        <f t="shared" si="4"/>
        <v>175.67583764175842</v>
      </c>
      <c r="Q24" s="129">
        <f t="shared" si="5"/>
        <v>160.55001253033535</v>
      </c>
      <c r="R24" s="129">
        <f t="shared" si="6"/>
        <v>191.83278455549694</v>
      </c>
      <c r="S24" s="61">
        <f t="shared" si="7"/>
        <v>184.19484117435195</v>
      </c>
      <c r="T24" s="61">
        <f t="shared" si="1"/>
        <v>244.30958277018706</v>
      </c>
      <c r="U24" s="61">
        <f t="shared" si="17"/>
        <v>186.77712388547107</v>
      </c>
      <c r="V24" s="61"/>
      <c r="Y24" s="163" t="s">
        <v>31</v>
      </c>
      <c r="Z24" s="163" t="s">
        <v>57</v>
      </c>
      <c r="AA24" s="163" t="s">
        <v>200</v>
      </c>
      <c r="AB24" s="163">
        <f t="shared" ref="AB24:AB31" si="22">RANK(AH24,$AH$23:$AH$31,1)</f>
        <v>6</v>
      </c>
      <c r="AC24" s="166">
        <f t="shared" ref="AC24:AC31" si="23">MIN($AH$23:$AH$31)</f>
        <v>120.98080377397729</v>
      </c>
      <c r="AD24" s="166">
        <f t="shared" ref="AD24:AD31" si="24">MAX($AH$23:$AH$31)</f>
        <v>244.30958277018706</v>
      </c>
      <c r="AE24" s="163"/>
      <c r="AF24" s="163">
        <f t="shared" si="10"/>
        <v>19</v>
      </c>
      <c r="AG24" s="168" t="str">
        <f t="shared" si="11"/>
        <v>N/A</v>
      </c>
      <c r="AH24" s="166">
        <f t="shared" si="12"/>
        <v>183.43558605350279</v>
      </c>
      <c r="AI24" s="166">
        <f t="shared" si="13"/>
        <v>156.62867912095481</v>
      </c>
      <c r="AJ24" s="166">
        <f t="shared" si="14"/>
        <v>213.47742008268315</v>
      </c>
      <c r="AK24" s="168">
        <f t="shared" si="15"/>
        <v>5</v>
      </c>
    </row>
    <row r="25" spans="1:37" x14ac:dyDescent="0.2">
      <c r="A25" s="62" t="s">
        <v>48</v>
      </c>
      <c r="B25" s="62" t="s">
        <v>160</v>
      </c>
      <c r="C25" s="62" t="s">
        <v>201</v>
      </c>
      <c r="D25" s="62"/>
      <c r="E25" s="62">
        <f t="shared" si="2"/>
        <v>3</v>
      </c>
      <c r="F25" s="128" t="s">
        <v>79</v>
      </c>
      <c r="G25" s="129">
        <v>147.34568283578196</v>
      </c>
      <c r="H25" s="129">
        <v>102.29467088759613</v>
      </c>
      <c r="I25" s="129">
        <v>205.13634119638627</v>
      </c>
      <c r="J25" s="129"/>
      <c r="K25" s="129"/>
      <c r="L25" s="129"/>
      <c r="M25" s="60">
        <f t="shared" si="0"/>
        <v>5</v>
      </c>
      <c r="N25" s="61">
        <f t="shared" si="3"/>
        <v>120.98080377397729</v>
      </c>
      <c r="O25" s="61">
        <f t="shared" si="16"/>
        <v>162.00446089175094</v>
      </c>
      <c r="P25" s="129">
        <f t="shared" si="4"/>
        <v>175.67583764175842</v>
      </c>
      <c r="Q25" s="129">
        <f t="shared" si="5"/>
        <v>160.55001253033535</v>
      </c>
      <c r="R25" s="129">
        <f t="shared" si="6"/>
        <v>191.83278455549694</v>
      </c>
      <c r="S25" s="61">
        <f t="shared" si="7"/>
        <v>184.19484117435195</v>
      </c>
      <c r="T25" s="61">
        <f t="shared" si="1"/>
        <v>244.30958277018706</v>
      </c>
      <c r="U25" s="61">
        <f t="shared" si="17"/>
        <v>152.77944102230558</v>
      </c>
      <c r="V25" s="61"/>
      <c r="Y25" s="163" t="s">
        <v>34</v>
      </c>
      <c r="Z25" s="163" t="s">
        <v>59</v>
      </c>
      <c r="AA25" s="163" t="s">
        <v>200</v>
      </c>
      <c r="AB25" s="163">
        <f t="shared" si="22"/>
        <v>4</v>
      </c>
      <c r="AC25" s="166">
        <f t="shared" si="23"/>
        <v>120.98080377397729</v>
      </c>
      <c r="AD25" s="166">
        <f t="shared" si="24"/>
        <v>244.30958277018706</v>
      </c>
      <c r="AE25" s="163"/>
      <c r="AF25" s="163">
        <f t="shared" si="10"/>
        <v>13</v>
      </c>
      <c r="AG25" s="168" t="str">
        <f t="shared" si="11"/>
        <v>N/A</v>
      </c>
      <c r="AH25" s="166">
        <f t="shared" si="12"/>
        <v>176.11471674831861</v>
      </c>
      <c r="AI25" s="166">
        <f t="shared" si="13"/>
        <v>148.10648154509573</v>
      </c>
      <c r="AJ25" s="166">
        <f t="shared" si="14"/>
        <v>207.8294616953599</v>
      </c>
      <c r="AK25" s="168">
        <f t="shared" si="15"/>
        <v>5</v>
      </c>
    </row>
    <row r="26" spans="1:37" x14ac:dyDescent="0.2">
      <c r="A26" s="62" t="s">
        <v>49</v>
      </c>
      <c r="B26" s="62" t="s">
        <v>70</v>
      </c>
      <c r="C26" s="62" t="s">
        <v>200</v>
      </c>
      <c r="D26" s="62"/>
      <c r="E26" s="62">
        <f t="shared" si="2"/>
        <v>23</v>
      </c>
      <c r="F26" s="128" t="s">
        <v>79</v>
      </c>
      <c r="G26" s="129">
        <v>192.62220760741022</v>
      </c>
      <c r="H26" s="129">
        <v>153.09252448319498</v>
      </c>
      <c r="I26" s="129">
        <v>239.03521669766766</v>
      </c>
      <c r="J26" s="129"/>
      <c r="K26" s="129"/>
      <c r="L26" s="129"/>
      <c r="M26" s="60">
        <f t="shared" si="0"/>
        <v>5</v>
      </c>
      <c r="N26" s="61">
        <f t="shared" si="3"/>
        <v>120.98080377397729</v>
      </c>
      <c r="O26" s="61">
        <f t="shared" si="16"/>
        <v>162.00446089175094</v>
      </c>
      <c r="P26" s="129">
        <f t="shared" si="4"/>
        <v>175.67583764175842</v>
      </c>
      <c r="Q26" s="129">
        <f t="shared" si="5"/>
        <v>160.55001253033535</v>
      </c>
      <c r="R26" s="129">
        <f t="shared" si="6"/>
        <v>191.83278455549694</v>
      </c>
      <c r="S26" s="61">
        <f t="shared" si="7"/>
        <v>184.19484117435195</v>
      </c>
      <c r="T26" s="61">
        <f t="shared" si="1"/>
        <v>244.30958277018706</v>
      </c>
      <c r="U26" s="61">
        <f t="shared" si="17"/>
        <v>179.92662738920393</v>
      </c>
      <c r="V26" s="61"/>
      <c r="Y26" s="163" t="s">
        <v>39</v>
      </c>
      <c r="Z26" s="163" t="s">
        <v>158</v>
      </c>
      <c r="AA26" s="163" t="s">
        <v>200</v>
      </c>
      <c r="AB26" s="163">
        <f t="shared" si="22"/>
        <v>3</v>
      </c>
      <c r="AC26" s="166">
        <f t="shared" si="23"/>
        <v>120.98080377397729</v>
      </c>
      <c r="AD26" s="166">
        <f t="shared" si="24"/>
        <v>244.30958277018706</v>
      </c>
      <c r="AE26" s="163"/>
      <c r="AF26" s="163">
        <f t="shared" si="10"/>
        <v>10</v>
      </c>
      <c r="AG26" s="168" t="str">
        <f t="shared" si="11"/>
        <v>N/A</v>
      </c>
      <c r="AH26" s="166">
        <f t="shared" si="12"/>
        <v>174.40248295427071</v>
      </c>
      <c r="AI26" s="166">
        <f t="shared" si="13"/>
        <v>145.99516529160817</v>
      </c>
      <c r="AJ26" s="166">
        <f t="shared" si="14"/>
        <v>206.67148908296829</v>
      </c>
      <c r="AK26" s="168">
        <f t="shared" si="15"/>
        <v>5</v>
      </c>
    </row>
    <row r="27" spans="1:37" x14ac:dyDescent="0.2">
      <c r="A27" s="62" t="s">
        <v>50</v>
      </c>
      <c r="B27" s="62" t="s">
        <v>161</v>
      </c>
      <c r="C27" s="62" t="s">
        <v>163</v>
      </c>
      <c r="D27" s="62"/>
      <c r="E27" s="62">
        <f t="shared" si="2"/>
        <v>7</v>
      </c>
      <c r="F27" s="128" t="s">
        <v>79</v>
      </c>
      <c r="G27" s="129">
        <v>162.00446089175094</v>
      </c>
      <c r="H27" s="129">
        <v>124.96894158572904</v>
      </c>
      <c r="I27" s="129">
        <v>206.49623921863181</v>
      </c>
      <c r="J27" s="129"/>
      <c r="K27" s="129"/>
      <c r="L27" s="129"/>
      <c r="M27" s="60">
        <f t="shared" si="0"/>
        <v>5</v>
      </c>
      <c r="N27" s="61">
        <f t="shared" si="3"/>
        <v>120.98080377397729</v>
      </c>
      <c r="O27" s="61">
        <f t="shared" si="16"/>
        <v>162.00446089175094</v>
      </c>
      <c r="P27" s="129">
        <f t="shared" si="4"/>
        <v>175.67583764175842</v>
      </c>
      <c r="Q27" s="129">
        <f t="shared" si="5"/>
        <v>160.55001253033535</v>
      </c>
      <c r="R27" s="129">
        <f t="shared" si="6"/>
        <v>191.83278455549694</v>
      </c>
      <c r="S27" s="61">
        <f t="shared" si="7"/>
        <v>184.19484117435195</v>
      </c>
      <c r="T27" s="61">
        <f t="shared" si="1"/>
        <v>244.30958277018706</v>
      </c>
      <c r="U27" s="61">
        <f t="shared" si="17"/>
        <v>186.77712388547107</v>
      </c>
      <c r="V27" s="61"/>
      <c r="Y27" s="163" t="s">
        <v>40</v>
      </c>
      <c r="Z27" s="163" t="s">
        <v>63</v>
      </c>
      <c r="AA27" s="163" t="s">
        <v>200</v>
      </c>
      <c r="AB27" s="163">
        <f t="shared" si="22"/>
        <v>2</v>
      </c>
      <c r="AC27" s="166">
        <f t="shared" si="23"/>
        <v>120.98080377397729</v>
      </c>
      <c r="AD27" s="166">
        <f t="shared" si="24"/>
        <v>244.30958277018706</v>
      </c>
      <c r="AE27" s="163"/>
      <c r="AF27" s="163">
        <f t="shared" si="10"/>
        <v>9</v>
      </c>
      <c r="AG27" s="168" t="str">
        <f t="shared" si="11"/>
        <v>N/A</v>
      </c>
      <c r="AH27" s="166">
        <f t="shared" si="12"/>
        <v>168.39484581605032</v>
      </c>
      <c r="AI27" s="166">
        <f t="shared" si="13"/>
        <v>127.08709320312181</v>
      </c>
      <c r="AJ27" s="166">
        <f t="shared" si="14"/>
        <v>218.7220682640218</v>
      </c>
      <c r="AK27" s="168">
        <f t="shared" si="15"/>
        <v>5</v>
      </c>
    </row>
    <row r="28" spans="1:37" x14ac:dyDescent="0.2">
      <c r="A28" s="62" t="s">
        <v>51</v>
      </c>
      <c r="B28" s="62" t="s">
        <v>71</v>
      </c>
      <c r="C28" s="62" t="s">
        <v>200</v>
      </c>
      <c r="D28" s="62"/>
      <c r="E28" s="62">
        <f t="shared" si="2"/>
        <v>14</v>
      </c>
      <c r="F28" s="128" t="s">
        <v>79</v>
      </c>
      <c r="G28" s="129">
        <v>177.08674643152602</v>
      </c>
      <c r="H28" s="129">
        <v>133.00179787225414</v>
      </c>
      <c r="I28" s="129">
        <v>230.99068222245427</v>
      </c>
      <c r="J28" s="129"/>
      <c r="K28" s="129"/>
      <c r="L28" s="129"/>
      <c r="M28" s="60">
        <f t="shared" si="0"/>
        <v>5</v>
      </c>
      <c r="N28" s="61">
        <f t="shared" si="3"/>
        <v>120.98080377397729</v>
      </c>
      <c r="O28" s="61">
        <f t="shared" si="16"/>
        <v>162.00446089175094</v>
      </c>
      <c r="P28" s="129">
        <f t="shared" si="4"/>
        <v>175.67583764175842</v>
      </c>
      <c r="Q28" s="129">
        <f t="shared" si="5"/>
        <v>160.55001253033535</v>
      </c>
      <c r="R28" s="129">
        <f t="shared" si="6"/>
        <v>191.83278455549694</v>
      </c>
      <c r="S28" s="61">
        <f t="shared" si="7"/>
        <v>184.19484117435195</v>
      </c>
      <c r="T28" s="61">
        <f t="shared" si="1"/>
        <v>244.30958277018706</v>
      </c>
      <c r="U28" s="61">
        <f t="shared" si="17"/>
        <v>179.92662738920393</v>
      </c>
      <c r="V28" s="61"/>
      <c r="Y28" s="163" t="s">
        <v>42</v>
      </c>
      <c r="Z28" s="163" t="s">
        <v>65</v>
      </c>
      <c r="AA28" s="163" t="s">
        <v>200</v>
      </c>
      <c r="AB28" s="163">
        <f t="shared" si="22"/>
        <v>1</v>
      </c>
      <c r="AC28" s="166">
        <f t="shared" si="23"/>
        <v>120.98080377397729</v>
      </c>
      <c r="AD28" s="166">
        <f t="shared" si="24"/>
        <v>244.30958277018706</v>
      </c>
      <c r="AE28" s="163"/>
      <c r="AF28" s="163">
        <f t="shared" si="10"/>
        <v>1</v>
      </c>
      <c r="AG28" s="168" t="str">
        <f t="shared" si="11"/>
        <v>N/A</v>
      </c>
      <c r="AH28" s="166">
        <f t="shared" si="12"/>
        <v>120.98080377397729</v>
      </c>
      <c r="AI28" s="166">
        <f t="shared" si="13"/>
        <v>69.656248552048908</v>
      </c>
      <c r="AJ28" s="166">
        <f t="shared" si="14"/>
        <v>194.07139430919932</v>
      </c>
      <c r="AK28" s="168">
        <f t="shared" si="15"/>
        <v>5</v>
      </c>
    </row>
    <row r="29" spans="1:37" x14ac:dyDescent="0.2">
      <c r="A29" s="62" t="s">
        <v>52</v>
      </c>
      <c r="B29" s="62" t="s">
        <v>72</v>
      </c>
      <c r="C29" s="62" t="s">
        <v>201</v>
      </c>
      <c r="D29" s="62"/>
      <c r="E29" s="62">
        <f t="shared" si="2"/>
        <v>17</v>
      </c>
      <c r="F29" s="128" t="s">
        <v>79</v>
      </c>
      <c r="G29" s="129">
        <v>182.94424832842614</v>
      </c>
      <c r="H29" s="129">
        <v>108.53318496588356</v>
      </c>
      <c r="I29" s="129">
        <v>286.13815565534645</v>
      </c>
      <c r="J29" s="129"/>
      <c r="K29" s="129"/>
      <c r="L29" s="129"/>
      <c r="M29" s="60">
        <f t="shared" si="0"/>
        <v>5</v>
      </c>
      <c r="N29" s="61">
        <f t="shared" si="3"/>
        <v>120.98080377397729</v>
      </c>
      <c r="O29" s="61">
        <f t="shared" si="16"/>
        <v>162.00446089175094</v>
      </c>
      <c r="P29" s="129">
        <f t="shared" si="4"/>
        <v>175.67583764175842</v>
      </c>
      <c r="Q29" s="129">
        <f t="shared" si="5"/>
        <v>160.55001253033535</v>
      </c>
      <c r="R29" s="129">
        <f t="shared" si="6"/>
        <v>191.83278455549694</v>
      </c>
      <c r="S29" s="61">
        <f t="shared" si="7"/>
        <v>184.19484117435195</v>
      </c>
      <c r="T29" s="61">
        <f t="shared" si="1"/>
        <v>244.30958277018706</v>
      </c>
      <c r="U29" s="61">
        <f t="shared" si="17"/>
        <v>152.77944102230558</v>
      </c>
      <c r="V29" s="61"/>
      <c r="Y29" s="163" t="s">
        <v>44</v>
      </c>
      <c r="Z29" s="163" t="s">
        <v>66</v>
      </c>
      <c r="AA29" s="163" t="s">
        <v>200</v>
      </c>
      <c r="AB29" s="163">
        <f t="shared" si="22"/>
        <v>9</v>
      </c>
      <c r="AC29" s="166">
        <f t="shared" si="23"/>
        <v>120.98080377397729</v>
      </c>
      <c r="AD29" s="166">
        <f t="shared" si="24"/>
        <v>244.30958277018706</v>
      </c>
      <c r="AE29" s="163"/>
      <c r="AF29" s="163">
        <f t="shared" si="10"/>
        <v>26</v>
      </c>
      <c r="AG29" s="168" t="str">
        <f t="shared" si="11"/>
        <v>N/A</v>
      </c>
      <c r="AH29" s="166">
        <f t="shared" si="12"/>
        <v>244.30958277018706</v>
      </c>
      <c r="AI29" s="166">
        <f t="shared" si="13"/>
        <v>184.73076451527163</v>
      </c>
      <c r="AJ29" s="166">
        <f t="shared" si="14"/>
        <v>316.65064104562867</v>
      </c>
      <c r="AK29" s="168">
        <f t="shared" si="15"/>
        <v>5</v>
      </c>
    </row>
    <row r="30" spans="1:37" x14ac:dyDescent="0.2">
      <c r="A30" s="62" t="s">
        <v>53</v>
      </c>
      <c r="B30" s="62" t="s">
        <v>162</v>
      </c>
      <c r="C30" s="62" t="s">
        <v>163</v>
      </c>
      <c r="D30" s="62"/>
      <c r="E30" s="62">
        <f t="shared" si="2"/>
        <v>21</v>
      </c>
      <c r="F30" s="128" t="s">
        <v>79</v>
      </c>
      <c r="G30" s="129">
        <v>186.17847609756029</v>
      </c>
      <c r="H30" s="129">
        <v>162.49975639527642</v>
      </c>
      <c r="I30" s="129">
        <v>212.3203257143079</v>
      </c>
      <c r="J30" s="129"/>
      <c r="K30" s="129"/>
      <c r="L30" s="129"/>
      <c r="M30" s="60">
        <f t="shared" si="0"/>
        <v>5</v>
      </c>
      <c r="N30" s="61">
        <f t="shared" si="3"/>
        <v>120.98080377397729</v>
      </c>
      <c r="O30" s="61">
        <f t="shared" si="16"/>
        <v>162.00446089175094</v>
      </c>
      <c r="P30" s="129">
        <f>$G$32</f>
        <v>175.67583764175842</v>
      </c>
      <c r="Q30" s="129">
        <f t="shared" si="5"/>
        <v>160.55001253033535</v>
      </c>
      <c r="R30" s="129">
        <f t="shared" si="6"/>
        <v>191.83278455549694</v>
      </c>
      <c r="S30" s="61">
        <f t="shared" si="7"/>
        <v>184.19484117435195</v>
      </c>
      <c r="T30" s="61">
        <f t="shared" si="1"/>
        <v>244.30958277018706</v>
      </c>
      <c r="U30" s="61">
        <f t="shared" si="17"/>
        <v>186.77712388547107</v>
      </c>
      <c r="V30" s="61"/>
      <c r="Y30" s="163" t="s">
        <v>49</v>
      </c>
      <c r="Z30" s="163" t="s">
        <v>70</v>
      </c>
      <c r="AA30" s="163" t="s">
        <v>200</v>
      </c>
      <c r="AB30" s="163">
        <f t="shared" si="22"/>
        <v>7</v>
      </c>
      <c r="AC30" s="166">
        <f t="shared" si="23"/>
        <v>120.98080377397729</v>
      </c>
      <c r="AD30" s="166">
        <f t="shared" si="24"/>
        <v>244.30958277018706</v>
      </c>
      <c r="AE30" s="163"/>
      <c r="AF30" s="163">
        <f t="shared" si="10"/>
        <v>23</v>
      </c>
      <c r="AG30" s="168" t="str">
        <f t="shared" si="11"/>
        <v>N/A</v>
      </c>
      <c r="AH30" s="166">
        <f t="shared" si="12"/>
        <v>192.62220760741022</v>
      </c>
      <c r="AI30" s="166">
        <f t="shared" si="13"/>
        <v>153.09252448319498</v>
      </c>
      <c r="AJ30" s="166">
        <f t="shared" si="14"/>
        <v>239.03521669766766</v>
      </c>
      <c r="AK30" s="168">
        <f t="shared" si="15"/>
        <v>5</v>
      </c>
    </row>
    <row r="31" spans="1:37" x14ac:dyDescent="0.2">
      <c r="A31" s="62" t="s">
        <v>54</v>
      </c>
      <c r="B31" s="62" t="s">
        <v>73</v>
      </c>
      <c r="C31" s="62" t="s">
        <v>201</v>
      </c>
      <c r="D31" s="62"/>
      <c r="E31" s="62">
        <f t="shared" si="2"/>
        <v>11</v>
      </c>
      <c r="F31" s="128" t="s">
        <v>79</v>
      </c>
      <c r="G31" s="129">
        <v>174.82867829746769</v>
      </c>
      <c r="H31" s="129">
        <v>129.46874715683501</v>
      </c>
      <c r="I31" s="129">
        <v>230.50225508594252</v>
      </c>
      <c r="J31" s="129"/>
      <c r="K31" s="129"/>
      <c r="L31" s="129"/>
      <c r="M31" s="60">
        <f t="shared" si="0"/>
        <v>5</v>
      </c>
      <c r="N31" s="61">
        <f t="shared" si="3"/>
        <v>120.98080377397729</v>
      </c>
      <c r="O31" s="61">
        <f t="shared" si="16"/>
        <v>162.00446089175094</v>
      </c>
      <c r="P31" s="129">
        <f t="shared" si="4"/>
        <v>175.67583764175842</v>
      </c>
      <c r="Q31" s="129">
        <f t="shared" si="5"/>
        <v>160.55001253033535</v>
      </c>
      <c r="R31" s="129">
        <f t="shared" si="6"/>
        <v>191.83278455549694</v>
      </c>
      <c r="S31" s="61">
        <f t="shared" si="7"/>
        <v>184.19484117435195</v>
      </c>
      <c r="T31" s="61">
        <f t="shared" si="1"/>
        <v>244.30958277018706</v>
      </c>
      <c r="U31" s="61">
        <f t="shared" si="17"/>
        <v>152.77944102230558</v>
      </c>
      <c r="V31" s="61"/>
      <c r="Y31" s="163" t="s">
        <v>51</v>
      </c>
      <c r="Z31" s="163" t="s">
        <v>71</v>
      </c>
      <c r="AA31" s="163" t="s">
        <v>200</v>
      </c>
      <c r="AB31" s="163">
        <f t="shared" si="22"/>
        <v>5</v>
      </c>
      <c r="AC31" s="166">
        <f t="shared" si="23"/>
        <v>120.98080377397729</v>
      </c>
      <c r="AD31" s="166">
        <f t="shared" si="24"/>
        <v>244.30958277018706</v>
      </c>
      <c r="AE31" s="163"/>
      <c r="AF31" s="163">
        <f t="shared" si="10"/>
        <v>14</v>
      </c>
      <c r="AG31" s="168" t="str">
        <f t="shared" si="11"/>
        <v>N/A</v>
      </c>
      <c r="AH31" s="166">
        <f t="shared" si="12"/>
        <v>177.08674643152602</v>
      </c>
      <c r="AI31" s="166">
        <f t="shared" si="13"/>
        <v>133.00179787225414</v>
      </c>
      <c r="AJ31" s="166">
        <f t="shared" si="14"/>
        <v>230.99068222245427</v>
      </c>
      <c r="AK31" s="168">
        <f t="shared" si="15"/>
        <v>5</v>
      </c>
    </row>
    <row r="32" spans="1:37" x14ac:dyDescent="0.2">
      <c r="A32" s="62"/>
      <c r="B32" s="62" t="s">
        <v>171</v>
      </c>
      <c r="C32" s="62"/>
      <c r="D32" s="62"/>
      <c r="E32" s="62"/>
      <c r="F32" s="128">
        <v>505</v>
      </c>
      <c r="G32" s="129">
        <v>175.67583764175842</v>
      </c>
      <c r="H32" s="129">
        <v>160.55001253033535</v>
      </c>
      <c r="I32" s="129">
        <v>191.83278455549694</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245" t="s">
        <v>274</v>
      </c>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227</v>
      </c>
      <c r="G44" s="129">
        <v>186.77712388547107</v>
      </c>
      <c r="H44" s="129">
        <v>163.11296282960089</v>
      </c>
      <c r="I44" s="129">
        <v>212.89143310256247</v>
      </c>
      <c r="J44" s="129">
        <f>VLOOKUP($C44,$AA$6:$AD$13,3,FALSE)</f>
        <v>162.00446089175094</v>
      </c>
      <c r="K44" s="129">
        <f>VLOOKUP($C44,$AA$6:$AD$13,4,FALSE)</f>
        <v>241.56164299381712</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5</v>
      </c>
      <c r="N44" s="61">
        <f>MIN($G$6:$G$31)</f>
        <v>120.98080377397729</v>
      </c>
      <c r="O44" s="61">
        <f>VLOOKUP(7,$E$5:$G$39,3,FALSE)</f>
        <v>162.00446089175094</v>
      </c>
      <c r="P44" s="129">
        <f>$G$32</f>
        <v>175.67583764175842</v>
      </c>
      <c r="Q44" s="129">
        <f>$H$32</f>
        <v>160.55001253033535</v>
      </c>
      <c r="R44" s="129">
        <f>$I$32</f>
        <v>191.83278455549694</v>
      </c>
      <c r="S44" s="61">
        <f>VLOOKUP(20,$E$5:$G$39,3,FALSE)</f>
        <v>184.19484117435195</v>
      </c>
      <c r="T44" s="61">
        <f>MAX($G$6:$G$31)</f>
        <v>244.30958277018706</v>
      </c>
    </row>
    <row r="45" spans="1:22" x14ac:dyDescent="0.2">
      <c r="C45" s="62" t="s">
        <v>201</v>
      </c>
      <c r="D45" s="62"/>
      <c r="E45" s="62"/>
      <c r="F45" s="128">
        <v>104</v>
      </c>
      <c r="G45" s="129">
        <v>152.77944102230558</v>
      </c>
      <c r="H45" s="129">
        <v>124.36544400611389</v>
      </c>
      <c r="I45" s="129">
        <v>185.65607773547947</v>
      </c>
      <c r="J45" s="129">
        <f>VLOOKUP($C45,$AA$14:$AD$22,3,FALSE)</f>
        <v>129.61365204823039</v>
      </c>
      <c r="K45" s="129">
        <f>VLOOKUP($C45,$AA$14:$AD$22,4,FALSE)</f>
        <v>182.94424832842614</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5</v>
      </c>
      <c r="N45" s="61">
        <f>MIN($G$6:$G$31)</f>
        <v>120.98080377397729</v>
      </c>
      <c r="O45" s="61">
        <f>VLOOKUP(7,$E$5:$G$39,3,FALSE)</f>
        <v>162.00446089175094</v>
      </c>
      <c r="P45" s="129">
        <f>$G$32</f>
        <v>175.67583764175842</v>
      </c>
      <c r="Q45" s="129">
        <f t="shared" ref="Q45:Q46" si="25">$H$32</f>
        <v>160.55001253033535</v>
      </c>
      <c r="R45" s="129">
        <f t="shared" ref="R45:R46" si="26">$I$32</f>
        <v>191.83278455549694</v>
      </c>
      <c r="S45" s="61">
        <f>VLOOKUP(20,$E$5:$G$39,3,FALSE)</f>
        <v>184.19484117435195</v>
      </c>
      <c r="T45" s="61">
        <f t="shared" ref="T45:T46" si="27">MAX($G$6:$G$31)</f>
        <v>244.30958277018706</v>
      </c>
    </row>
    <row r="46" spans="1:22" x14ac:dyDescent="0.2">
      <c r="C46" s="62" t="s">
        <v>200</v>
      </c>
      <c r="D46" s="62"/>
      <c r="E46" s="62"/>
      <c r="F46" s="128">
        <v>174</v>
      </c>
      <c r="G46" s="129">
        <v>179.92662738920393</v>
      </c>
      <c r="H46" s="129">
        <v>153.91579440262217</v>
      </c>
      <c r="I46" s="129">
        <v>209.03774418058276</v>
      </c>
      <c r="J46" s="129">
        <f>VLOOKUP($C46,$AA$23:$AD$31,3,FALSE)</f>
        <v>120.98080377397729</v>
      </c>
      <c r="K46" s="129">
        <f>VLOOKUP($C46,$AA$23:$AD$31,4,FALSE)</f>
        <v>244.30958277018706</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5</v>
      </c>
      <c r="N46" s="61">
        <f>MIN($G$6:$G$31)</f>
        <v>120.98080377397729</v>
      </c>
      <c r="O46" s="61">
        <f>VLOOKUP(7,$E$5:$G$39,3,FALSE)</f>
        <v>162.00446089175094</v>
      </c>
      <c r="P46" s="129">
        <f t="shared" ref="P46" si="28">$G$32</f>
        <v>175.67583764175842</v>
      </c>
      <c r="Q46" s="129">
        <f t="shared" si="25"/>
        <v>160.55001253033535</v>
      </c>
      <c r="R46" s="129">
        <f t="shared" si="26"/>
        <v>191.83278455549694</v>
      </c>
      <c r="S46" s="61">
        <f>VLOOKUP(20,$E$5:$G$39,3,FALSE)</f>
        <v>184.19484117435195</v>
      </c>
      <c r="T46" s="61">
        <f t="shared" si="27"/>
        <v>244.30958277018706</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C2:D2" xr:uid="{00000000-0002-0000-2100-000000000000}">
      <formula1>"Better / Worse,Higher / Lower,Significance not measured"</formula1>
    </dataValidation>
    <dataValidation type="list" allowBlank="1" showInputMessage="1" showErrorMessage="1" sqref="K2:N2" xr:uid="{00000000-0002-0000-2100-000001000000}">
      <formula1>"High = Worst,Low = Worst"</formula1>
    </dataValidation>
  </dataValidations>
  <pageMargins left="0.75" right="0.75" top="1" bottom="1" header="0.5" footer="0.5"/>
  <pageSetup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0">
    <tabColor theme="6" tint="0.39997558519241921"/>
  </sheetPr>
  <dimension ref="A1:AK55"/>
  <sheetViews>
    <sheetView workbookViewId="0">
      <selection activeCell="C36" sqref="C36"/>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8" width="7.33203125" style="21" customWidth="1"/>
    <col min="9" max="9" width="6.886718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5.554687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17</v>
      </c>
      <c r="F6" s="128">
        <v>20</v>
      </c>
      <c r="G6" s="129">
        <v>149.79188448511212</v>
      </c>
      <c r="H6" s="129">
        <v>90.639644875706111</v>
      </c>
      <c r="I6" s="129">
        <v>232.49778769377224</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5</v>
      </c>
      <c r="N6" s="61">
        <f>MIN($G$6:$G$32)</f>
        <v>50.555753076102455</v>
      </c>
      <c r="O6" s="61">
        <f>VLOOKUP(7,$E$5:$G$39,3,FALSE)</f>
        <v>114.56451429213493</v>
      </c>
      <c r="P6" s="129">
        <f>$G$32</f>
        <v>137.75180364641668</v>
      </c>
      <c r="Q6" s="129">
        <f>$H$32</f>
        <v>127.98015548049042</v>
      </c>
      <c r="R6" s="129">
        <f>$I$32</f>
        <v>148.06758064315409</v>
      </c>
      <c r="S6" s="61">
        <f>VLOOKUP(20,$E$5:$G$39,3,FALSE)</f>
        <v>159.96841307151342</v>
      </c>
      <c r="T6" s="61">
        <f t="shared" ref="T6:T31" si="1">MAX($G$6:$G$31)</f>
        <v>278.25636653650866</v>
      </c>
      <c r="U6" s="61">
        <f>VLOOKUP(C6,$C$43:$I$46,5,FALSE)</f>
        <v>128.15320701214512</v>
      </c>
      <c r="V6" s="61"/>
      <c r="Y6" s="159" t="s">
        <v>33</v>
      </c>
      <c r="Z6" s="159" t="s">
        <v>58</v>
      </c>
      <c r="AA6" s="159" t="s">
        <v>163</v>
      </c>
      <c r="AB6" s="159">
        <f>RANK(AH6,$AH$6:$AH$13,1)</f>
        <v>7</v>
      </c>
      <c r="AC6" s="164">
        <f>MIN($AH$6:$AH$13)</f>
        <v>98.558645367258165</v>
      </c>
      <c r="AD6" s="164">
        <f>MAX($AH$6:$AH$13)</f>
        <v>171.0392577418387</v>
      </c>
      <c r="AE6" s="159"/>
      <c r="AF6" s="159">
        <f>VLOOKUP($Y6,$A$6:$I$31,5,FALSE)</f>
        <v>19</v>
      </c>
      <c r="AG6" s="160">
        <f>VLOOKUP($Y6,$A$6:$I$31,6,FALSE)</f>
        <v>40</v>
      </c>
      <c r="AH6" s="161">
        <f>VLOOKUP($Y6,$A$6:$I$31,7,FALSE)</f>
        <v>157.9000406104791</v>
      </c>
      <c r="AI6" s="161">
        <f>VLOOKUP($Y6,$A$6:$I$31,8,FALSE)</f>
        <v>112.24613835516223</v>
      </c>
      <c r="AJ6" s="161">
        <f>VLOOKUP($Y6,$A$6:$I$31,9,FALSE)</f>
        <v>215.71345062906516</v>
      </c>
      <c r="AK6" s="160">
        <f>VLOOKUP($Y6,$A$6:$M$31,13,FALSE)</f>
        <v>5</v>
      </c>
    </row>
    <row r="7" spans="1:37" x14ac:dyDescent="0.2">
      <c r="A7" s="62" t="s">
        <v>30</v>
      </c>
      <c r="B7" s="62" t="s">
        <v>56</v>
      </c>
      <c r="C7" s="62" t="s">
        <v>200</v>
      </c>
      <c r="D7" s="62"/>
      <c r="E7" s="62">
        <f t="shared" ref="E7:E31" si="2">RANK(G7,$G$6:$G$31,1)</f>
        <v>22</v>
      </c>
      <c r="F7" s="128">
        <v>48</v>
      </c>
      <c r="G7" s="129">
        <v>166.64304647036599</v>
      </c>
      <c r="H7" s="129">
        <v>122.3616470928512</v>
      </c>
      <c r="I7" s="129">
        <v>221.5665434970918</v>
      </c>
      <c r="J7" s="129"/>
      <c r="K7" s="129"/>
      <c r="L7" s="129"/>
      <c r="M7" s="60">
        <f t="shared" si="0"/>
        <v>5</v>
      </c>
      <c r="N7" s="61">
        <f t="shared" ref="N7:N31" si="3">MIN($G$6:$G$32)</f>
        <v>50.555753076102455</v>
      </c>
      <c r="O7" s="61">
        <f>VLOOKUP(7,$E$5:$G$39,3,FALSE)</f>
        <v>114.56451429213493</v>
      </c>
      <c r="P7" s="129">
        <f t="shared" ref="P7:P31" si="4">$G$32</f>
        <v>137.75180364641668</v>
      </c>
      <c r="Q7" s="129">
        <f t="shared" ref="Q7:Q31" si="5">$H$32</f>
        <v>127.98015548049042</v>
      </c>
      <c r="R7" s="129">
        <f t="shared" ref="R7:R31" si="6">$I$32</f>
        <v>148.06758064315409</v>
      </c>
      <c r="S7" s="61">
        <f t="shared" ref="S7:S31" si="7">VLOOKUP(20,$E$5:$G$39,3,FALSE)</f>
        <v>159.96841307151342</v>
      </c>
      <c r="T7" s="61">
        <f t="shared" si="1"/>
        <v>278.25636653650866</v>
      </c>
      <c r="U7" s="61">
        <f>VLOOKUP(C7,$C$43:$I$46,5,FALSE)</f>
        <v>144.33880260164509</v>
      </c>
      <c r="V7" s="61"/>
      <c r="Y7" s="159" t="s">
        <v>35</v>
      </c>
      <c r="Z7" s="159" t="s">
        <v>60</v>
      </c>
      <c r="AA7" s="159" t="s">
        <v>163</v>
      </c>
      <c r="AB7" s="159">
        <f t="shared" ref="AB7:AB12" si="8">RANK(AH7,$AH$6:$AH$13,1)</f>
        <v>8</v>
      </c>
      <c r="AC7" s="164">
        <f>MIN($AH$6:$AH$13)</f>
        <v>98.558645367258165</v>
      </c>
      <c r="AD7" s="164">
        <f t="shared" ref="AD7:AD13" si="9">MAX($AH$6:$AH$13)</f>
        <v>171.0392577418387</v>
      </c>
      <c r="AE7" s="159"/>
      <c r="AF7" s="159">
        <f t="shared" ref="AF7:AF31" si="10">VLOOKUP($Y7,$A$6:$I$31,5,FALSE)</f>
        <v>24</v>
      </c>
      <c r="AG7" s="160">
        <f t="shared" ref="AG7:AG31" si="11">VLOOKUP($Y7,$A$6:$I$31,6,FALSE)</f>
        <v>62</v>
      </c>
      <c r="AH7" s="161">
        <f t="shared" ref="AH7:AH31" si="12">VLOOKUP($Y7,$A$6:$I$31,7,FALSE)</f>
        <v>171.0392577418387</v>
      </c>
      <c r="AI7" s="161">
        <f t="shared" ref="AI7:AI31" si="13">VLOOKUP($Y7,$A$6:$I$31,8,FALSE)</f>
        <v>131.04167775748013</v>
      </c>
      <c r="AJ7" s="161">
        <f t="shared" ref="AJ7:AJ31" si="14">VLOOKUP($Y7,$A$6:$I$31,9,FALSE)</f>
        <v>219.37242930889144</v>
      </c>
      <c r="AK7" s="160">
        <f t="shared" ref="AK7:AK31" si="15">VLOOKUP($Y7,$A$6:$M$31,13,FALSE)</f>
        <v>5</v>
      </c>
    </row>
    <row r="8" spans="1:37" x14ac:dyDescent="0.2">
      <c r="A8" s="62" t="s">
        <v>31</v>
      </c>
      <c r="B8" s="62" t="s">
        <v>57</v>
      </c>
      <c r="C8" s="62" t="s">
        <v>200</v>
      </c>
      <c r="D8" s="62"/>
      <c r="E8" s="62">
        <f t="shared" si="2"/>
        <v>20</v>
      </c>
      <c r="F8" s="128">
        <v>52</v>
      </c>
      <c r="G8" s="129">
        <v>159.96841307151342</v>
      </c>
      <c r="H8" s="129">
        <v>119.41111948086623</v>
      </c>
      <c r="I8" s="129">
        <v>209.84590193500722</v>
      </c>
      <c r="J8" s="129"/>
      <c r="K8" s="129"/>
      <c r="L8" s="129"/>
      <c r="M8" s="60">
        <f t="shared" si="0"/>
        <v>5</v>
      </c>
      <c r="N8" s="61">
        <f t="shared" si="3"/>
        <v>50.555753076102455</v>
      </c>
      <c r="O8" s="61">
        <f t="shared" ref="O8:O31" si="16">VLOOKUP(7,$E$5:$G$39,3,FALSE)</f>
        <v>114.56451429213493</v>
      </c>
      <c r="P8" s="129">
        <f t="shared" si="4"/>
        <v>137.75180364641668</v>
      </c>
      <c r="Q8" s="129">
        <f t="shared" si="5"/>
        <v>127.98015548049042</v>
      </c>
      <c r="R8" s="129">
        <f t="shared" si="6"/>
        <v>148.06758064315409</v>
      </c>
      <c r="S8" s="61">
        <f t="shared" si="7"/>
        <v>159.96841307151342</v>
      </c>
      <c r="T8" s="61">
        <f t="shared" si="1"/>
        <v>278.25636653650866</v>
      </c>
      <c r="U8" s="61">
        <f t="shared" ref="U8:U31" si="17">VLOOKUP(C8,$C$43:$I$46,5,FALSE)</f>
        <v>144.33880260164509</v>
      </c>
      <c r="V8" s="61"/>
      <c r="Y8" s="159" t="s">
        <v>41</v>
      </c>
      <c r="Z8" s="159" t="s">
        <v>64</v>
      </c>
      <c r="AA8" s="159" t="s">
        <v>163</v>
      </c>
      <c r="AB8" s="159">
        <f t="shared" si="8"/>
        <v>6</v>
      </c>
      <c r="AC8" s="164">
        <f t="shared" ref="AC8:AC13" si="18">MIN($AH$6:$AH$13)</f>
        <v>98.558645367258165</v>
      </c>
      <c r="AD8" s="164">
        <f>MAX($AH$6:$AH$13)</f>
        <v>171.0392577418387</v>
      </c>
      <c r="AE8" s="159"/>
      <c r="AF8" s="159">
        <f t="shared" si="10"/>
        <v>16</v>
      </c>
      <c r="AG8" s="160">
        <f t="shared" si="11"/>
        <v>47</v>
      </c>
      <c r="AH8" s="161">
        <f t="shared" si="12"/>
        <v>145.02054362886355</v>
      </c>
      <c r="AI8" s="161">
        <f t="shared" si="13"/>
        <v>106.43145022837199</v>
      </c>
      <c r="AJ8" s="161">
        <f t="shared" si="14"/>
        <v>192.9939083484594</v>
      </c>
      <c r="AK8" s="160">
        <f t="shared" si="15"/>
        <v>5</v>
      </c>
    </row>
    <row r="9" spans="1:37" x14ac:dyDescent="0.2">
      <c r="A9" s="62" t="s">
        <v>32</v>
      </c>
      <c r="B9" s="62" t="s">
        <v>156</v>
      </c>
      <c r="C9" s="62" t="s">
        <v>201</v>
      </c>
      <c r="D9" s="62"/>
      <c r="E9" s="62">
        <f t="shared" si="2"/>
        <v>10</v>
      </c>
      <c r="F9" s="128">
        <v>26</v>
      </c>
      <c r="G9" s="129">
        <v>126.86876326051262</v>
      </c>
      <c r="H9" s="129">
        <v>82.024678362801595</v>
      </c>
      <c r="I9" s="129">
        <v>187.01161476962966</v>
      </c>
      <c r="J9" s="129"/>
      <c r="K9" s="129"/>
      <c r="L9" s="129"/>
      <c r="M9" s="60">
        <f t="shared" si="0"/>
        <v>5</v>
      </c>
      <c r="N9" s="61">
        <f t="shared" si="3"/>
        <v>50.555753076102455</v>
      </c>
      <c r="O9" s="61">
        <f t="shared" si="16"/>
        <v>114.56451429213493</v>
      </c>
      <c r="P9" s="129">
        <f t="shared" si="4"/>
        <v>137.75180364641668</v>
      </c>
      <c r="Q9" s="129">
        <f t="shared" si="5"/>
        <v>127.98015548049042</v>
      </c>
      <c r="R9" s="129">
        <f t="shared" si="6"/>
        <v>148.06758064315409</v>
      </c>
      <c r="S9" s="61">
        <f t="shared" si="7"/>
        <v>159.96841307151342</v>
      </c>
      <c r="T9" s="61">
        <f t="shared" si="1"/>
        <v>278.25636653650866</v>
      </c>
      <c r="U9" s="61">
        <f t="shared" si="17"/>
        <v>128.15320701214512</v>
      </c>
      <c r="V9" s="61"/>
      <c r="X9" s="63"/>
      <c r="Y9" s="159" t="s">
        <v>45</v>
      </c>
      <c r="Z9" s="159" t="s">
        <v>67</v>
      </c>
      <c r="AA9" s="159" t="s">
        <v>163</v>
      </c>
      <c r="AB9" s="159">
        <f t="shared" si="8"/>
        <v>5</v>
      </c>
      <c r="AC9" s="164">
        <f t="shared" si="18"/>
        <v>98.558645367258165</v>
      </c>
      <c r="AD9" s="164">
        <f t="shared" si="9"/>
        <v>171.0392577418387</v>
      </c>
      <c r="AE9" s="159"/>
      <c r="AF9" s="159">
        <f t="shared" si="10"/>
        <v>14</v>
      </c>
      <c r="AG9" s="160">
        <f t="shared" si="11"/>
        <v>30</v>
      </c>
      <c r="AH9" s="161">
        <f t="shared" si="12"/>
        <v>137.44225557027232</v>
      </c>
      <c r="AI9" s="161">
        <f t="shared" si="13"/>
        <v>92.430181068078468</v>
      </c>
      <c r="AJ9" s="161">
        <f t="shared" si="14"/>
        <v>196.58678402413483</v>
      </c>
      <c r="AK9" s="160">
        <f t="shared" si="15"/>
        <v>5</v>
      </c>
    </row>
    <row r="10" spans="1:37" x14ac:dyDescent="0.2">
      <c r="A10" s="62" t="s">
        <v>33</v>
      </c>
      <c r="B10" s="62" t="s">
        <v>58</v>
      </c>
      <c r="C10" s="62" t="s">
        <v>163</v>
      </c>
      <c r="D10" s="62"/>
      <c r="E10" s="62">
        <f t="shared" si="2"/>
        <v>19</v>
      </c>
      <c r="F10" s="128">
        <v>40</v>
      </c>
      <c r="G10" s="129">
        <v>157.9000406104791</v>
      </c>
      <c r="H10" s="129">
        <v>112.24613835516223</v>
      </c>
      <c r="I10" s="129">
        <v>215.71345062906516</v>
      </c>
      <c r="J10" s="129"/>
      <c r="K10" s="129"/>
      <c r="L10" s="129"/>
      <c r="M10" s="60">
        <f t="shared" si="0"/>
        <v>5</v>
      </c>
      <c r="N10" s="61">
        <f t="shared" si="3"/>
        <v>50.555753076102455</v>
      </c>
      <c r="O10" s="61">
        <f t="shared" si="16"/>
        <v>114.56451429213493</v>
      </c>
      <c r="P10" s="129">
        <f t="shared" si="4"/>
        <v>137.75180364641668</v>
      </c>
      <c r="Q10" s="129">
        <f t="shared" si="5"/>
        <v>127.98015548049042</v>
      </c>
      <c r="R10" s="129">
        <f t="shared" si="6"/>
        <v>148.06758064315409</v>
      </c>
      <c r="S10" s="61">
        <f t="shared" si="7"/>
        <v>159.96841307151342</v>
      </c>
      <c r="T10" s="61">
        <f t="shared" si="1"/>
        <v>278.25636653650866</v>
      </c>
      <c r="U10" s="61">
        <f t="shared" si="17"/>
        <v>139.56350171296356</v>
      </c>
      <c r="V10" s="61"/>
      <c r="Y10" s="159" t="s">
        <v>46</v>
      </c>
      <c r="Z10" s="159" t="s">
        <v>68</v>
      </c>
      <c r="AA10" s="159" t="s">
        <v>163</v>
      </c>
      <c r="AB10" s="159">
        <f t="shared" si="8"/>
        <v>3</v>
      </c>
      <c r="AC10" s="164">
        <f t="shared" si="18"/>
        <v>98.558645367258165</v>
      </c>
      <c r="AD10" s="164">
        <f t="shared" si="9"/>
        <v>171.0392577418387</v>
      </c>
      <c r="AE10" s="159"/>
      <c r="AF10" s="159">
        <f t="shared" si="10"/>
        <v>9</v>
      </c>
      <c r="AG10" s="160">
        <f t="shared" si="11"/>
        <v>39</v>
      </c>
      <c r="AH10" s="161">
        <f t="shared" si="12"/>
        <v>119.01692410424111</v>
      </c>
      <c r="AI10" s="161">
        <f t="shared" si="13"/>
        <v>84.527764641300223</v>
      </c>
      <c r="AJ10" s="161">
        <f t="shared" si="14"/>
        <v>162.82480937583051</v>
      </c>
      <c r="AK10" s="160">
        <f t="shared" si="15"/>
        <v>5</v>
      </c>
    </row>
    <row r="11" spans="1:37" x14ac:dyDescent="0.2">
      <c r="A11" s="62" t="s">
        <v>34</v>
      </c>
      <c r="B11" s="62" t="s">
        <v>59</v>
      </c>
      <c r="C11" s="62" t="s">
        <v>200</v>
      </c>
      <c r="D11" s="62"/>
      <c r="E11" s="62">
        <f t="shared" si="2"/>
        <v>18</v>
      </c>
      <c r="F11" s="128">
        <v>44</v>
      </c>
      <c r="G11" s="129">
        <v>152.45877046783264</v>
      </c>
      <c r="H11" s="129">
        <v>109.99763355259978</v>
      </c>
      <c r="I11" s="129">
        <v>205.63606470955432</v>
      </c>
      <c r="J11" s="129"/>
      <c r="K11" s="129"/>
      <c r="L11" s="129"/>
      <c r="M11" s="60">
        <f t="shared" si="0"/>
        <v>5</v>
      </c>
      <c r="N11" s="61">
        <f t="shared" si="3"/>
        <v>50.555753076102455</v>
      </c>
      <c r="O11" s="61">
        <f t="shared" si="16"/>
        <v>114.56451429213493</v>
      </c>
      <c r="P11" s="129">
        <f t="shared" si="4"/>
        <v>137.75180364641668</v>
      </c>
      <c r="Q11" s="129">
        <f t="shared" si="5"/>
        <v>127.98015548049042</v>
      </c>
      <c r="R11" s="129">
        <f t="shared" si="6"/>
        <v>148.06758064315409</v>
      </c>
      <c r="S11" s="61">
        <f t="shared" si="7"/>
        <v>159.96841307151342</v>
      </c>
      <c r="T11" s="61">
        <f t="shared" si="1"/>
        <v>278.25636653650866</v>
      </c>
      <c r="U11" s="61">
        <f t="shared" si="17"/>
        <v>144.33880260164509</v>
      </c>
      <c r="V11" s="61"/>
      <c r="Y11" s="159" t="s">
        <v>47</v>
      </c>
      <c r="Z11" s="159" t="s">
        <v>69</v>
      </c>
      <c r="AA11" s="159" t="s">
        <v>163</v>
      </c>
      <c r="AB11" s="159">
        <f t="shared" si="8"/>
        <v>1</v>
      </c>
      <c r="AC11" s="164">
        <f t="shared" si="18"/>
        <v>98.558645367258165</v>
      </c>
      <c r="AD11" s="164">
        <f t="shared" si="9"/>
        <v>171.0392577418387</v>
      </c>
      <c r="AE11" s="159"/>
      <c r="AF11" s="159">
        <f t="shared" si="10"/>
        <v>5</v>
      </c>
      <c r="AG11" s="160">
        <f t="shared" si="11"/>
        <v>14</v>
      </c>
      <c r="AH11" s="161">
        <f t="shared" si="12"/>
        <v>98.558645367258165</v>
      </c>
      <c r="AI11" s="161">
        <f t="shared" si="13"/>
        <v>53.366709365260959</v>
      </c>
      <c r="AJ11" s="161">
        <f t="shared" si="14"/>
        <v>166.07830488040068</v>
      </c>
      <c r="AK11" s="160">
        <f t="shared" si="15"/>
        <v>5</v>
      </c>
    </row>
    <row r="12" spans="1:37" x14ac:dyDescent="0.2">
      <c r="A12" s="62" t="s">
        <v>35</v>
      </c>
      <c r="B12" s="62" t="s">
        <v>60</v>
      </c>
      <c r="C12" s="62" t="s">
        <v>163</v>
      </c>
      <c r="D12" s="62"/>
      <c r="E12" s="62">
        <f t="shared" si="2"/>
        <v>24</v>
      </c>
      <c r="F12" s="128">
        <v>62</v>
      </c>
      <c r="G12" s="129">
        <v>171.0392577418387</v>
      </c>
      <c r="H12" s="129">
        <v>131.04167775748013</v>
      </c>
      <c r="I12" s="129">
        <v>219.37242930889144</v>
      </c>
      <c r="J12" s="129"/>
      <c r="K12" s="129"/>
      <c r="L12" s="129"/>
      <c r="M12" s="60">
        <f t="shared" si="0"/>
        <v>5</v>
      </c>
      <c r="N12" s="61">
        <f t="shared" si="3"/>
        <v>50.555753076102455</v>
      </c>
      <c r="O12" s="61">
        <f t="shared" si="16"/>
        <v>114.56451429213493</v>
      </c>
      <c r="P12" s="129">
        <f t="shared" si="4"/>
        <v>137.75180364641668</v>
      </c>
      <c r="Q12" s="129">
        <f t="shared" si="5"/>
        <v>127.98015548049042</v>
      </c>
      <c r="R12" s="129">
        <f t="shared" si="6"/>
        <v>148.06758064315409</v>
      </c>
      <c r="S12" s="61">
        <f t="shared" si="7"/>
        <v>159.96841307151342</v>
      </c>
      <c r="T12" s="61">
        <f t="shared" si="1"/>
        <v>278.25636653650866</v>
      </c>
      <c r="U12" s="61">
        <f t="shared" si="17"/>
        <v>139.56350171296356</v>
      </c>
      <c r="V12" s="61"/>
      <c r="Y12" s="159" t="s">
        <v>50</v>
      </c>
      <c r="Z12" s="159" t="s">
        <v>161</v>
      </c>
      <c r="AA12" s="159" t="s">
        <v>163</v>
      </c>
      <c r="AB12" s="159">
        <f t="shared" si="8"/>
        <v>2</v>
      </c>
      <c r="AC12" s="164">
        <f t="shared" si="18"/>
        <v>98.558645367258165</v>
      </c>
      <c r="AD12" s="164">
        <f t="shared" si="9"/>
        <v>171.0392577418387</v>
      </c>
      <c r="AE12" s="159"/>
      <c r="AF12" s="159">
        <f t="shared" si="10"/>
        <v>7</v>
      </c>
      <c r="AG12" s="160">
        <f t="shared" si="11"/>
        <v>14</v>
      </c>
      <c r="AH12" s="161">
        <f t="shared" si="12"/>
        <v>114.56451429213493</v>
      </c>
      <c r="AI12" s="161">
        <f t="shared" si="13"/>
        <v>62.436161930443298</v>
      </c>
      <c r="AJ12" s="161">
        <f t="shared" si="14"/>
        <v>192.44762605541473</v>
      </c>
      <c r="AK12" s="160">
        <f t="shared" si="15"/>
        <v>5</v>
      </c>
    </row>
    <row r="13" spans="1:37" x14ac:dyDescent="0.2">
      <c r="A13" s="62" t="s">
        <v>36</v>
      </c>
      <c r="B13" s="62" t="s">
        <v>61</v>
      </c>
      <c r="C13" s="62" t="s">
        <v>201</v>
      </c>
      <c r="D13" s="62"/>
      <c r="E13" s="62">
        <f t="shared" si="2"/>
        <v>2</v>
      </c>
      <c r="F13" s="128" t="s">
        <v>79</v>
      </c>
      <c r="G13" s="129">
        <v>80.576608934983895</v>
      </c>
      <c r="H13" s="129">
        <v>14.242264395254201</v>
      </c>
      <c r="I13" s="129">
        <v>211.10882626058657</v>
      </c>
      <c r="J13" s="129"/>
      <c r="K13" s="129"/>
      <c r="L13" s="129"/>
      <c r="M13" s="60">
        <f t="shared" si="0"/>
        <v>5</v>
      </c>
      <c r="N13" s="61">
        <f t="shared" si="3"/>
        <v>50.555753076102455</v>
      </c>
      <c r="O13" s="61">
        <f t="shared" si="16"/>
        <v>114.56451429213493</v>
      </c>
      <c r="P13" s="129">
        <f t="shared" si="4"/>
        <v>137.75180364641668</v>
      </c>
      <c r="Q13" s="129">
        <f t="shared" si="5"/>
        <v>127.98015548049042</v>
      </c>
      <c r="R13" s="129">
        <f t="shared" si="6"/>
        <v>148.06758064315409</v>
      </c>
      <c r="S13" s="61">
        <f t="shared" si="7"/>
        <v>159.96841307151342</v>
      </c>
      <c r="T13" s="61">
        <f t="shared" si="1"/>
        <v>278.25636653650866</v>
      </c>
      <c r="U13" s="61">
        <f t="shared" si="17"/>
        <v>128.15320701214512</v>
      </c>
      <c r="V13" s="61"/>
      <c r="Y13" s="159" t="s">
        <v>53</v>
      </c>
      <c r="Z13" s="159" t="s">
        <v>162</v>
      </c>
      <c r="AA13" s="159" t="s">
        <v>163</v>
      </c>
      <c r="AB13" s="159">
        <f>RANK(AH13,$AH$6:$AH$13,1)</f>
        <v>4</v>
      </c>
      <c r="AC13" s="164">
        <f t="shared" si="18"/>
        <v>98.558645367258165</v>
      </c>
      <c r="AD13" s="164">
        <f t="shared" si="9"/>
        <v>171.0392577418387</v>
      </c>
      <c r="AE13" s="159"/>
      <c r="AF13" s="159">
        <f t="shared" si="10"/>
        <v>12</v>
      </c>
      <c r="AG13" s="160">
        <f t="shared" si="11"/>
        <v>84</v>
      </c>
      <c r="AH13" s="161">
        <f t="shared" si="12"/>
        <v>133.56292056476352</v>
      </c>
      <c r="AI13" s="161">
        <f t="shared" si="13"/>
        <v>106.33674740548152</v>
      </c>
      <c r="AJ13" s="161">
        <f t="shared" si="14"/>
        <v>165.59123404354122</v>
      </c>
      <c r="AK13" s="160">
        <f t="shared" si="15"/>
        <v>5</v>
      </c>
    </row>
    <row r="14" spans="1:37" x14ac:dyDescent="0.2">
      <c r="A14" s="62" t="s">
        <v>37</v>
      </c>
      <c r="B14" s="62" t="s">
        <v>157</v>
      </c>
      <c r="C14" s="62" t="s">
        <v>201</v>
      </c>
      <c r="D14" s="62"/>
      <c r="E14" s="62">
        <f t="shared" si="2"/>
        <v>8</v>
      </c>
      <c r="F14" s="128">
        <v>24</v>
      </c>
      <c r="G14" s="129">
        <v>114.67641701113811</v>
      </c>
      <c r="H14" s="129">
        <v>71.957603129158912</v>
      </c>
      <c r="I14" s="129">
        <v>172.66762800704325</v>
      </c>
      <c r="J14" s="129"/>
      <c r="K14" s="129"/>
      <c r="L14" s="129"/>
      <c r="M14" s="60">
        <f t="shared" si="0"/>
        <v>5</v>
      </c>
      <c r="N14" s="61">
        <f t="shared" si="3"/>
        <v>50.555753076102455</v>
      </c>
      <c r="O14" s="61">
        <f t="shared" si="16"/>
        <v>114.56451429213493</v>
      </c>
      <c r="P14" s="129">
        <f t="shared" si="4"/>
        <v>137.75180364641668</v>
      </c>
      <c r="Q14" s="129">
        <f t="shared" si="5"/>
        <v>127.98015548049042</v>
      </c>
      <c r="R14" s="129">
        <f t="shared" si="6"/>
        <v>148.06758064315409</v>
      </c>
      <c r="S14" s="61">
        <f t="shared" si="7"/>
        <v>159.96841307151342</v>
      </c>
      <c r="T14" s="61">
        <f t="shared" si="1"/>
        <v>278.25636653650866</v>
      </c>
      <c r="U14" s="61">
        <f t="shared" si="17"/>
        <v>128.15320701214512</v>
      </c>
      <c r="V14" s="61"/>
      <c r="Y14" s="162" t="s">
        <v>29</v>
      </c>
      <c r="Z14" s="162" t="s">
        <v>55</v>
      </c>
      <c r="AA14" s="162" t="s">
        <v>201</v>
      </c>
      <c r="AB14" s="162">
        <f>RANK(AH14,$AH$14:$AH$22,1)</f>
        <v>7</v>
      </c>
      <c r="AC14" s="165">
        <f t="shared" ref="AC14:AC22" si="19">MIN($AH$14:$AH$22)</f>
        <v>80.576608934983895</v>
      </c>
      <c r="AD14" s="165">
        <f>MAX($AH$14:$AH$22)</f>
        <v>278.25636653650866</v>
      </c>
      <c r="AE14" s="162"/>
      <c r="AF14" s="162">
        <f t="shared" si="10"/>
        <v>17</v>
      </c>
      <c r="AG14" s="167">
        <f t="shared" si="11"/>
        <v>20</v>
      </c>
      <c r="AH14" s="165">
        <f t="shared" si="12"/>
        <v>149.79188448511212</v>
      </c>
      <c r="AI14" s="165">
        <f t="shared" si="13"/>
        <v>90.639644875706111</v>
      </c>
      <c r="AJ14" s="165">
        <f t="shared" si="14"/>
        <v>232.49778769377224</v>
      </c>
      <c r="AK14" s="167">
        <f t="shared" si="15"/>
        <v>5</v>
      </c>
    </row>
    <row r="15" spans="1:37" x14ac:dyDescent="0.2">
      <c r="A15" s="62" t="s">
        <v>38</v>
      </c>
      <c r="B15" s="62" t="s">
        <v>62</v>
      </c>
      <c r="C15" s="62" t="s">
        <v>201</v>
      </c>
      <c r="D15" s="62"/>
      <c r="E15" s="62">
        <f t="shared" si="2"/>
        <v>21</v>
      </c>
      <c r="F15" s="128">
        <v>27</v>
      </c>
      <c r="G15" s="129">
        <v>160.41008942678758</v>
      </c>
      <c r="H15" s="129">
        <v>105.51840994159835</v>
      </c>
      <c r="I15" s="129">
        <v>233.62115200797709</v>
      </c>
      <c r="J15" s="129"/>
      <c r="K15" s="129"/>
      <c r="L15" s="129"/>
      <c r="M15" s="60">
        <f t="shared" si="0"/>
        <v>5</v>
      </c>
      <c r="N15" s="61">
        <f t="shared" si="3"/>
        <v>50.555753076102455</v>
      </c>
      <c r="O15" s="61">
        <f t="shared" si="16"/>
        <v>114.56451429213493</v>
      </c>
      <c r="P15" s="129">
        <f t="shared" si="4"/>
        <v>137.75180364641668</v>
      </c>
      <c r="Q15" s="129">
        <f t="shared" si="5"/>
        <v>127.98015548049042</v>
      </c>
      <c r="R15" s="129">
        <f t="shared" si="6"/>
        <v>148.06758064315409</v>
      </c>
      <c r="S15" s="61">
        <f t="shared" si="7"/>
        <v>159.96841307151342</v>
      </c>
      <c r="T15" s="61">
        <f t="shared" si="1"/>
        <v>278.25636653650866</v>
      </c>
      <c r="U15" s="61">
        <f t="shared" si="17"/>
        <v>128.15320701214512</v>
      </c>
      <c r="V15" s="61"/>
      <c r="Y15" s="162" t="s">
        <v>32</v>
      </c>
      <c r="Z15" s="162" t="s">
        <v>156</v>
      </c>
      <c r="AA15" s="162" t="s">
        <v>201</v>
      </c>
      <c r="AB15" s="162">
        <f>RANK(AH15,$AH$14:$AH$22,1)</f>
        <v>5</v>
      </c>
      <c r="AC15" s="165">
        <f t="shared" si="19"/>
        <v>80.576608934983895</v>
      </c>
      <c r="AD15" s="165">
        <f t="shared" ref="AD15:AD22" si="20">MAX($AH$14:$AH$22)</f>
        <v>278.25636653650866</v>
      </c>
      <c r="AE15" s="162"/>
      <c r="AF15" s="162">
        <f t="shared" si="10"/>
        <v>10</v>
      </c>
      <c r="AG15" s="167">
        <f t="shared" si="11"/>
        <v>26</v>
      </c>
      <c r="AH15" s="165">
        <f t="shared" si="12"/>
        <v>126.86876326051262</v>
      </c>
      <c r="AI15" s="165">
        <f t="shared" si="13"/>
        <v>82.024678362801595</v>
      </c>
      <c r="AJ15" s="165">
        <f t="shared" si="14"/>
        <v>187.01161476962966</v>
      </c>
      <c r="AK15" s="167">
        <f t="shared" si="15"/>
        <v>5</v>
      </c>
    </row>
    <row r="16" spans="1:37" x14ac:dyDescent="0.2">
      <c r="A16" s="62" t="s">
        <v>39</v>
      </c>
      <c r="B16" s="62" t="s">
        <v>158</v>
      </c>
      <c r="C16" s="62" t="s">
        <v>200</v>
      </c>
      <c r="D16" s="62"/>
      <c r="E16" s="62">
        <f t="shared" si="2"/>
        <v>15</v>
      </c>
      <c r="F16" s="128">
        <v>37</v>
      </c>
      <c r="G16" s="129">
        <v>141.22080849757484</v>
      </c>
      <c r="H16" s="129">
        <v>98.913861766393268</v>
      </c>
      <c r="I16" s="129">
        <v>195.30606493493531</v>
      </c>
      <c r="J16" s="129"/>
      <c r="K16" s="129"/>
      <c r="L16" s="129"/>
      <c r="M16" s="60">
        <f t="shared" si="0"/>
        <v>5</v>
      </c>
      <c r="N16" s="61">
        <f t="shared" si="3"/>
        <v>50.555753076102455</v>
      </c>
      <c r="O16" s="61">
        <f t="shared" si="16"/>
        <v>114.56451429213493</v>
      </c>
      <c r="P16" s="129">
        <f t="shared" si="4"/>
        <v>137.75180364641668</v>
      </c>
      <c r="Q16" s="129">
        <f t="shared" si="5"/>
        <v>127.98015548049042</v>
      </c>
      <c r="R16" s="129">
        <f t="shared" si="6"/>
        <v>148.06758064315409</v>
      </c>
      <c r="S16" s="61">
        <f t="shared" si="7"/>
        <v>159.96841307151342</v>
      </c>
      <c r="T16" s="61">
        <f t="shared" si="1"/>
        <v>278.25636653650866</v>
      </c>
      <c r="U16" s="61">
        <f t="shared" si="17"/>
        <v>144.33880260164509</v>
      </c>
      <c r="V16" s="61"/>
      <c r="Y16" s="162" t="s">
        <v>36</v>
      </c>
      <c r="Z16" s="162" t="s">
        <v>61</v>
      </c>
      <c r="AA16" s="162" t="s">
        <v>201</v>
      </c>
      <c r="AB16" s="162">
        <f>RANK(AH16,$AH$14:$AH$22,1)</f>
        <v>1</v>
      </c>
      <c r="AC16" s="165">
        <f t="shared" si="19"/>
        <v>80.576608934983895</v>
      </c>
      <c r="AD16" s="165">
        <f t="shared" si="20"/>
        <v>278.25636653650866</v>
      </c>
      <c r="AE16" s="162"/>
      <c r="AF16" s="162">
        <f t="shared" si="10"/>
        <v>2</v>
      </c>
      <c r="AG16" s="167" t="str">
        <f t="shared" si="11"/>
        <v>N/A</v>
      </c>
      <c r="AH16" s="165">
        <f t="shared" si="12"/>
        <v>80.576608934983895</v>
      </c>
      <c r="AI16" s="165">
        <f t="shared" si="13"/>
        <v>14.242264395254201</v>
      </c>
      <c r="AJ16" s="165">
        <f t="shared" si="14"/>
        <v>211.10882626058657</v>
      </c>
      <c r="AK16" s="167">
        <f t="shared" si="15"/>
        <v>5</v>
      </c>
    </row>
    <row r="17" spans="1:37" x14ac:dyDescent="0.2">
      <c r="A17" s="62" t="s">
        <v>40</v>
      </c>
      <c r="B17" s="62" t="s">
        <v>63</v>
      </c>
      <c r="C17" s="62" t="s">
        <v>200</v>
      </c>
      <c r="D17" s="62"/>
      <c r="E17" s="62">
        <f t="shared" si="2"/>
        <v>23</v>
      </c>
      <c r="F17" s="128">
        <v>35</v>
      </c>
      <c r="G17" s="129">
        <v>169.91600548041629</v>
      </c>
      <c r="H17" s="129">
        <v>117.81190498499367</v>
      </c>
      <c r="I17" s="129">
        <v>236.99313385070059</v>
      </c>
      <c r="J17" s="129"/>
      <c r="K17" s="129"/>
      <c r="L17" s="129"/>
      <c r="M17" s="60">
        <f t="shared" si="0"/>
        <v>5</v>
      </c>
      <c r="N17" s="61">
        <f t="shared" si="3"/>
        <v>50.555753076102455</v>
      </c>
      <c r="O17" s="61">
        <f t="shared" si="16"/>
        <v>114.56451429213493</v>
      </c>
      <c r="P17" s="129">
        <f t="shared" si="4"/>
        <v>137.75180364641668</v>
      </c>
      <c r="Q17" s="129">
        <f t="shared" si="5"/>
        <v>127.98015548049042</v>
      </c>
      <c r="R17" s="129">
        <f t="shared" si="6"/>
        <v>148.06758064315409</v>
      </c>
      <c r="S17" s="61">
        <f t="shared" si="7"/>
        <v>159.96841307151342</v>
      </c>
      <c r="T17" s="61">
        <f t="shared" si="1"/>
        <v>278.25636653650866</v>
      </c>
      <c r="U17" s="61">
        <f t="shared" si="17"/>
        <v>144.33880260164509</v>
      </c>
      <c r="V17" s="61"/>
      <c r="Y17" s="162" t="s">
        <v>37</v>
      </c>
      <c r="Z17" s="162" t="s">
        <v>157</v>
      </c>
      <c r="AA17" s="162" t="s">
        <v>201</v>
      </c>
      <c r="AB17" s="162">
        <f t="shared" ref="AB17:AB22" si="21">RANK(AH17,$AH$14:$AH$22,1)</f>
        <v>4</v>
      </c>
      <c r="AC17" s="165">
        <f t="shared" si="19"/>
        <v>80.576608934983895</v>
      </c>
      <c r="AD17" s="165">
        <f>MAX($AH$14:$AH$22)</f>
        <v>278.25636653650866</v>
      </c>
      <c r="AE17" s="162"/>
      <c r="AF17" s="162">
        <f t="shared" si="10"/>
        <v>8</v>
      </c>
      <c r="AG17" s="167">
        <f t="shared" si="11"/>
        <v>24</v>
      </c>
      <c r="AH17" s="165">
        <f t="shared" si="12"/>
        <v>114.67641701113811</v>
      </c>
      <c r="AI17" s="165">
        <f t="shared" si="13"/>
        <v>71.957603129158912</v>
      </c>
      <c r="AJ17" s="165">
        <f t="shared" si="14"/>
        <v>172.66762800704325</v>
      </c>
      <c r="AK17" s="167">
        <f t="shared" si="15"/>
        <v>5</v>
      </c>
    </row>
    <row r="18" spans="1:37" x14ac:dyDescent="0.2">
      <c r="A18" s="62" t="s">
        <v>41</v>
      </c>
      <c r="B18" s="62" t="s">
        <v>64</v>
      </c>
      <c r="C18" s="62" t="s">
        <v>163</v>
      </c>
      <c r="D18" s="62"/>
      <c r="E18" s="62">
        <f t="shared" si="2"/>
        <v>16</v>
      </c>
      <c r="F18" s="128">
        <v>47</v>
      </c>
      <c r="G18" s="129">
        <v>145.02054362886355</v>
      </c>
      <c r="H18" s="129">
        <v>106.43145022837199</v>
      </c>
      <c r="I18" s="129">
        <v>192.9939083484594</v>
      </c>
      <c r="J18" s="129"/>
      <c r="K18" s="129"/>
      <c r="L18" s="129"/>
      <c r="M18" s="60">
        <f t="shared" si="0"/>
        <v>5</v>
      </c>
      <c r="N18" s="61">
        <f t="shared" si="3"/>
        <v>50.555753076102455</v>
      </c>
      <c r="O18" s="61">
        <f t="shared" si="16"/>
        <v>114.56451429213493</v>
      </c>
      <c r="P18" s="129">
        <f t="shared" si="4"/>
        <v>137.75180364641668</v>
      </c>
      <c r="Q18" s="129">
        <f t="shared" si="5"/>
        <v>127.98015548049042</v>
      </c>
      <c r="R18" s="129">
        <f t="shared" si="6"/>
        <v>148.06758064315409</v>
      </c>
      <c r="S18" s="61">
        <f t="shared" si="7"/>
        <v>159.96841307151342</v>
      </c>
      <c r="T18" s="61">
        <f t="shared" si="1"/>
        <v>278.25636653650866</v>
      </c>
      <c r="U18" s="61">
        <f t="shared" si="17"/>
        <v>139.56350171296356</v>
      </c>
      <c r="V18" s="61"/>
      <c r="Y18" s="162" t="s">
        <v>38</v>
      </c>
      <c r="Z18" s="162" t="s">
        <v>62</v>
      </c>
      <c r="AA18" s="162" t="s">
        <v>201</v>
      </c>
      <c r="AB18" s="162">
        <f t="shared" si="21"/>
        <v>8</v>
      </c>
      <c r="AC18" s="165">
        <f t="shared" si="19"/>
        <v>80.576608934983895</v>
      </c>
      <c r="AD18" s="165">
        <f t="shared" si="20"/>
        <v>278.25636653650866</v>
      </c>
      <c r="AE18" s="162"/>
      <c r="AF18" s="162">
        <f t="shared" si="10"/>
        <v>21</v>
      </c>
      <c r="AG18" s="167">
        <f t="shared" si="11"/>
        <v>27</v>
      </c>
      <c r="AH18" s="165">
        <f t="shared" si="12"/>
        <v>160.41008942678758</v>
      </c>
      <c r="AI18" s="165">
        <f t="shared" si="13"/>
        <v>105.51840994159835</v>
      </c>
      <c r="AJ18" s="165">
        <f t="shared" si="14"/>
        <v>233.62115200797709</v>
      </c>
      <c r="AK18" s="167">
        <f t="shared" si="15"/>
        <v>5</v>
      </c>
    </row>
    <row r="19" spans="1:37" x14ac:dyDescent="0.2">
      <c r="A19" s="62" t="s">
        <v>42</v>
      </c>
      <c r="B19" s="62" t="s">
        <v>65</v>
      </c>
      <c r="C19" s="62" t="s">
        <v>200</v>
      </c>
      <c r="D19" s="62"/>
      <c r="E19" s="62">
        <f t="shared" si="2"/>
        <v>6</v>
      </c>
      <c r="F19" s="128">
        <v>8</v>
      </c>
      <c r="G19" s="129">
        <v>108.99230040014908</v>
      </c>
      <c r="H19" s="129">
        <v>46.013701608710043</v>
      </c>
      <c r="I19" s="129">
        <v>216.33207351341278</v>
      </c>
      <c r="J19" s="129"/>
      <c r="K19" s="129"/>
      <c r="L19" s="129"/>
      <c r="M19" s="60">
        <f t="shared" si="0"/>
        <v>5</v>
      </c>
      <c r="N19" s="61">
        <f t="shared" si="3"/>
        <v>50.555753076102455</v>
      </c>
      <c r="O19" s="61">
        <f t="shared" si="16"/>
        <v>114.56451429213493</v>
      </c>
      <c r="P19" s="129">
        <f t="shared" si="4"/>
        <v>137.75180364641668</v>
      </c>
      <c r="Q19" s="129">
        <f t="shared" si="5"/>
        <v>127.98015548049042</v>
      </c>
      <c r="R19" s="129">
        <f t="shared" si="6"/>
        <v>148.06758064315409</v>
      </c>
      <c r="S19" s="61">
        <f t="shared" si="7"/>
        <v>159.96841307151342</v>
      </c>
      <c r="T19" s="61">
        <f t="shared" si="1"/>
        <v>278.25636653650866</v>
      </c>
      <c r="U19" s="61">
        <f t="shared" si="17"/>
        <v>144.33880260164509</v>
      </c>
      <c r="V19" s="61"/>
      <c r="Y19" s="162" t="s">
        <v>43</v>
      </c>
      <c r="Z19" s="162" t="s">
        <v>159</v>
      </c>
      <c r="AA19" s="162" t="s">
        <v>201</v>
      </c>
      <c r="AB19" s="162">
        <f t="shared" si="21"/>
        <v>6</v>
      </c>
      <c r="AC19" s="165">
        <f t="shared" si="19"/>
        <v>80.576608934983895</v>
      </c>
      <c r="AD19" s="165">
        <f t="shared" si="20"/>
        <v>278.25636653650866</v>
      </c>
      <c r="AE19" s="162"/>
      <c r="AF19" s="162">
        <f t="shared" si="10"/>
        <v>13</v>
      </c>
      <c r="AG19" s="167">
        <f t="shared" si="11"/>
        <v>26</v>
      </c>
      <c r="AH19" s="165">
        <f t="shared" si="12"/>
        <v>133.84350272067391</v>
      </c>
      <c r="AI19" s="165">
        <f t="shared" si="13"/>
        <v>87.146554928350341</v>
      </c>
      <c r="AJ19" s="165">
        <f t="shared" si="14"/>
        <v>196.47132985570951</v>
      </c>
      <c r="AK19" s="167">
        <f t="shared" si="15"/>
        <v>5</v>
      </c>
    </row>
    <row r="20" spans="1:37" x14ac:dyDescent="0.2">
      <c r="A20" s="62" t="s">
        <v>43</v>
      </c>
      <c r="B20" s="62" t="s">
        <v>159</v>
      </c>
      <c r="C20" s="62" t="s">
        <v>201</v>
      </c>
      <c r="D20" s="62"/>
      <c r="E20" s="62">
        <f t="shared" si="2"/>
        <v>13</v>
      </c>
      <c r="F20" s="128">
        <v>26</v>
      </c>
      <c r="G20" s="129">
        <v>133.84350272067391</v>
      </c>
      <c r="H20" s="129">
        <v>87.146554928350341</v>
      </c>
      <c r="I20" s="129">
        <v>196.47132985570951</v>
      </c>
      <c r="J20" s="129"/>
      <c r="K20" s="129"/>
      <c r="L20" s="129"/>
      <c r="M20" s="60">
        <f t="shared" si="0"/>
        <v>5</v>
      </c>
      <c r="N20" s="61">
        <f t="shared" si="3"/>
        <v>50.555753076102455</v>
      </c>
      <c r="O20" s="61">
        <f t="shared" si="16"/>
        <v>114.56451429213493</v>
      </c>
      <c r="P20" s="129">
        <f t="shared" si="4"/>
        <v>137.75180364641668</v>
      </c>
      <c r="Q20" s="129">
        <f t="shared" si="5"/>
        <v>127.98015548049042</v>
      </c>
      <c r="R20" s="129">
        <f t="shared" si="6"/>
        <v>148.06758064315409</v>
      </c>
      <c r="S20" s="61">
        <f t="shared" si="7"/>
        <v>159.96841307151342</v>
      </c>
      <c r="T20" s="61">
        <f t="shared" si="1"/>
        <v>278.25636653650866</v>
      </c>
      <c r="U20" s="61">
        <f t="shared" si="17"/>
        <v>128.15320701214512</v>
      </c>
      <c r="V20" s="61"/>
      <c r="Y20" s="162" t="s">
        <v>48</v>
      </c>
      <c r="Z20" s="162" t="s">
        <v>160</v>
      </c>
      <c r="AA20" s="162" t="s">
        <v>201</v>
      </c>
      <c r="AB20" s="162">
        <f t="shared" si="21"/>
        <v>3</v>
      </c>
      <c r="AC20" s="165">
        <f t="shared" si="19"/>
        <v>80.576608934983895</v>
      </c>
      <c r="AD20" s="165">
        <f t="shared" si="20"/>
        <v>278.25636653650866</v>
      </c>
      <c r="AE20" s="162"/>
      <c r="AF20" s="162">
        <f t="shared" si="10"/>
        <v>4</v>
      </c>
      <c r="AG20" s="167">
        <f t="shared" si="11"/>
        <v>14</v>
      </c>
      <c r="AH20" s="165">
        <f t="shared" si="12"/>
        <v>85.733444292502057</v>
      </c>
      <c r="AI20" s="165">
        <f t="shared" si="13"/>
        <v>46.682997675329055</v>
      </c>
      <c r="AJ20" s="165">
        <f t="shared" si="14"/>
        <v>144.07732359236533</v>
      </c>
      <c r="AK20" s="167">
        <f t="shared" si="15"/>
        <v>5</v>
      </c>
    </row>
    <row r="21" spans="1:37" x14ac:dyDescent="0.2">
      <c r="A21" s="62" t="s">
        <v>44</v>
      </c>
      <c r="B21" s="62" t="s">
        <v>66</v>
      </c>
      <c r="C21" s="62" t="s">
        <v>200</v>
      </c>
      <c r="D21" s="62"/>
      <c r="E21" s="62">
        <f t="shared" si="2"/>
        <v>25</v>
      </c>
      <c r="F21" s="128">
        <v>16</v>
      </c>
      <c r="G21" s="129">
        <v>181.32702132344841</v>
      </c>
      <c r="H21" s="129">
        <v>103.01657543596872</v>
      </c>
      <c r="I21" s="129">
        <v>295.2963855612328</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5</v>
      </c>
      <c r="N21" s="61">
        <f t="shared" si="3"/>
        <v>50.555753076102455</v>
      </c>
      <c r="O21" s="61">
        <f t="shared" si="16"/>
        <v>114.56451429213493</v>
      </c>
      <c r="P21" s="129">
        <f t="shared" si="4"/>
        <v>137.75180364641668</v>
      </c>
      <c r="Q21" s="129">
        <f t="shared" si="5"/>
        <v>127.98015548049042</v>
      </c>
      <c r="R21" s="129">
        <f t="shared" si="6"/>
        <v>148.06758064315409</v>
      </c>
      <c r="S21" s="61">
        <f t="shared" si="7"/>
        <v>159.96841307151342</v>
      </c>
      <c r="T21" s="61">
        <f t="shared" si="1"/>
        <v>278.25636653650866</v>
      </c>
      <c r="U21" s="61">
        <f t="shared" si="17"/>
        <v>144.33880260164509</v>
      </c>
      <c r="V21" s="61"/>
      <c r="Y21" s="162" t="s">
        <v>52</v>
      </c>
      <c r="Z21" s="162" t="s">
        <v>72</v>
      </c>
      <c r="AA21" s="162" t="s">
        <v>201</v>
      </c>
      <c r="AB21" s="162">
        <f t="shared" si="21"/>
        <v>9</v>
      </c>
      <c r="AC21" s="165">
        <f t="shared" si="19"/>
        <v>80.576608934983895</v>
      </c>
      <c r="AD21" s="165">
        <f t="shared" si="20"/>
        <v>278.25636653650866</v>
      </c>
      <c r="AE21" s="162"/>
      <c r="AF21" s="162">
        <f t="shared" si="10"/>
        <v>26</v>
      </c>
      <c r="AG21" s="167">
        <f t="shared" si="11"/>
        <v>10</v>
      </c>
      <c r="AH21" s="165">
        <f t="shared" si="12"/>
        <v>278.25636653650866</v>
      </c>
      <c r="AI21" s="165">
        <f t="shared" si="13"/>
        <v>131.65163931550364</v>
      </c>
      <c r="AJ21" s="165">
        <f t="shared" si="14"/>
        <v>514.26896681440405</v>
      </c>
      <c r="AK21" s="167">
        <f t="shared" si="15"/>
        <v>5</v>
      </c>
    </row>
    <row r="22" spans="1:37" x14ac:dyDescent="0.2">
      <c r="A22" s="62" t="s">
        <v>45</v>
      </c>
      <c r="B22" s="62" t="s">
        <v>67</v>
      </c>
      <c r="C22" s="62" t="s">
        <v>163</v>
      </c>
      <c r="D22" s="62"/>
      <c r="E22" s="62">
        <f t="shared" si="2"/>
        <v>14</v>
      </c>
      <c r="F22" s="128">
        <v>30</v>
      </c>
      <c r="G22" s="129">
        <v>137.44225557027232</v>
      </c>
      <c r="H22" s="129">
        <v>92.430181068078468</v>
      </c>
      <c r="I22" s="129">
        <v>196.58678402413483</v>
      </c>
      <c r="J22" s="129"/>
      <c r="K22" s="129"/>
      <c r="L22" s="129"/>
      <c r="M22" s="60">
        <f t="shared" si="0"/>
        <v>5</v>
      </c>
      <c r="N22" s="61">
        <f t="shared" si="3"/>
        <v>50.555753076102455</v>
      </c>
      <c r="O22" s="61">
        <f t="shared" si="16"/>
        <v>114.56451429213493</v>
      </c>
      <c r="P22" s="129">
        <f t="shared" si="4"/>
        <v>137.75180364641668</v>
      </c>
      <c r="Q22" s="129">
        <f t="shared" si="5"/>
        <v>127.98015548049042</v>
      </c>
      <c r="R22" s="129">
        <f t="shared" si="6"/>
        <v>148.06758064315409</v>
      </c>
      <c r="S22" s="61">
        <f t="shared" si="7"/>
        <v>159.96841307151342</v>
      </c>
      <c r="T22" s="61">
        <f t="shared" si="1"/>
        <v>278.25636653650866</v>
      </c>
      <c r="U22" s="61">
        <f>VLOOKUP(C22,$C$43:$I$46,5,FALSE)</f>
        <v>139.56350171296356</v>
      </c>
      <c r="V22" s="61"/>
      <c r="Y22" s="162" t="s">
        <v>54</v>
      </c>
      <c r="Z22" s="162" t="s">
        <v>73</v>
      </c>
      <c r="AA22" s="162" t="s">
        <v>201</v>
      </c>
      <c r="AB22" s="162">
        <f t="shared" si="21"/>
        <v>2</v>
      </c>
      <c r="AC22" s="165">
        <f t="shared" si="19"/>
        <v>80.576608934983895</v>
      </c>
      <c r="AD22" s="165">
        <f t="shared" si="20"/>
        <v>278.25636653650866</v>
      </c>
      <c r="AE22" s="162"/>
      <c r="AF22" s="162">
        <f t="shared" si="10"/>
        <v>3</v>
      </c>
      <c r="AG22" s="167" t="str">
        <f t="shared" si="11"/>
        <v>N/A</v>
      </c>
      <c r="AH22" s="165">
        <f t="shared" si="12"/>
        <v>82.521916725572069</v>
      </c>
      <c r="AI22" s="165">
        <f t="shared" si="13"/>
        <v>15.396504436518192</v>
      </c>
      <c r="AJ22" s="165">
        <f t="shared" si="14"/>
        <v>243.97291117033518</v>
      </c>
      <c r="AK22" s="167">
        <f t="shared" si="15"/>
        <v>5</v>
      </c>
    </row>
    <row r="23" spans="1:37" x14ac:dyDescent="0.2">
      <c r="A23" s="62" t="s">
        <v>46</v>
      </c>
      <c r="B23" s="62" t="s">
        <v>68</v>
      </c>
      <c r="C23" s="62" t="s">
        <v>163</v>
      </c>
      <c r="D23" s="62"/>
      <c r="E23" s="62">
        <f t="shared" si="2"/>
        <v>9</v>
      </c>
      <c r="F23" s="128">
        <v>39</v>
      </c>
      <c r="G23" s="129">
        <v>119.01692410424111</v>
      </c>
      <c r="H23" s="129">
        <v>84.527764641300223</v>
      </c>
      <c r="I23" s="129">
        <v>162.82480937583051</v>
      </c>
      <c r="J23" s="129"/>
      <c r="K23" s="129"/>
      <c r="L23" s="129"/>
      <c r="M23" s="60">
        <f t="shared" si="0"/>
        <v>5</v>
      </c>
      <c r="N23" s="61">
        <f t="shared" si="3"/>
        <v>50.555753076102455</v>
      </c>
      <c r="O23" s="61">
        <f t="shared" si="16"/>
        <v>114.56451429213493</v>
      </c>
      <c r="P23" s="129">
        <f t="shared" si="4"/>
        <v>137.75180364641668</v>
      </c>
      <c r="Q23" s="129">
        <f t="shared" si="5"/>
        <v>127.98015548049042</v>
      </c>
      <c r="R23" s="129">
        <f t="shared" si="6"/>
        <v>148.06758064315409</v>
      </c>
      <c r="S23" s="61">
        <f t="shared" si="7"/>
        <v>159.96841307151342</v>
      </c>
      <c r="T23" s="61">
        <f t="shared" si="1"/>
        <v>278.25636653650866</v>
      </c>
      <c r="U23" s="61">
        <f t="shared" si="17"/>
        <v>139.56350171296356</v>
      </c>
      <c r="V23" s="61"/>
      <c r="Y23" s="163" t="s">
        <v>30</v>
      </c>
      <c r="Z23" s="163" t="s">
        <v>56</v>
      </c>
      <c r="AA23" s="163" t="s">
        <v>200</v>
      </c>
      <c r="AB23" s="163">
        <f>RANK(AH23,$AH$23:$AH$31,1)</f>
        <v>7</v>
      </c>
      <c r="AC23" s="166">
        <f>MIN($AH$23:$AH$31)</f>
        <v>50.555753076102455</v>
      </c>
      <c r="AD23" s="166">
        <f>MAX($AH$23:$AH$31)</f>
        <v>181.32702132344841</v>
      </c>
      <c r="AE23" s="163"/>
      <c r="AF23" s="163">
        <f t="shared" si="10"/>
        <v>22</v>
      </c>
      <c r="AG23" s="168">
        <f t="shared" si="11"/>
        <v>48</v>
      </c>
      <c r="AH23" s="166">
        <f t="shared" si="12"/>
        <v>166.64304647036599</v>
      </c>
      <c r="AI23" s="166">
        <f t="shared" si="13"/>
        <v>122.3616470928512</v>
      </c>
      <c r="AJ23" s="166">
        <f t="shared" si="14"/>
        <v>221.5665434970918</v>
      </c>
      <c r="AK23" s="168">
        <f t="shared" si="15"/>
        <v>5</v>
      </c>
    </row>
    <row r="24" spans="1:37" x14ac:dyDescent="0.2">
      <c r="A24" s="62" t="s">
        <v>47</v>
      </c>
      <c r="B24" s="62" t="s">
        <v>69</v>
      </c>
      <c r="C24" s="62" t="s">
        <v>163</v>
      </c>
      <c r="D24" s="62"/>
      <c r="E24" s="62">
        <f t="shared" si="2"/>
        <v>5</v>
      </c>
      <c r="F24" s="128">
        <v>14</v>
      </c>
      <c r="G24" s="129">
        <v>98.558645367258165</v>
      </c>
      <c r="H24" s="129">
        <v>53.366709365260959</v>
      </c>
      <c r="I24" s="129">
        <v>166.07830488040068</v>
      </c>
      <c r="J24" s="129"/>
      <c r="K24" s="129"/>
      <c r="L24" s="129"/>
      <c r="M24" s="60">
        <f t="shared" si="0"/>
        <v>5</v>
      </c>
      <c r="N24" s="61">
        <f t="shared" si="3"/>
        <v>50.555753076102455</v>
      </c>
      <c r="O24" s="61">
        <f t="shared" si="16"/>
        <v>114.56451429213493</v>
      </c>
      <c r="P24" s="129">
        <f t="shared" si="4"/>
        <v>137.75180364641668</v>
      </c>
      <c r="Q24" s="129">
        <f t="shared" si="5"/>
        <v>127.98015548049042</v>
      </c>
      <c r="R24" s="129">
        <f t="shared" si="6"/>
        <v>148.06758064315409</v>
      </c>
      <c r="S24" s="61">
        <f t="shared" si="7"/>
        <v>159.96841307151342</v>
      </c>
      <c r="T24" s="61">
        <f t="shared" si="1"/>
        <v>278.25636653650866</v>
      </c>
      <c r="U24" s="61">
        <f t="shared" si="17"/>
        <v>139.56350171296356</v>
      </c>
      <c r="V24" s="61"/>
      <c r="Y24" s="163" t="s">
        <v>31</v>
      </c>
      <c r="Z24" s="163" t="s">
        <v>57</v>
      </c>
      <c r="AA24" s="163" t="s">
        <v>200</v>
      </c>
      <c r="AB24" s="163">
        <f t="shared" ref="AB24:AB31" si="22">RANK(AH24,$AH$23:$AH$31,1)</f>
        <v>6</v>
      </c>
      <c r="AC24" s="166">
        <f t="shared" ref="AC24:AC31" si="23">MIN($AH$23:$AH$31)</f>
        <v>50.555753076102455</v>
      </c>
      <c r="AD24" s="166">
        <f t="shared" ref="AD24:AD31" si="24">MAX($AH$23:$AH$31)</f>
        <v>181.32702132344841</v>
      </c>
      <c r="AE24" s="163"/>
      <c r="AF24" s="163">
        <f t="shared" si="10"/>
        <v>20</v>
      </c>
      <c r="AG24" s="168">
        <f t="shared" si="11"/>
        <v>52</v>
      </c>
      <c r="AH24" s="166">
        <f t="shared" si="12"/>
        <v>159.96841307151342</v>
      </c>
      <c r="AI24" s="166">
        <f t="shared" si="13"/>
        <v>119.41111948086623</v>
      </c>
      <c r="AJ24" s="166">
        <f t="shared" si="14"/>
        <v>209.84590193500722</v>
      </c>
      <c r="AK24" s="168">
        <f t="shared" si="15"/>
        <v>5</v>
      </c>
    </row>
    <row r="25" spans="1:37" x14ac:dyDescent="0.2">
      <c r="A25" s="62" t="s">
        <v>48</v>
      </c>
      <c r="B25" s="62" t="s">
        <v>160</v>
      </c>
      <c r="C25" s="62" t="s">
        <v>201</v>
      </c>
      <c r="D25" s="62"/>
      <c r="E25" s="62">
        <f t="shared" si="2"/>
        <v>4</v>
      </c>
      <c r="F25" s="128">
        <v>14</v>
      </c>
      <c r="G25" s="129">
        <v>85.733444292502057</v>
      </c>
      <c r="H25" s="129">
        <v>46.682997675329055</v>
      </c>
      <c r="I25" s="129">
        <v>144.07732359236533</v>
      </c>
      <c r="J25" s="129"/>
      <c r="K25" s="129"/>
      <c r="L25" s="129"/>
      <c r="M25" s="60">
        <f t="shared" si="0"/>
        <v>5</v>
      </c>
      <c r="N25" s="61">
        <f t="shared" si="3"/>
        <v>50.555753076102455</v>
      </c>
      <c r="O25" s="61">
        <f t="shared" si="16"/>
        <v>114.56451429213493</v>
      </c>
      <c r="P25" s="129">
        <f t="shared" si="4"/>
        <v>137.75180364641668</v>
      </c>
      <c r="Q25" s="129">
        <f t="shared" si="5"/>
        <v>127.98015548049042</v>
      </c>
      <c r="R25" s="129">
        <f t="shared" si="6"/>
        <v>148.06758064315409</v>
      </c>
      <c r="S25" s="61">
        <f t="shared" si="7"/>
        <v>159.96841307151342</v>
      </c>
      <c r="T25" s="61">
        <f t="shared" si="1"/>
        <v>278.25636653650866</v>
      </c>
      <c r="U25" s="61">
        <f t="shared" si="17"/>
        <v>128.15320701214512</v>
      </c>
      <c r="V25" s="61"/>
      <c r="Y25" s="163" t="s">
        <v>34</v>
      </c>
      <c r="Z25" s="163" t="s">
        <v>59</v>
      </c>
      <c r="AA25" s="163" t="s">
        <v>200</v>
      </c>
      <c r="AB25" s="163">
        <f t="shared" si="22"/>
        <v>5</v>
      </c>
      <c r="AC25" s="166">
        <f t="shared" si="23"/>
        <v>50.555753076102455</v>
      </c>
      <c r="AD25" s="166">
        <f t="shared" si="24"/>
        <v>181.32702132344841</v>
      </c>
      <c r="AE25" s="163"/>
      <c r="AF25" s="163">
        <f t="shared" si="10"/>
        <v>18</v>
      </c>
      <c r="AG25" s="168">
        <f t="shared" si="11"/>
        <v>44</v>
      </c>
      <c r="AH25" s="166">
        <f t="shared" si="12"/>
        <v>152.45877046783264</v>
      </c>
      <c r="AI25" s="166">
        <f t="shared" si="13"/>
        <v>109.99763355259978</v>
      </c>
      <c r="AJ25" s="166">
        <f t="shared" si="14"/>
        <v>205.63606470955432</v>
      </c>
      <c r="AK25" s="168">
        <f t="shared" si="15"/>
        <v>5</v>
      </c>
    </row>
    <row r="26" spans="1:37" x14ac:dyDescent="0.2">
      <c r="A26" s="62" t="s">
        <v>49</v>
      </c>
      <c r="B26" s="62" t="s">
        <v>70</v>
      </c>
      <c r="C26" s="62" t="s">
        <v>200</v>
      </c>
      <c r="D26" s="62"/>
      <c r="E26" s="62">
        <f t="shared" si="2"/>
        <v>1</v>
      </c>
      <c r="F26" s="128">
        <v>10</v>
      </c>
      <c r="G26" s="129">
        <v>50.555753076102455</v>
      </c>
      <c r="H26" s="129">
        <v>23.210588137258501</v>
      </c>
      <c r="I26" s="129">
        <v>94.577549675576776</v>
      </c>
      <c r="J26" s="129"/>
      <c r="K26" s="129"/>
      <c r="L26" s="129"/>
      <c r="M26" s="60">
        <f t="shared" si="0"/>
        <v>2</v>
      </c>
      <c r="N26" s="61">
        <f t="shared" si="3"/>
        <v>50.555753076102455</v>
      </c>
      <c r="O26" s="61">
        <f t="shared" si="16"/>
        <v>114.56451429213493</v>
      </c>
      <c r="P26" s="129">
        <f t="shared" si="4"/>
        <v>137.75180364641668</v>
      </c>
      <c r="Q26" s="129">
        <f t="shared" si="5"/>
        <v>127.98015548049042</v>
      </c>
      <c r="R26" s="129">
        <f t="shared" si="6"/>
        <v>148.06758064315409</v>
      </c>
      <c r="S26" s="61">
        <f t="shared" si="7"/>
        <v>159.96841307151342</v>
      </c>
      <c r="T26" s="61">
        <f t="shared" si="1"/>
        <v>278.25636653650866</v>
      </c>
      <c r="U26" s="61">
        <f t="shared" si="17"/>
        <v>144.33880260164509</v>
      </c>
      <c r="V26" s="61"/>
      <c r="Y26" s="163" t="s">
        <v>39</v>
      </c>
      <c r="Z26" s="163" t="s">
        <v>158</v>
      </c>
      <c r="AA26" s="163" t="s">
        <v>200</v>
      </c>
      <c r="AB26" s="163">
        <f t="shared" si="22"/>
        <v>4</v>
      </c>
      <c r="AC26" s="166">
        <f t="shared" si="23"/>
        <v>50.555753076102455</v>
      </c>
      <c r="AD26" s="166">
        <f t="shared" si="24"/>
        <v>181.32702132344841</v>
      </c>
      <c r="AE26" s="163"/>
      <c r="AF26" s="163">
        <f t="shared" si="10"/>
        <v>15</v>
      </c>
      <c r="AG26" s="168">
        <f t="shared" si="11"/>
        <v>37</v>
      </c>
      <c r="AH26" s="166">
        <f t="shared" si="12"/>
        <v>141.22080849757484</v>
      </c>
      <c r="AI26" s="166">
        <f t="shared" si="13"/>
        <v>98.913861766393268</v>
      </c>
      <c r="AJ26" s="166">
        <f t="shared" si="14"/>
        <v>195.30606493493531</v>
      </c>
      <c r="AK26" s="168">
        <f t="shared" si="15"/>
        <v>5</v>
      </c>
    </row>
    <row r="27" spans="1:37" x14ac:dyDescent="0.2">
      <c r="A27" s="62" t="s">
        <v>50</v>
      </c>
      <c r="B27" s="62" t="s">
        <v>161</v>
      </c>
      <c r="C27" s="62" t="s">
        <v>163</v>
      </c>
      <c r="D27" s="62"/>
      <c r="E27" s="62">
        <f t="shared" si="2"/>
        <v>7</v>
      </c>
      <c r="F27" s="128">
        <v>14</v>
      </c>
      <c r="G27" s="129">
        <v>114.56451429213493</v>
      </c>
      <c r="H27" s="129">
        <v>62.436161930443298</v>
      </c>
      <c r="I27" s="129">
        <v>192.44762605541473</v>
      </c>
      <c r="J27" s="129"/>
      <c r="K27" s="129"/>
      <c r="L27" s="129"/>
      <c r="M27" s="60">
        <f t="shared" si="0"/>
        <v>5</v>
      </c>
      <c r="N27" s="61">
        <f t="shared" si="3"/>
        <v>50.555753076102455</v>
      </c>
      <c r="O27" s="61">
        <f t="shared" si="16"/>
        <v>114.56451429213493</v>
      </c>
      <c r="P27" s="129">
        <f t="shared" si="4"/>
        <v>137.75180364641668</v>
      </c>
      <c r="Q27" s="129">
        <f t="shared" si="5"/>
        <v>127.98015548049042</v>
      </c>
      <c r="R27" s="129">
        <f t="shared" si="6"/>
        <v>148.06758064315409</v>
      </c>
      <c r="S27" s="61">
        <f t="shared" si="7"/>
        <v>159.96841307151342</v>
      </c>
      <c r="T27" s="61">
        <f t="shared" si="1"/>
        <v>278.25636653650866</v>
      </c>
      <c r="U27" s="61">
        <f t="shared" si="17"/>
        <v>139.56350171296356</v>
      </c>
      <c r="V27" s="61"/>
      <c r="Y27" s="163" t="s">
        <v>40</v>
      </c>
      <c r="Z27" s="163" t="s">
        <v>63</v>
      </c>
      <c r="AA27" s="163" t="s">
        <v>200</v>
      </c>
      <c r="AB27" s="163">
        <f t="shared" si="22"/>
        <v>8</v>
      </c>
      <c r="AC27" s="166">
        <f t="shared" si="23"/>
        <v>50.555753076102455</v>
      </c>
      <c r="AD27" s="166">
        <f t="shared" si="24"/>
        <v>181.32702132344841</v>
      </c>
      <c r="AE27" s="163"/>
      <c r="AF27" s="163">
        <f t="shared" si="10"/>
        <v>23</v>
      </c>
      <c r="AG27" s="168">
        <f t="shared" si="11"/>
        <v>35</v>
      </c>
      <c r="AH27" s="166">
        <f t="shared" si="12"/>
        <v>169.91600548041629</v>
      </c>
      <c r="AI27" s="166">
        <f t="shared" si="13"/>
        <v>117.81190498499367</v>
      </c>
      <c r="AJ27" s="166">
        <f t="shared" si="14"/>
        <v>236.99313385070059</v>
      </c>
      <c r="AK27" s="168">
        <f t="shared" si="15"/>
        <v>5</v>
      </c>
    </row>
    <row r="28" spans="1:37" x14ac:dyDescent="0.2">
      <c r="A28" s="62" t="s">
        <v>51</v>
      </c>
      <c r="B28" s="62" t="s">
        <v>71</v>
      </c>
      <c r="C28" s="62" t="s">
        <v>200</v>
      </c>
      <c r="D28" s="62"/>
      <c r="E28" s="62">
        <f t="shared" si="2"/>
        <v>11</v>
      </c>
      <c r="F28" s="128">
        <v>12</v>
      </c>
      <c r="G28" s="129">
        <v>131.58940488385542</v>
      </c>
      <c r="H28" s="129">
        <v>66.648368247503839</v>
      </c>
      <c r="I28" s="129">
        <v>231.83193996032759</v>
      </c>
      <c r="J28" s="129"/>
      <c r="K28" s="129"/>
      <c r="L28" s="129"/>
      <c r="M28" s="60">
        <f t="shared" si="0"/>
        <v>5</v>
      </c>
      <c r="N28" s="61">
        <f t="shared" si="3"/>
        <v>50.555753076102455</v>
      </c>
      <c r="O28" s="61">
        <f t="shared" si="16"/>
        <v>114.56451429213493</v>
      </c>
      <c r="P28" s="129">
        <f t="shared" si="4"/>
        <v>137.75180364641668</v>
      </c>
      <c r="Q28" s="129">
        <f t="shared" si="5"/>
        <v>127.98015548049042</v>
      </c>
      <c r="R28" s="129">
        <f t="shared" si="6"/>
        <v>148.06758064315409</v>
      </c>
      <c r="S28" s="61">
        <f t="shared" si="7"/>
        <v>159.96841307151342</v>
      </c>
      <c r="T28" s="61">
        <f t="shared" si="1"/>
        <v>278.25636653650866</v>
      </c>
      <c r="U28" s="61">
        <f t="shared" si="17"/>
        <v>144.33880260164509</v>
      </c>
      <c r="V28" s="61"/>
      <c r="Y28" s="163" t="s">
        <v>42</v>
      </c>
      <c r="Z28" s="163" t="s">
        <v>65</v>
      </c>
      <c r="AA28" s="163" t="s">
        <v>200</v>
      </c>
      <c r="AB28" s="163">
        <f t="shared" si="22"/>
        <v>2</v>
      </c>
      <c r="AC28" s="166">
        <f t="shared" si="23"/>
        <v>50.555753076102455</v>
      </c>
      <c r="AD28" s="166">
        <f t="shared" si="24"/>
        <v>181.32702132344841</v>
      </c>
      <c r="AE28" s="163"/>
      <c r="AF28" s="163">
        <f t="shared" si="10"/>
        <v>6</v>
      </c>
      <c r="AG28" s="168">
        <f t="shared" si="11"/>
        <v>8</v>
      </c>
      <c r="AH28" s="166">
        <f t="shared" si="12"/>
        <v>108.99230040014908</v>
      </c>
      <c r="AI28" s="166">
        <f t="shared" si="13"/>
        <v>46.013701608710043</v>
      </c>
      <c r="AJ28" s="166">
        <f t="shared" si="14"/>
        <v>216.33207351341278</v>
      </c>
      <c r="AK28" s="168">
        <f t="shared" si="15"/>
        <v>5</v>
      </c>
    </row>
    <row r="29" spans="1:37" x14ac:dyDescent="0.2">
      <c r="A29" s="62" t="s">
        <v>52</v>
      </c>
      <c r="B29" s="62" t="s">
        <v>72</v>
      </c>
      <c r="C29" s="62" t="s">
        <v>201</v>
      </c>
      <c r="D29" s="62"/>
      <c r="E29" s="62">
        <f t="shared" si="2"/>
        <v>26</v>
      </c>
      <c r="F29" s="128">
        <v>10</v>
      </c>
      <c r="G29" s="129">
        <v>278.25636653650866</v>
      </c>
      <c r="H29" s="129">
        <v>131.65163931550364</v>
      </c>
      <c r="I29" s="129">
        <v>514.26896681440405</v>
      </c>
      <c r="J29" s="129"/>
      <c r="K29" s="129"/>
      <c r="L29" s="129"/>
      <c r="M29" s="60">
        <f t="shared" si="0"/>
        <v>5</v>
      </c>
      <c r="N29" s="61">
        <f t="shared" si="3"/>
        <v>50.555753076102455</v>
      </c>
      <c r="O29" s="61">
        <f t="shared" si="16"/>
        <v>114.56451429213493</v>
      </c>
      <c r="P29" s="129">
        <f t="shared" si="4"/>
        <v>137.75180364641668</v>
      </c>
      <c r="Q29" s="129">
        <f t="shared" si="5"/>
        <v>127.98015548049042</v>
      </c>
      <c r="R29" s="129">
        <f t="shared" si="6"/>
        <v>148.06758064315409</v>
      </c>
      <c r="S29" s="61">
        <f t="shared" si="7"/>
        <v>159.96841307151342</v>
      </c>
      <c r="T29" s="61">
        <f t="shared" si="1"/>
        <v>278.25636653650866</v>
      </c>
      <c r="U29" s="61">
        <f t="shared" si="17"/>
        <v>128.15320701214512</v>
      </c>
      <c r="V29" s="61"/>
      <c r="Y29" s="163" t="s">
        <v>44</v>
      </c>
      <c r="Z29" s="163" t="s">
        <v>66</v>
      </c>
      <c r="AA29" s="163" t="s">
        <v>200</v>
      </c>
      <c r="AB29" s="163">
        <f t="shared" si="22"/>
        <v>9</v>
      </c>
      <c r="AC29" s="166">
        <f t="shared" si="23"/>
        <v>50.555753076102455</v>
      </c>
      <c r="AD29" s="166">
        <f t="shared" si="24"/>
        <v>181.32702132344841</v>
      </c>
      <c r="AE29" s="163"/>
      <c r="AF29" s="163">
        <f t="shared" si="10"/>
        <v>25</v>
      </c>
      <c r="AG29" s="168">
        <f t="shared" si="11"/>
        <v>16</v>
      </c>
      <c r="AH29" s="166">
        <f t="shared" si="12"/>
        <v>181.32702132344841</v>
      </c>
      <c r="AI29" s="166">
        <f t="shared" si="13"/>
        <v>103.01657543596872</v>
      </c>
      <c r="AJ29" s="166">
        <f t="shared" si="14"/>
        <v>295.2963855612328</v>
      </c>
      <c r="AK29" s="168">
        <f t="shared" si="15"/>
        <v>5</v>
      </c>
    </row>
    <row r="30" spans="1:37" x14ac:dyDescent="0.2">
      <c r="A30" s="62" t="s">
        <v>53</v>
      </c>
      <c r="B30" s="62" t="s">
        <v>162</v>
      </c>
      <c r="C30" s="62" t="s">
        <v>163</v>
      </c>
      <c r="D30" s="62"/>
      <c r="E30" s="62">
        <f t="shared" si="2"/>
        <v>12</v>
      </c>
      <c r="F30" s="128">
        <v>84</v>
      </c>
      <c r="G30" s="129">
        <v>133.56292056476352</v>
      </c>
      <c r="H30" s="129">
        <v>106.33674740548152</v>
      </c>
      <c r="I30" s="129">
        <v>165.59123404354122</v>
      </c>
      <c r="J30" s="129"/>
      <c r="K30" s="129"/>
      <c r="L30" s="129"/>
      <c r="M30" s="60">
        <f t="shared" si="0"/>
        <v>5</v>
      </c>
      <c r="N30" s="61">
        <f t="shared" si="3"/>
        <v>50.555753076102455</v>
      </c>
      <c r="O30" s="61">
        <f t="shared" si="16"/>
        <v>114.56451429213493</v>
      </c>
      <c r="P30" s="129">
        <f>$G$32</f>
        <v>137.75180364641668</v>
      </c>
      <c r="Q30" s="129">
        <f t="shared" si="5"/>
        <v>127.98015548049042</v>
      </c>
      <c r="R30" s="129">
        <f t="shared" si="6"/>
        <v>148.06758064315409</v>
      </c>
      <c r="S30" s="61">
        <f t="shared" si="7"/>
        <v>159.96841307151342</v>
      </c>
      <c r="T30" s="61">
        <f t="shared" si="1"/>
        <v>278.25636653650866</v>
      </c>
      <c r="U30" s="61">
        <f t="shared" si="17"/>
        <v>139.56350171296356</v>
      </c>
      <c r="V30" s="61"/>
      <c r="Y30" s="163" t="s">
        <v>49</v>
      </c>
      <c r="Z30" s="163" t="s">
        <v>70</v>
      </c>
      <c r="AA30" s="163" t="s">
        <v>200</v>
      </c>
      <c r="AB30" s="163">
        <f t="shared" si="22"/>
        <v>1</v>
      </c>
      <c r="AC30" s="166">
        <f t="shared" si="23"/>
        <v>50.555753076102455</v>
      </c>
      <c r="AD30" s="166">
        <f t="shared" si="24"/>
        <v>181.32702132344841</v>
      </c>
      <c r="AE30" s="163"/>
      <c r="AF30" s="163">
        <f t="shared" si="10"/>
        <v>1</v>
      </c>
      <c r="AG30" s="168">
        <f t="shared" si="11"/>
        <v>10</v>
      </c>
      <c r="AH30" s="166">
        <f t="shared" si="12"/>
        <v>50.555753076102455</v>
      </c>
      <c r="AI30" s="166">
        <f t="shared" si="13"/>
        <v>23.210588137258501</v>
      </c>
      <c r="AJ30" s="166">
        <f t="shared" si="14"/>
        <v>94.577549675576776</v>
      </c>
      <c r="AK30" s="168">
        <f t="shared" si="15"/>
        <v>2</v>
      </c>
    </row>
    <row r="31" spans="1:37" x14ac:dyDescent="0.2">
      <c r="A31" s="62" t="s">
        <v>54</v>
      </c>
      <c r="B31" s="62" t="s">
        <v>73</v>
      </c>
      <c r="C31" s="62" t="s">
        <v>201</v>
      </c>
      <c r="D31" s="62"/>
      <c r="E31" s="62">
        <f t="shared" si="2"/>
        <v>3</v>
      </c>
      <c r="F31" s="128" t="s">
        <v>79</v>
      </c>
      <c r="G31" s="129">
        <v>82.521916725572069</v>
      </c>
      <c r="H31" s="129">
        <v>15.396504436518192</v>
      </c>
      <c r="I31" s="129">
        <v>243.97291117033518</v>
      </c>
      <c r="J31" s="129"/>
      <c r="K31" s="129"/>
      <c r="L31" s="129"/>
      <c r="M31" s="60">
        <f t="shared" si="0"/>
        <v>5</v>
      </c>
      <c r="N31" s="61">
        <f t="shared" si="3"/>
        <v>50.555753076102455</v>
      </c>
      <c r="O31" s="61">
        <f t="shared" si="16"/>
        <v>114.56451429213493</v>
      </c>
      <c r="P31" s="129">
        <f t="shared" si="4"/>
        <v>137.75180364641668</v>
      </c>
      <c r="Q31" s="129">
        <f t="shared" si="5"/>
        <v>127.98015548049042</v>
      </c>
      <c r="R31" s="129">
        <f t="shared" si="6"/>
        <v>148.06758064315409</v>
      </c>
      <c r="S31" s="61">
        <f t="shared" si="7"/>
        <v>159.96841307151342</v>
      </c>
      <c r="T31" s="61">
        <f t="shared" si="1"/>
        <v>278.25636653650866</v>
      </c>
      <c r="U31" s="61">
        <f t="shared" si="17"/>
        <v>128.15320701214512</v>
      </c>
      <c r="V31" s="61"/>
      <c r="Y31" s="163" t="s">
        <v>51</v>
      </c>
      <c r="Z31" s="163" t="s">
        <v>71</v>
      </c>
      <c r="AA31" s="163" t="s">
        <v>200</v>
      </c>
      <c r="AB31" s="163">
        <f t="shared" si="22"/>
        <v>3</v>
      </c>
      <c r="AC31" s="166">
        <f t="shared" si="23"/>
        <v>50.555753076102455</v>
      </c>
      <c r="AD31" s="166">
        <f t="shared" si="24"/>
        <v>181.32702132344841</v>
      </c>
      <c r="AE31" s="163"/>
      <c r="AF31" s="163">
        <f t="shared" si="10"/>
        <v>11</v>
      </c>
      <c r="AG31" s="168">
        <f t="shared" si="11"/>
        <v>12</v>
      </c>
      <c r="AH31" s="166">
        <f t="shared" si="12"/>
        <v>131.58940488385542</v>
      </c>
      <c r="AI31" s="166">
        <f t="shared" si="13"/>
        <v>66.648368247503839</v>
      </c>
      <c r="AJ31" s="166">
        <f t="shared" si="14"/>
        <v>231.83193996032759</v>
      </c>
      <c r="AK31" s="168">
        <f t="shared" si="15"/>
        <v>5</v>
      </c>
    </row>
    <row r="32" spans="1:37" x14ac:dyDescent="0.2">
      <c r="A32" s="62"/>
      <c r="B32" s="62" t="s">
        <v>171</v>
      </c>
      <c r="C32" s="62"/>
      <c r="D32" s="62"/>
      <c r="E32" s="62"/>
      <c r="F32" s="128">
        <v>747</v>
      </c>
      <c r="G32" s="129">
        <v>137.75180364641668</v>
      </c>
      <c r="H32" s="129">
        <v>127.98015548049042</v>
      </c>
      <c r="I32" s="129">
        <v>148.06758064315409</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330</v>
      </c>
      <c r="G44" s="129">
        <v>139.56350171296356</v>
      </c>
      <c r="H44" s="129">
        <v>124.86084570636335</v>
      </c>
      <c r="I44" s="129">
        <v>155.51690929626938</v>
      </c>
      <c r="J44" s="129">
        <f>VLOOKUP($C44,$AA$6:$AD$13,3,FALSE)</f>
        <v>98.558645367258165</v>
      </c>
      <c r="K44" s="129">
        <f>VLOOKUP($C44,$AA$6:$AD$13,4,FALSE)</f>
        <v>171.0392577418387</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5</v>
      </c>
      <c r="N44" s="61">
        <f>MIN($G$6:$G$31)</f>
        <v>50.555753076102455</v>
      </c>
      <c r="O44" s="61">
        <f>VLOOKUP(7,$E$5:$G$39,3,FALSE)</f>
        <v>114.56451429213493</v>
      </c>
      <c r="P44" s="129">
        <f>$G$32</f>
        <v>137.75180364641668</v>
      </c>
      <c r="Q44" s="129">
        <f>$H$32</f>
        <v>127.98015548049042</v>
      </c>
      <c r="R44" s="129">
        <f>$I$32</f>
        <v>148.06758064315409</v>
      </c>
      <c r="S44" s="61">
        <f>VLOOKUP(20,$E$5:$G$39,3,FALSE)</f>
        <v>159.96841307151342</v>
      </c>
      <c r="T44" s="61">
        <f>MAX($G$6:$G$31)</f>
        <v>278.25636653650866</v>
      </c>
    </row>
    <row r="45" spans="1:22" x14ac:dyDescent="0.2">
      <c r="C45" s="62" t="s">
        <v>201</v>
      </c>
      <c r="D45" s="62"/>
      <c r="E45" s="62"/>
      <c r="F45" s="128">
        <v>155</v>
      </c>
      <c r="G45" s="129">
        <v>128.15320701214512</v>
      </c>
      <c r="H45" s="129">
        <v>108.45585232653353</v>
      </c>
      <c r="I45" s="129">
        <v>150.34742614863546</v>
      </c>
      <c r="J45" s="129">
        <f>VLOOKUP($C45,$AA$14:$AD$22,3,FALSE)</f>
        <v>80.576608934983895</v>
      </c>
      <c r="K45" s="129">
        <f>VLOOKUP($C45,$AA$14:$AD$22,4,FALSE)</f>
        <v>278.25636653650866</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5</v>
      </c>
      <c r="N45" s="61">
        <f>MIN($G$6:$G$31)</f>
        <v>50.555753076102455</v>
      </c>
      <c r="O45" s="61">
        <f>VLOOKUP(7,$E$5:$G$39,3,FALSE)</f>
        <v>114.56451429213493</v>
      </c>
      <c r="P45" s="129">
        <f>$G$32</f>
        <v>137.75180364641668</v>
      </c>
      <c r="Q45" s="129">
        <f t="shared" ref="Q45:Q46" si="25">$H$32</f>
        <v>127.98015548049042</v>
      </c>
      <c r="R45" s="129">
        <f t="shared" ref="R45:R46" si="26">$I$32</f>
        <v>148.06758064315409</v>
      </c>
      <c r="S45" s="61">
        <f>VLOOKUP(20,$E$5:$G$39,3,FALSE)</f>
        <v>159.96841307151342</v>
      </c>
      <c r="T45" s="61">
        <f t="shared" ref="T45:T46" si="27">MAX($G$6:$G$31)</f>
        <v>278.25636653650866</v>
      </c>
    </row>
    <row r="46" spans="1:22" x14ac:dyDescent="0.2">
      <c r="C46" s="62" t="s">
        <v>200</v>
      </c>
      <c r="D46" s="62"/>
      <c r="E46" s="62"/>
      <c r="F46" s="128">
        <v>262</v>
      </c>
      <c r="G46" s="129">
        <v>144.33880260164509</v>
      </c>
      <c r="H46" s="129">
        <v>127.26891120448667</v>
      </c>
      <c r="I46" s="129">
        <v>163.04753972889131</v>
      </c>
      <c r="J46" s="129">
        <f>VLOOKUP($C46,$AA$23:$AD$31,3,FALSE)</f>
        <v>50.555753076102455</v>
      </c>
      <c r="K46" s="129">
        <f>VLOOKUP($C46,$AA$23:$AD$31,4,FALSE)</f>
        <v>181.32702132344841</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5</v>
      </c>
      <c r="N46" s="61">
        <f>MIN($G$6:$G$31)</f>
        <v>50.555753076102455</v>
      </c>
      <c r="O46" s="61">
        <f>VLOOKUP(7,$E$5:$G$39,3,FALSE)</f>
        <v>114.56451429213493</v>
      </c>
      <c r="P46" s="129">
        <f t="shared" ref="P46" si="28">$G$32</f>
        <v>137.75180364641668</v>
      </c>
      <c r="Q46" s="129">
        <f t="shared" si="25"/>
        <v>127.98015548049042</v>
      </c>
      <c r="R46" s="129">
        <f t="shared" si="26"/>
        <v>148.06758064315409</v>
      </c>
      <c r="S46" s="61">
        <f>VLOOKUP(20,$E$5:$G$39,3,FALSE)</f>
        <v>159.96841307151342</v>
      </c>
      <c r="T46" s="61">
        <f t="shared" si="27"/>
        <v>278.25636653650866</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C2:D2" xr:uid="{00000000-0002-0000-2200-000000000000}">
      <formula1>"Better / Worse,Higher / Lower,Significance not measured"</formula1>
    </dataValidation>
    <dataValidation type="list" allowBlank="1" showInputMessage="1" showErrorMessage="1" sqref="K2:N2" xr:uid="{00000000-0002-0000-2200-000001000000}">
      <formula1>"High = Worst,Low = Worst"</formula1>
    </dataValidation>
  </dataValidations>
  <pageMargins left="0.75" right="0.75" top="1" bottom="1"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1">
    <tabColor theme="6" tint="0.39997558519241921"/>
  </sheetPr>
  <dimension ref="A1:AK55"/>
  <sheetViews>
    <sheetView workbookViewId="0">
      <selection activeCell="F37" sqref="F37"/>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8" width="7.33203125" style="21" customWidth="1"/>
    <col min="9" max="9" width="6.886718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5.554687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5</v>
      </c>
      <c r="F6" s="128">
        <v>4</v>
      </c>
      <c r="G6" s="129">
        <v>0.18535681186283601</v>
      </c>
      <c r="H6" s="129">
        <v>7.2104521907786503E-2</v>
      </c>
      <c r="I6" s="129">
        <v>0.475644193539356</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5</v>
      </c>
      <c r="N6" s="61">
        <f>MIN($G$6:$G$32)</f>
        <v>0.126710593005575</v>
      </c>
      <c r="O6" s="61">
        <f>VLOOKUP(7,$E$5:$G$39,3,FALSE)</f>
        <v>0.19430051813471499</v>
      </c>
      <c r="P6" s="129">
        <f>$G$32</f>
        <v>0.48117746957260099</v>
      </c>
      <c r="Q6" s="129">
        <f>$H$32</f>
        <v>0.43588264647351699</v>
      </c>
      <c r="R6" s="129">
        <f>$I$32</f>
        <v>0.53115400239743504</v>
      </c>
      <c r="S6" s="61">
        <f>VLOOKUP(20,$E$5:$G$39,3,FALSE)</f>
        <v>0.57603686635944695</v>
      </c>
      <c r="T6" s="61">
        <f t="shared" ref="T6:T31" si="1">MAX($G$6:$G$31)</f>
        <v>3.0390738060781501</v>
      </c>
      <c r="U6" s="61">
        <f>VLOOKUP(C6,$C$43:$I$46,5,FALSE)</f>
        <v>0.51572975760701389</v>
      </c>
      <c r="V6" s="61"/>
      <c r="Y6" s="159" t="s">
        <v>33</v>
      </c>
      <c r="Z6" s="159" t="s">
        <v>58</v>
      </c>
      <c r="AA6" s="159" t="s">
        <v>163</v>
      </c>
      <c r="AB6" s="159">
        <f>RANK(AH6,$AH$6:$AH$13,1)</f>
        <v>1</v>
      </c>
      <c r="AC6" s="164">
        <f>MIN($AH$6:$AH$13)</f>
        <v>0.126710593005575</v>
      </c>
      <c r="AD6" s="164">
        <f>MAX($AH$6:$AH$13)</f>
        <v>1.55140186915888</v>
      </c>
      <c r="AE6" s="159"/>
      <c r="AF6" s="159">
        <f>VLOOKUP($Y6,$A$6:$I$31,5,FALSE)</f>
        <v>1</v>
      </c>
      <c r="AG6" s="160">
        <f>VLOOKUP($Y6,$A$6:$I$31,6,FALSE)</f>
        <v>5</v>
      </c>
      <c r="AH6" s="161">
        <f>VLOOKUP($Y6,$A$6:$I$31,7,FALSE)</f>
        <v>0.126710593005575</v>
      </c>
      <c r="AI6" s="161">
        <f>VLOOKUP($Y6,$A$6:$I$31,8,FALSE)</f>
        <v>5.41349556142873E-2</v>
      </c>
      <c r="AJ6" s="161">
        <f>VLOOKUP($Y6,$A$6:$I$31,9,FALSE)</f>
        <v>0.29629578863200901</v>
      </c>
      <c r="AK6" s="160">
        <f>VLOOKUP($Y6,$A$6:$M$31,13,FALSE)</f>
        <v>2</v>
      </c>
    </row>
    <row r="7" spans="1:37" x14ac:dyDescent="0.2">
      <c r="A7" s="62" t="s">
        <v>30</v>
      </c>
      <c r="B7" s="62" t="s">
        <v>56</v>
      </c>
      <c r="C7" s="62" t="s">
        <v>200</v>
      </c>
      <c r="D7" s="62"/>
      <c r="E7" s="62">
        <f t="shared" ref="E7:E31" si="2">RANK(G7,$G$6:$G$31,1)</f>
        <v>4</v>
      </c>
      <c r="F7" s="128">
        <v>6</v>
      </c>
      <c r="G7" s="129">
        <v>0.150526843953838</v>
      </c>
      <c r="H7" s="129">
        <v>6.9005491584906001E-2</v>
      </c>
      <c r="I7" s="129">
        <v>0.328039327969816</v>
      </c>
      <c r="J7" s="129"/>
      <c r="K7" s="129"/>
      <c r="L7" s="129"/>
      <c r="M7" s="60">
        <f t="shared" si="0"/>
        <v>2</v>
      </c>
      <c r="N7" s="61">
        <f t="shared" ref="N7:N31" si="3">MIN($G$6:$G$32)</f>
        <v>0.126710593005575</v>
      </c>
      <c r="O7" s="61">
        <f>VLOOKUP(7,$E$5:$G$39,3,FALSE)</f>
        <v>0.19430051813471499</v>
      </c>
      <c r="P7" s="129">
        <f t="shared" ref="P7:P31" si="4">$G$32</f>
        <v>0.48117746957260099</v>
      </c>
      <c r="Q7" s="129">
        <f t="shared" ref="Q7:Q31" si="5">$H$32</f>
        <v>0.43588264647351699</v>
      </c>
      <c r="R7" s="129">
        <f t="shared" ref="R7:R31" si="6">$I$32</f>
        <v>0.53115400239743504</v>
      </c>
      <c r="S7" s="61">
        <f t="shared" ref="S7:S31" si="7">VLOOKUP(20,$E$5:$G$39,3,FALSE)</f>
        <v>0.57603686635944695</v>
      </c>
      <c r="T7" s="61">
        <f t="shared" si="1"/>
        <v>3.0390738060781501</v>
      </c>
      <c r="U7" s="61">
        <f>VLOOKUP(C7,$C$43:$I$46,5,FALSE)</f>
        <v>0.32363636363636361</v>
      </c>
      <c r="V7" s="61"/>
      <c r="Y7" s="159" t="s">
        <v>35</v>
      </c>
      <c r="Z7" s="159" t="s">
        <v>60</v>
      </c>
      <c r="AA7" s="159" t="s">
        <v>163</v>
      </c>
      <c r="AB7" s="159">
        <f t="shared" ref="AB7:AB12" si="8">RANK(AH7,$AH$6:$AH$13,1)</f>
        <v>8</v>
      </c>
      <c r="AC7" s="164">
        <f>MIN($AH$6:$AH$13)</f>
        <v>0.126710593005575</v>
      </c>
      <c r="AD7" s="164">
        <f t="shared" ref="AD7:AD13" si="9">MAX($AH$6:$AH$13)</f>
        <v>1.55140186915888</v>
      </c>
      <c r="AE7" s="159"/>
      <c r="AF7" s="159">
        <f t="shared" ref="AF7:AF31" si="10">VLOOKUP($Y7,$A$6:$I$31,5,FALSE)</f>
        <v>25</v>
      </c>
      <c r="AG7" s="160">
        <f t="shared" ref="AG7:AG31" si="11">VLOOKUP($Y7,$A$6:$I$31,6,FALSE)</f>
        <v>83</v>
      </c>
      <c r="AH7" s="161">
        <f t="shared" ref="AH7:AH31" si="12">VLOOKUP($Y7,$A$6:$I$31,7,FALSE)</f>
        <v>1.55140186915888</v>
      </c>
      <c r="AI7" s="161">
        <f t="shared" ref="AI7:AI31" si="13">VLOOKUP($Y7,$A$6:$I$31,8,FALSE)</f>
        <v>1.25330287717348</v>
      </c>
      <c r="AJ7" s="161">
        <f t="shared" ref="AJ7:AJ31" si="14">VLOOKUP($Y7,$A$6:$I$31,9,FALSE)</f>
        <v>1.91902600344499</v>
      </c>
      <c r="AK7" s="160">
        <f t="shared" ref="AK7:AK31" si="15">VLOOKUP($Y7,$A$6:$M$31,13,FALSE)</f>
        <v>1</v>
      </c>
    </row>
    <row r="8" spans="1:37" x14ac:dyDescent="0.2">
      <c r="A8" s="62" t="s">
        <v>31</v>
      </c>
      <c r="B8" s="62" t="s">
        <v>57</v>
      </c>
      <c r="C8" s="62" t="s">
        <v>200</v>
      </c>
      <c r="D8" s="62"/>
      <c r="E8" s="62">
        <f t="shared" si="2"/>
        <v>21</v>
      </c>
      <c r="F8" s="128">
        <v>28</v>
      </c>
      <c r="G8" s="129">
        <v>0.59485872105375004</v>
      </c>
      <c r="H8" s="129">
        <v>0.41189223942970798</v>
      </c>
      <c r="I8" s="129">
        <v>0.85840011372612801</v>
      </c>
      <c r="J8" s="129"/>
      <c r="K8" s="129"/>
      <c r="L8" s="129"/>
      <c r="M8" s="60">
        <f t="shared" si="0"/>
        <v>5</v>
      </c>
      <c r="N8" s="61">
        <f t="shared" si="3"/>
        <v>0.126710593005575</v>
      </c>
      <c r="O8" s="61">
        <f t="shared" ref="O8:O31" si="16">VLOOKUP(7,$E$5:$G$39,3,FALSE)</f>
        <v>0.19430051813471499</v>
      </c>
      <c r="P8" s="129">
        <f t="shared" si="4"/>
        <v>0.48117746957260099</v>
      </c>
      <c r="Q8" s="129">
        <f t="shared" si="5"/>
        <v>0.43588264647351699</v>
      </c>
      <c r="R8" s="129">
        <f t="shared" si="6"/>
        <v>0.53115400239743504</v>
      </c>
      <c r="S8" s="61">
        <f t="shared" si="7"/>
        <v>0.57603686635944695</v>
      </c>
      <c r="T8" s="61">
        <f t="shared" si="1"/>
        <v>3.0390738060781501</v>
      </c>
      <c r="U8" s="61">
        <f t="shared" ref="U8:U31" si="17">VLOOKUP(C8,$C$43:$I$46,5,FALSE)</f>
        <v>0.32363636363636361</v>
      </c>
      <c r="V8" s="61"/>
      <c r="Y8" s="159" t="s">
        <v>41</v>
      </c>
      <c r="Z8" s="159" t="s">
        <v>64</v>
      </c>
      <c r="AA8" s="159" t="s">
        <v>163</v>
      </c>
      <c r="AB8" s="159">
        <f t="shared" si="8"/>
        <v>2</v>
      </c>
      <c r="AC8" s="164">
        <f t="shared" ref="AC8:AC13" si="18">MIN($AH$6:$AH$13)</f>
        <v>0.126710593005575</v>
      </c>
      <c r="AD8" s="164">
        <f>MAX($AH$6:$AH$13)</f>
        <v>1.55140186915888</v>
      </c>
      <c r="AE8" s="159"/>
      <c r="AF8" s="159">
        <f t="shared" si="10"/>
        <v>3</v>
      </c>
      <c r="AG8" s="160">
        <f t="shared" si="11"/>
        <v>6</v>
      </c>
      <c r="AH8" s="161">
        <f t="shared" si="12"/>
        <v>0.145243282498184</v>
      </c>
      <c r="AI8" s="161">
        <f t="shared" si="13"/>
        <v>6.6582767663577097E-2</v>
      </c>
      <c r="AJ8" s="161">
        <f t="shared" si="14"/>
        <v>0.31653854372068801</v>
      </c>
      <c r="AK8" s="160">
        <f t="shared" si="15"/>
        <v>2</v>
      </c>
    </row>
    <row r="9" spans="1:37" x14ac:dyDescent="0.2">
      <c r="A9" s="62" t="s">
        <v>32</v>
      </c>
      <c r="B9" s="62" t="s">
        <v>156</v>
      </c>
      <c r="C9" s="62" t="s">
        <v>201</v>
      </c>
      <c r="D9" s="62"/>
      <c r="E9" s="62">
        <f t="shared" si="2"/>
        <v>19</v>
      </c>
      <c r="F9" s="128">
        <v>20</v>
      </c>
      <c r="G9" s="129">
        <v>0.56689342403628096</v>
      </c>
      <c r="H9" s="129">
        <v>0.36728228166987997</v>
      </c>
      <c r="I9" s="129">
        <v>0.87403784359228498</v>
      </c>
      <c r="J9" s="129"/>
      <c r="K9" s="129"/>
      <c r="L9" s="129"/>
      <c r="M9" s="60">
        <f t="shared" si="0"/>
        <v>5</v>
      </c>
      <c r="N9" s="61">
        <f t="shared" si="3"/>
        <v>0.126710593005575</v>
      </c>
      <c r="O9" s="61">
        <f t="shared" si="16"/>
        <v>0.19430051813471499</v>
      </c>
      <c r="P9" s="129">
        <f t="shared" si="4"/>
        <v>0.48117746957260099</v>
      </c>
      <c r="Q9" s="129">
        <f t="shared" si="5"/>
        <v>0.43588264647351699</v>
      </c>
      <c r="R9" s="129">
        <f t="shared" si="6"/>
        <v>0.53115400239743504</v>
      </c>
      <c r="S9" s="61">
        <f t="shared" si="7"/>
        <v>0.57603686635944695</v>
      </c>
      <c r="T9" s="61">
        <f t="shared" si="1"/>
        <v>3.0390738060781501</v>
      </c>
      <c r="U9" s="61">
        <f t="shared" si="17"/>
        <v>0.51572975760701389</v>
      </c>
      <c r="V9" s="61"/>
      <c r="X9" s="63"/>
      <c r="Y9" s="159" t="s">
        <v>45</v>
      </c>
      <c r="Z9" s="159" t="s">
        <v>67</v>
      </c>
      <c r="AA9" s="159" t="s">
        <v>163</v>
      </c>
      <c r="AB9" s="159">
        <f t="shared" si="8"/>
        <v>4</v>
      </c>
      <c r="AC9" s="164">
        <f t="shared" si="18"/>
        <v>0.126710593005575</v>
      </c>
      <c r="AD9" s="164">
        <f t="shared" si="9"/>
        <v>1.55140186915888</v>
      </c>
      <c r="AE9" s="159"/>
      <c r="AF9" s="159">
        <f t="shared" si="10"/>
        <v>14</v>
      </c>
      <c r="AG9" s="160">
        <f t="shared" si="11"/>
        <v>13</v>
      </c>
      <c r="AH9" s="161">
        <f t="shared" si="12"/>
        <v>0.41773778920308502</v>
      </c>
      <c r="AI9" s="161">
        <f t="shared" si="13"/>
        <v>0.244295528459298</v>
      </c>
      <c r="AJ9" s="161">
        <f t="shared" si="14"/>
        <v>0.71343801527462203</v>
      </c>
      <c r="AK9" s="160">
        <f t="shared" si="15"/>
        <v>5</v>
      </c>
    </row>
    <row r="10" spans="1:37" x14ac:dyDescent="0.2">
      <c r="A10" s="62" t="s">
        <v>33</v>
      </c>
      <c r="B10" s="62" t="s">
        <v>58</v>
      </c>
      <c r="C10" s="62" t="s">
        <v>163</v>
      </c>
      <c r="D10" s="62"/>
      <c r="E10" s="62">
        <f t="shared" si="2"/>
        <v>1</v>
      </c>
      <c r="F10" s="128">
        <v>5</v>
      </c>
      <c r="G10" s="129">
        <v>0.126710593005575</v>
      </c>
      <c r="H10" s="129">
        <v>5.41349556142873E-2</v>
      </c>
      <c r="I10" s="129">
        <v>0.29629578863200901</v>
      </c>
      <c r="J10" s="129"/>
      <c r="K10" s="129"/>
      <c r="L10" s="129"/>
      <c r="M10" s="60">
        <f t="shared" si="0"/>
        <v>2</v>
      </c>
      <c r="N10" s="61">
        <f t="shared" si="3"/>
        <v>0.126710593005575</v>
      </c>
      <c r="O10" s="61">
        <f t="shared" si="16"/>
        <v>0.19430051813471499</v>
      </c>
      <c r="P10" s="129">
        <f t="shared" si="4"/>
        <v>0.48117746957260099</v>
      </c>
      <c r="Q10" s="129">
        <f t="shared" si="5"/>
        <v>0.43588264647351699</v>
      </c>
      <c r="R10" s="129">
        <f t="shared" si="6"/>
        <v>0.53115400239743504</v>
      </c>
      <c r="S10" s="61">
        <f t="shared" si="7"/>
        <v>0.57603686635944695</v>
      </c>
      <c r="T10" s="61">
        <f t="shared" si="1"/>
        <v>3.0390738060781501</v>
      </c>
      <c r="U10" s="61">
        <f t="shared" si="17"/>
        <v>0.58773895079868488</v>
      </c>
      <c r="V10" s="61"/>
      <c r="Y10" s="159" t="s">
        <v>46</v>
      </c>
      <c r="Z10" s="159" t="s">
        <v>68</v>
      </c>
      <c r="AA10" s="159" t="s">
        <v>163</v>
      </c>
      <c r="AB10" s="159">
        <f t="shared" si="8"/>
        <v>7</v>
      </c>
      <c r="AC10" s="164">
        <f t="shared" si="18"/>
        <v>0.126710593005575</v>
      </c>
      <c r="AD10" s="164">
        <f t="shared" si="9"/>
        <v>1.55140186915888</v>
      </c>
      <c r="AE10" s="159"/>
      <c r="AF10" s="159">
        <f t="shared" si="10"/>
        <v>24</v>
      </c>
      <c r="AG10" s="160">
        <f t="shared" si="11"/>
        <v>34</v>
      </c>
      <c r="AH10" s="161">
        <f t="shared" si="12"/>
        <v>0.74758135444151297</v>
      </c>
      <c r="AI10" s="161">
        <f t="shared" si="13"/>
        <v>0.53547994121138198</v>
      </c>
      <c r="AJ10" s="161">
        <f t="shared" si="14"/>
        <v>1.0428144583327299</v>
      </c>
      <c r="AK10" s="160">
        <f t="shared" si="15"/>
        <v>1</v>
      </c>
    </row>
    <row r="11" spans="1:37" x14ac:dyDescent="0.2">
      <c r="A11" s="62" t="s">
        <v>34</v>
      </c>
      <c r="B11" s="62" t="s">
        <v>59</v>
      </c>
      <c r="C11" s="62" t="s">
        <v>200</v>
      </c>
      <c r="D11" s="62"/>
      <c r="E11" s="62">
        <f t="shared" si="2"/>
        <v>2</v>
      </c>
      <c r="F11" s="128">
        <v>6</v>
      </c>
      <c r="G11" s="129">
        <v>0.132129486897159</v>
      </c>
      <c r="H11" s="129">
        <v>6.05697572409164E-2</v>
      </c>
      <c r="I11" s="129">
        <v>0.28798935013892002</v>
      </c>
      <c r="J11" s="129"/>
      <c r="K11" s="129"/>
      <c r="L11" s="129"/>
      <c r="M11" s="60">
        <f t="shared" si="0"/>
        <v>2</v>
      </c>
      <c r="N11" s="61">
        <f t="shared" si="3"/>
        <v>0.126710593005575</v>
      </c>
      <c r="O11" s="61">
        <f t="shared" si="16"/>
        <v>0.19430051813471499</v>
      </c>
      <c r="P11" s="129">
        <f t="shared" si="4"/>
        <v>0.48117746957260099</v>
      </c>
      <c r="Q11" s="129">
        <f t="shared" si="5"/>
        <v>0.43588264647351699</v>
      </c>
      <c r="R11" s="129">
        <f t="shared" si="6"/>
        <v>0.53115400239743504</v>
      </c>
      <c r="S11" s="61">
        <f t="shared" si="7"/>
        <v>0.57603686635944695</v>
      </c>
      <c r="T11" s="61">
        <f t="shared" si="1"/>
        <v>3.0390738060781501</v>
      </c>
      <c r="U11" s="61">
        <f t="shared" si="17"/>
        <v>0.32363636363636361</v>
      </c>
      <c r="V11" s="61"/>
      <c r="Y11" s="159" t="s">
        <v>47</v>
      </c>
      <c r="Z11" s="159" t="s">
        <v>69</v>
      </c>
      <c r="AA11" s="159" t="s">
        <v>163</v>
      </c>
      <c r="AB11" s="159">
        <f t="shared" si="8"/>
        <v>3</v>
      </c>
      <c r="AC11" s="164">
        <f t="shared" si="18"/>
        <v>0.126710593005575</v>
      </c>
      <c r="AD11" s="164">
        <f t="shared" si="9"/>
        <v>1.55140186915888</v>
      </c>
      <c r="AE11" s="159"/>
      <c r="AF11" s="159">
        <f t="shared" si="10"/>
        <v>9</v>
      </c>
      <c r="AG11" s="160">
        <f t="shared" si="11"/>
        <v>6</v>
      </c>
      <c r="AH11" s="161">
        <f t="shared" si="12"/>
        <v>0.30257186081694398</v>
      </c>
      <c r="AI11" s="161">
        <f t="shared" si="13"/>
        <v>0.138742910492235</v>
      </c>
      <c r="AJ11" s="161">
        <f t="shared" si="14"/>
        <v>0.65857580612529298</v>
      </c>
      <c r="AK11" s="160">
        <f t="shared" si="15"/>
        <v>5</v>
      </c>
    </row>
    <row r="12" spans="1:37" x14ac:dyDescent="0.2">
      <c r="A12" s="62" t="s">
        <v>35</v>
      </c>
      <c r="B12" s="62" t="s">
        <v>60</v>
      </c>
      <c r="C12" s="62" t="s">
        <v>163</v>
      </c>
      <c r="D12" s="62"/>
      <c r="E12" s="62">
        <f t="shared" si="2"/>
        <v>25</v>
      </c>
      <c r="F12" s="128">
        <v>83</v>
      </c>
      <c r="G12" s="129">
        <v>1.55140186915888</v>
      </c>
      <c r="H12" s="129">
        <v>1.25330287717348</v>
      </c>
      <c r="I12" s="129">
        <v>1.91902600344499</v>
      </c>
      <c r="J12" s="129"/>
      <c r="K12" s="129"/>
      <c r="L12" s="129"/>
      <c r="M12" s="60">
        <f t="shared" si="0"/>
        <v>1</v>
      </c>
      <c r="N12" s="61">
        <f t="shared" si="3"/>
        <v>0.126710593005575</v>
      </c>
      <c r="O12" s="61">
        <f t="shared" si="16"/>
        <v>0.19430051813471499</v>
      </c>
      <c r="P12" s="129">
        <f t="shared" si="4"/>
        <v>0.48117746957260099</v>
      </c>
      <c r="Q12" s="129">
        <f t="shared" si="5"/>
        <v>0.43588264647351699</v>
      </c>
      <c r="R12" s="129">
        <f t="shared" si="6"/>
        <v>0.53115400239743504</v>
      </c>
      <c r="S12" s="61">
        <f t="shared" si="7"/>
        <v>0.57603686635944695</v>
      </c>
      <c r="T12" s="61">
        <f t="shared" si="1"/>
        <v>3.0390738060781501</v>
      </c>
      <c r="U12" s="61">
        <f t="shared" si="17"/>
        <v>0.58773895079868488</v>
      </c>
      <c r="V12" s="61"/>
      <c r="Y12" s="159" t="s">
        <v>50</v>
      </c>
      <c r="Z12" s="159" t="s">
        <v>161</v>
      </c>
      <c r="AA12" s="159" t="s">
        <v>163</v>
      </c>
      <c r="AB12" s="159">
        <f t="shared" si="8"/>
        <v>5</v>
      </c>
      <c r="AC12" s="164">
        <f t="shared" si="18"/>
        <v>0.126710593005575</v>
      </c>
      <c r="AD12" s="164">
        <f t="shared" si="9"/>
        <v>1.55140186915888</v>
      </c>
      <c r="AE12" s="159"/>
      <c r="AF12" s="159">
        <f t="shared" si="10"/>
        <v>15</v>
      </c>
      <c r="AG12" s="160">
        <f t="shared" si="11"/>
        <v>8</v>
      </c>
      <c r="AH12" s="161">
        <f t="shared" si="12"/>
        <v>0.43010752688171999</v>
      </c>
      <c r="AI12" s="161">
        <f t="shared" si="13"/>
        <v>0.218101953866839</v>
      </c>
      <c r="AJ12" s="161">
        <f t="shared" si="14"/>
        <v>0.84644453568535605</v>
      </c>
      <c r="AK12" s="160">
        <f t="shared" si="15"/>
        <v>5</v>
      </c>
    </row>
    <row r="13" spans="1:37" x14ac:dyDescent="0.2">
      <c r="A13" s="62" t="s">
        <v>36</v>
      </c>
      <c r="B13" s="62" t="s">
        <v>61</v>
      </c>
      <c r="C13" s="62" t="s">
        <v>201</v>
      </c>
      <c r="D13" s="62"/>
      <c r="E13" s="62">
        <f t="shared" si="2"/>
        <v>23</v>
      </c>
      <c r="F13" s="128">
        <v>4</v>
      </c>
      <c r="G13" s="129">
        <v>0.67114093959731502</v>
      </c>
      <c r="H13" s="129">
        <v>0.261294080469329</v>
      </c>
      <c r="I13" s="129">
        <v>1.7128040160468401</v>
      </c>
      <c r="J13" s="129"/>
      <c r="K13" s="129"/>
      <c r="L13" s="129"/>
      <c r="M13" s="60">
        <f t="shared" si="0"/>
        <v>5</v>
      </c>
      <c r="N13" s="61">
        <f t="shared" si="3"/>
        <v>0.126710593005575</v>
      </c>
      <c r="O13" s="61">
        <f t="shared" si="16"/>
        <v>0.19430051813471499</v>
      </c>
      <c r="P13" s="129">
        <f t="shared" si="4"/>
        <v>0.48117746957260099</v>
      </c>
      <c r="Q13" s="129">
        <f t="shared" si="5"/>
        <v>0.43588264647351699</v>
      </c>
      <c r="R13" s="129">
        <f t="shared" si="6"/>
        <v>0.53115400239743504</v>
      </c>
      <c r="S13" s="61">
        <f t="shared" si="7"/>
        <v>0.57603686635944695</v>
      </c>
      <c r="T13" s="61">
        <f t="shared" si="1"/>
        <v>3.0390738060781501</v>
      </c>
      <c r="U13" s="61">
        <f t="shared" si="17"/>
        <v>0.51572975760701389</v>
      </c>
      <c r="V13" s="61"/>
      <c r="Y13" s="159" t="s">
        <v>53</v>
      </c>
      <c r="Z13" s="159" t="s">
        <v>162</v>
      </c>
      <c r="AA13" s="159" t="s">
        <v>163</v>
      </c>
      <c r="AB13" s="159">
        <f>RANK(AH13,$AH$6:$AH$13,1)</f>
        <v>6</v>
      </c>
      <c r="AC13" s="164">
        <f t="shared" si="18"/>
        <v>0.126710593005575</v>
      </c>
      <c r="AD13" s="164">
        <f t="shared" si="9"/>
        <v>1.55140186915888</v>
      </c>
      <c r="AE13" s="159"/>
      <c r="AF13" s="159">
        <f t="shared" si="10"/>
        <v>17</v>
      </c>
      <c r="AG13" s="160">
        <f t="shared" si="11"/>
        <v>47</v>
      </c>
      <c r="AH13" s="161">
        <f t="shared" si="12"/>
        <v>0.49793410318889703</v>
      </c>
      <c r="AI13" s="161">
        <f t="shared" si="13"/>
        <v>0.37468028471999598</v>
      </c>
      <c r="AJ13" s="161">
        <f t="shared" si="14"/>
        <v>0.661463965370097</v>
      </c>
      <c r="AK13" s="160">
        <f t="shared" si="15"/>
        <v>5</v>
      </c>
    </row>
    <row r="14" spans="1:37" x14ac:dyDescent="0.2">
      <c r="A14" s="62" t="s">
        <v>37</v>
      </c>
      <c r="B14" s="62" t="s">
        <v>157</v>
      </c>
      <c r="C14" s="62" t="s">
        <v>201</v>
      </c>
      <c r="D14" s="62"/>
      <c r="E14" s="62">
        <f t="shared" si="2"/>
        <v>6</v>
      </c>
      <c r="F14" s="128">
        <v>7</v>
      </c>
      <c r="G14" s="129">
        <v>0.18567639257294399</v>
      </c>
      <c r="H14" s="129">
        <v>8.9971457149778902E-2</v>
      </c>
      <c r="I14" s="129">
        <v>0.38279505981645001</v>
      </c>
      <c r="J14" s="129"/>
      <c r="K14" s="129"/>
      <c r="L14" s="129"/>
      <c r="M14" s="60">
        <f t="shared" si="0"/>
        <v>2</v>
      </c>
      <c r="N14" s="61">
        <f t="shared" si="3"/>
        <v>0.126710593005575</v>
      </c>
      <c r="O14" s="61">
        <f t="shared" si="16"/>
        <v>0.19430051813471499</v>
      </c>
      <c r="P14" s="129">
        <f t="shared" si="4"/>
        <v>0.48117746957260099</v>
      </c>
      <c r="Q14" s="129">
        <f t="shared" si="5"/>
        <v>0.43588264647351699</v>
      </c>
      <c r="R14" s="129">
        <f t="shared" si="6"/>
        <v>0.53115400239743504</v>
      </c>
      <c r="S14" s="61">
        <f t="shared" si="7"/>
        <v>0.57603686635944695</v>
      </c>
      <c r="T14" s="61">
        <f t="shared" si="1"/>
        <v>3.0390738060781501</v>
      </c>
      <c r="U14" s="61">
        <f t="shared" si="17"/>
        <v>0.51572975760701389</v>
      </c>
      <c r="V14" s="61"/>
      <c r="Y14" s="162" t="s">
        <v>29</v>
      </c>
      <c r="Z14" s="162" t="s">
        <v>55</v>
      </c>
      <c r="AA14" s="162" t="s">
        <v>201</v>
      </c>
      <c r="AB14" s="162">
        <f>RANK(AH14,$AH$14:$AH$22,1)</f>
        <v>1</v>
      </c>
      <c r="AC14" s="165">
        <f t="shared" ref="AC14:AC22" si="19">MIN($AH$14:$AH$22)</f>
        <v>0.18535681186283601</v>
      </c>
      <c r="AD14" s="165">
        <f>MAX($AH$14:$AH$22)</f>
        <v>3.0390738060781501</v>
      </c>
      <c r="AE14" s="162"/>
      <c r="AF14" s="162">
        <f t="shared" si="10"/>
        <v>5</v>
      </c>
      <c r="AG14" s="167">
        <f t="shared" si="11"/>
        <v>4</v>
      </c>
      <c r="AH14" s="165">
        <f t="shared" si="12"/>
        <v>0.18535681186283601</v>
      </c>
      <c r="AI14" s="165">
        <f t="shared" si="13"/>
        <v>7.2104521907786503E-2</v>
      </c>
      <c r="AJ14" s="165">
        <f t="shared" si="14"/>
        <v>0.475644193539356</v>
      </c>
      <c r="AK14" s="167">
        <f t="shared" si="15"/>
        <v>5</v>
      </c>
    </row>
    <row r="15" spans="1:37" x14ac:dyDescent="0.2">
      <c r="A15" s="62" t="s">
        <v>38</v>
      </c>
      <c r="B15" s="62" t="s">
        <v>62</v>
      </c>
      <c r="C15" s="62" t="s">
        <v>201</v>
      </c>
      <c r="D15" s="62"/>
      <c r="E15" s="62">
        <f t="shared" si="2"/>
        <v>20</v>
      </c>
      <c r="F15" s="128">
        <v>15</v>
      </c>
      <c r="G15" s="129">
        <v>0.57603686635944695</v>
      </c>
      <c r="H15" s="129">
        <v>0.34940060985351301</v>
      </c>
      <c r="I15" s="129">
        <v>0.94828022523827005</v>
      </c>
      <c r="J15" s="129"/>
      <c r="K15" s="129"/>
      <c r="L15" s="129"/>
      <c r="M15" s="60">
        <f t="shared" si="0"/>
        <v>5</v>
      </c>
      <c r="N15" s="61">
        <f t="shared" si="3"/>
        <v>0.126710593005575</v>
      </c>
      <c r="O15" s="61">
        <f t="shared" si="16"/>
        <v>0.19430051813471499</v>
      </c>
      <c r="P15" s="129">
        <f t="shared" si="4"/>
        <v>0.48117746957260099</v>
      </c>
      <c r="Q15" s="129">
        <f t="shared" si="5"/>
        <v>0.43588264647351699</v>
      </c>
      <c r="R15" s="129">
        <f t="shared" si="6"/>
        <v>0.53115400239743504</v>
      </c>
      <c r="S15" s="61">
        <f t="shared" si="7"/>
        <v>0.57603686635944695</v>
      </c>
      <c r="T15" s="61">
        <f t="shared" si="1"/>
        <v>3.0390738060781501</v>
      </c>
      <c r="U15" s="61">
        <f t="shared" si="17"/>
        <v>0.51572975760701389</v>
      </c>
      <c r="V15" s="61"/>
      <c r="Y15" s="162" t="s">
        <v>32</v>
      </c>
      <c r="Z15" s="162" t="s">
        <v>156</v>
      </c>
      <c r="AA15" s="162" t="s">
        <v>201</v>
      </c>
      <c r="AB15" s="162">
        <f>RANK(AH15,$AH$14:$AH$22,1)</f>
        <v>5</v>
      </c>
      <c r="AC15" s="165">
        <f t="shared" si="19"/>
        <v>0.18535681186283601</v>
      </c>
      <c r="AD15" s="165">
        <f t="shared" ref="AD15:AD22" si="20">MAX($AH$14:$AH$22)</f>
        <v>3.0390738060781501</v>
      </c>
      <c r="AE15" s="162"/>
      <c r="AF15" s="162">
        <f t="shared" si="10"/>
        <v>19</v>
      </c>
      <c r="AG15" s="167">
        <f t="shared" si="11"/>
        <v>20</v>
      </c>
      <c r="AH15" s="165">
        <f t="shared" si="12"/>
        <v>0.56689342403628096</v>
      </c>
      <c r="AI15" s="165">
        <f t="shared" si="13"/>
        <v>0.36728228166987997</v>
      </c>
      <c r="AJ15" s="165">
        <f t="shared" si="14"/>
        <v>0.87403784359228498</v>
      </c>
      <c r="AK15" s="167">
        <f t="shared" si="15"/>
        <v>5</v>
      </c>
    </row>
    <row r="16" spans="1:37" x14ac:dyDescent="0.2">
      <c r="A16" s="62" t="s">
        <v>39</v>
      </c>
      <c r="B16" s="62" t="s">
        <v>158</v>
      </c>
      <c r="C16" s="62" t="s">
        <v>200</v>
      </c>
      <c r="D16" s="62"/>
      <c r="E16" s="62">
        <f t="shared" si="2"/>
        <v>13</v>
      </c>
      <c r="F16" s="128">
        <v>19</v>
      </c>
      <c r="G16" s="129">
        <v>0.39484621778886098</v>
      </c>
      <c r="H16" s="129">
        <v>0.25292910657067003</v>
      </c>
      <c r="I16" s="129">
        <v>0.61590055027065604</v>
      </c>
      <c r="J16" s="129"/>
      <c r="K16" s="129"/>
      <c r="L16" s="129"/>
      <c r="M16" s="60">
        <f t="shared" si="0"/>
        <v>5</v>
      </c>
      <c r="N16" s="61">
        <f t="shared" si="3"/>
        <v>0.126710593005575</v>
      </c>
      <c r="O16" s="61">
        <f t="shared" si="16"/>
        <v>0.19430051813471499</v>
      </c>
      <c r="P16" s="129">
        <f t="shared" si="4"/>
        <v>0.48117746957260099</v>
      </c>
      <c r="Q16" s="129">
        <f t="shared" si="5"/>
        <v>0.43588264647351699</v>
      </c>
      <c r="R16" s="129">
        <f t="shared" si="6"/>
        <v>0.53115400239743504</v>
      </c>
      <c r="S16" s="61">
        <f t="shared" si="7"/>
        <v>0.57603686635944695</v>
      </c>
      <c r="T16" s="61">
        <f t="shared" si="1"/>
        <v>3.0390738060781501</v>
      </c>
      <c r="U16" s="61">
        <f t="shared" si="17"/>
        <v>0.32363636363636361</v>
      </c>
      <c r="V16" s="61"/>
      <c r="Y16" s="162" t="s">
        <v>36</v>
      </c>
      <c r="Z16" s="162" t="s">
        <v>61</v>
      </c>
      <c r="AA16" s="162" t="s">
        <v>201</v>
      </c>
      <c r="AB16" s="162">
        <f>RANK(AH16,$AH$14:$AH$22,1)</f>
        <v>8</v>
      </c>
      <c r="AC16" s="165">
        <f t="shared" si="19"/>
        <v>0.18535681186283601</v>
      </c>
      <c r="AD16" s="165">
        <f t="shared" si="20"/>
        <v>3.0390738060781501</v>
      </c>
      <c r="AE16" s="162"/>
      <c r="AF16" s="162">
        <f t="shared" si="10"/>
        <v>23</v>
      </c>
      <c r="AG16" s="167">
        <f t="shared" si="11"/>
        <v>4</v>
      </c>
      <c r="AH16" s="165">
        <f t="shared" si="12"/>
        <v>0.67114093959731502</v>
      </c>
      <c r="AI16" s="165">
        <f t="shared" si="13"/>
        <v>0.261294080469329</v>
      </c>
      <c r="AJ16" s="165">
        <f t="shared" si="14"/>
        <v>1.7128040160468401</v>
      </c>
      <c r="AK16" s="167">
        <f t="shared" si="15"/>
        <v>5</v>
      </c>
    </row>
    <row r="17" spans="1:37" x14ac:dyDescent="0.2">
      <c r="A17" s="62" t="s">
        <v>40</v>
      </c>
      <c r="B17" s="62" t="s">
        <v>63</v>
      </c>
      <c r="C17" s="62" t="s">
        <v>200</v>
      </c>
      <c r="D17" s="62"/>
      <c r="E17" s="62">
        <f t="shared" si="2"/>
        <v>10</v>
      </c>
      <c r="F17" s="128">
        <v>9</v>
      </c>
      <c r="G17" s="129">
        <v>0.34181541967337598</v>
      </c>
      <c r="H17" s="129">
        <v>0.17993626352320799</v>
      </c>
      <c r="I17" s="129">
        <v>0.648382737136867</v>
      </c>
      <c r="J17" s="129"/>
      <c r="K17" s="129"/>
      <c r="L17" s="129"/>
      <c r="M17" s="60">
        <f t="shared" si="0"/>
        <v>5</v>
      </c>
      <c r="N17" s="61">
        <f t="shared" si="3"/>
        <v>0.126710593005575</v>
      </c>
      <c r="O17" s="61">
        <f t="shared" si="16"/>
        <v>0.19430051813471499</v>
      </c>
      <c r="P17" s="129">
        <f t="shared" si="4"/>
        <v>0.48117746957260099</v>
      </c>
      <c r="Q17" s="129">
        <f t="shared" si="5"/>
        <v>0.43588264647351699</v>
      </c>
      <c r="R17" s="129">
        <f t="shared" si="6"/>
        <v>0.53115400239743504</v>
      </c>
      <c r="S17" s="61">
        <f t="shared" si="7"/>
        <v>0.57603686635944695</v>
      </c>
      <c r="T17" s="61">
        <f t="shared" si="1"/>
        <v>3.0390738060781501</v>
      </c>
      <c r="U17" s="61">
        <f t="shared" si="17"/>
        <v>0.32363636363636361</v>
      </c>
      <c r="V17" s="61"/>
      <c r="Y17" s="162" t="s">
        <v>37</v>
      </c>
      <c r="Z17" s="162" t="s">
        <v>157</v>
      </c>
      <c r="AA17" s="162" t="s">
        <v>201</v>
      </c>
      <c r="AB17" s="162">
        <f t="shared" ref="AB17:AB22" si="21">RANK(AH17,$AH$14:$AH$22,1)</f>
        <v>2</v>
      </c>
      <c r="AC17" s="165">
        <f t="shared" si="19"/>
        <v>0.18535681186283601</v>
      </c>
      <c r="AD17" s="165">
        <f>MAX($AH$14:$AH$22)</f>
        <v>3.0390738060781501</v>
      </c>
      <c r="AE17" s="162"/>
      <c r="AF17" s="162">
        <f t="shared" si="10"/>
        <v>6</v>
      </c>
      <c r="AG17" s="167">
        <f t="shared" si="11"/>
        <v>7</v>
      </c>
      <c r="AH17" s="165">
        <f t="shared" si="12"/>
        <v>0.18567639257294399</v>
      </c>
      <c r="AI17" s="165">
        <f t="shared" si="13"/>
        <v>8.9971457149778902E-2</v>
      </c>
      <c r="AJ17" s="165">
        <f t="shared" si="14"/>
        <v>0.38279505981645001</v>
      </c>
      <c r="AK17" s="167">
        <f t="shared" si="15"/>
        <v>2</v>
      </c>
    </row>
    <row r="18" spans="1:37" x14ac:dyDescent="0.2">
      <c r="A18" s="62" t="s">
        <v>41</v>
      </c>
      <c r="B18" s="62" t="s">
        <v>64</v>
      </c>
      <c r="C18" s="62" t="s">
        <v>163</v>
      </c>
      <c r="D18" s="62"/>
      <c r="E18" s="62">
        <f t="shared" si="2"/>
        <v>3</v>
      </c>
      <c r="F18" s="128">
        <v>6</v>
      </c>
      <c r="G18" s="129">
        <v>0.145243282498184</v>
      </c>
      <c r="H18" s="129">
        <v>6.6582767663577097E-2</v>
      </c>
      <c r="I18" s="129">
        <v>0.31653854372068801</v>
      </c>
      <c r="J18" s="129"/>
      <c r="K18" s="129"/>
      <c r="L18" s="129"/>
      <c r="M18" s="60">
        <f t="shared" si="0"/>
        <v>2</v>
      </c>
      <c r="N18" s="61">
        <f t="shared" si="3"/>
        <v>0.126710593005575</v>
      </c>
      <c r="O18" s="61">
        <f t="shared" si="16"/>
        <v>0.19430051813471499</v>
      </c>
      <c r="P18" s="129">
        <f t="shared" si="4"/>
        <v>0.48117746957260099</v>
      </c>
      <c r="Q18" s="129">
        <f t="shared" si="5"/>
        <v>0.43588264647351699</v>
      </c>
      <c r="R18" s="129">
        <f t="shared" si="6"/>
        <v>0.53115400239743504</v>
      </c>
      <c r="S18" s="61">
        <f t="shared" si="7"/>
        <v>0.57603686635944695</v>
      </c>
      <c r="T18" s="61">
        <f t="shared" si="1"/>
        <v>3.0390738060781501</v>
      </c>
      <c r="U18" s="61">
        <f t="shared" si="17"/>
        <v>0.58773895079868488</v>
      </c>
      <c r="V18" s="61"/>
      <c r="Y18" s="162" t="s">
        <v>38</v>
      </c>
      <c r="Z18" s="162" t="s">
        <v>62</v>
      </c>
      <c r="AA18" s="162" t="s">
        <v>201</v>
      </c>
      <c r="AB18" s="162">
        <f t="shared" si="21"/>
        <v>6</v>
      </c>
      <c r="AC18" s="165">
        <f t="shared" si="19"/>
        <v>0.18535681186283601</v>
      </c>
      <c r="AD18" s="165">
        <f t="shared" si="20"/>
        <v>3.0390738060781501</v>
      </c>
      <c r="AE18" s="162"/>
      <c r="AF18" s="162">
        <f t="shared" si="10"/>
        <v>20</v>
      </c>
      <c r="AG18" s="167">
        <f t="shared" si="11"/>
        <v>15</v>
      </c>
      <c r="AH18" s="165">
        <f t="shared" si="12"/>
        <v>0.57603686635944695</v>
      </c>
      <c r="AI18" s="165">
        <f t="shared" si="13"/>
        <v>0.34940060985351301</v>
      </c>
      <c r="AJ18" s="165">
        <f t="shared" si="14"/>
        <v>0.94828022523827005</v>
      </c>
      <c r="AK18" s="167">
        <f t="shared" si="15"/>
        <v>5</v>
      </c>
    </row>
    <row r="19" spans="1:37" x14ac:dyDescent="0.2">
      <c r="A19" s="62" t="s">
        <v>42</v>
      </c>
      <c r="B19" s="62" t="s">
        <v>65</v>
      </c>
      <c r="C19" s="62" t="s">
        <v>200</v>
      </c>
      <c r="D19" s="62"/>
      <c r="E19" s="62">
        <f t="shared" si="2"/>
        <v>16</v>
      </c>
      <c r="F19" s="128">
        <v>6</v>
      </c>
      <c r="G19" s="129">
        <v>0.476190476190476</v>
      </c>
      <c r="H19" s="129">
        <v>0.21841961361484499</v>
      </c>
      <c r="I19" s="129">
        <v>1.03501757268192</v>
      </c>
      <c r="J19" s="129"/>
      <c r="K19" s="129"/>
      <c r="L19" s="129"/>
      <c r="M19" s="60">
        <f t="shared" si="0"/>
        <v>5</v>
      </c>
      <c r="N19" s="61">
        <f t="shared" si="3"/>
        <v>0.126710593005575</v>
      </c>
      <c r="O19" s="61">
        <f t="shared" si="16"/>
        <v>0.19430051813471499</v>
      </c>
      <c r="P19" s="129">
        <f t="shared" si="4"/>
        <v>0.48117746957260099</v>
      </c>
      <c r="Q19" s="129">
        <f t="shared" si="5"/>
        <v>0.43588264647351699</v>
      </c>
      <c r="R19" s="129">
        <f t="shared" si="6"/>
        <v>0.53115400239743504</v>
      </c>
      <c r="S19" s="61">
        <f t="shared" si="7"/>
        <v>0.57603686635944695</v>
      </c>
      <c r="T19" s="61">
        <f t="shared" si="1"/>
        <v>3.0390738060781501</v>
      </c>
      <c r="U19" s="61">
        <f t="shared" si="17"/>
        <v>0.32363636363636361</v>
      </c>
      <c r="V19" s="61"/>
      <c r="Y19" s="162" t="s">
        <v>43</v>
      </c>
      <c r="Z19" s="162" t="s">
        <v>159</v>
      </c>
      <c r="AA19" s="162" t="s">
        <v>201</v>
      </c>
      <c r="AB19" s="162">
        <f t="shared" si="21"/>
        <v>4</v>
      </c>
      <c r="AC19" s="165">
        <f t="shared" si="19"/>
        <v>0.18535681186283601</v>
      </c>
      <c r="AD19" s="165">
        <f t="shared" si="20"/>
        <v>3.0390738060781501</v>
      </c>
      <c r="AE19" s="162"/>
      <c r="AF19" s="162">
        <f t="shared" si="10"/>
        <v>18</v>
      </c>
      <c r="AG19" s="167">
        <f t="shared" si="11"/>
        <v>16</v>
      </c>
      <c r="AH19" s="165">
        <f t="shared" si="12"/>
        <v>0.53691275167785202</v>
      </c>
      <c r="AI19" s="165">
        <f t="shared" si="13"/>
        <v>0.33076438682616299</v>
      </c>
      <c r="AJ19" s="165">
        <f t="shared" si="14"/>
        <v>0.870420706796733</v>
      </c>
      <c r="AK19" s="167">
        <f t="shared" si="15"/>
        <v>5</v>
      </c>
    </row>
    <row r="20" spans="1:37" x14ac:dyDescent="0.2">
      <c r="A20" s="62" t="s">
        <v>43</v>
      </c>
      <c r="B20" s="62" t="s">
        <v>159</v>
      </c>
      <c r="C20" s="62" t="s">
        <v>201</v>
      </c>
      <c r="D20" s="62"/>
      <c r="E20" s="62">
        <f t="shared" si="2"/>
        <v>18</v>
      </c>
      <c r="F20" s="128">
        <v>16</v>
      </c>
      <c r="G20" s="129">
        <v>0.53691275167785202</v>
      </c>
      <c r="H20" s="129">
        <v>0.33076438682616299</v>
      </c>
      <c r="I20" s="129">
        <v>0.870420706796733</v>
      </c>
      <c r="J20" s="129"/>
      <c r="K20" s="129"/>
      <c r="L20" s="129"/>
      <c r="M20" s="60">
        <f t="shared" si="0"/>
        <v>5</v>
      </c>
      <c r="N20" s="61">
        <f t="shared" si="3"/>
        <v>0.126710593005575</v>
      </c>
      <c r="O20" s="61">
        <f t="shared" si="16"/>
        <v>0.19430051813471499</v>
      </c>
      <c r="P20" s="129">
        <f t="shared" si="4"/>
        <v>0.48117746957260099</v>
      </c>
      <c r="Q20" s="129">
        <f t="shared" si="5"/>
        <v>0.43588264647351699</v>
      </c>
      <c r="R20" s="129">
        <f t="shared" si="6"/>
        <v>0.53115400239743504</v>
      </c>
      <c r="S20" s="61">
        <f t="shared" si="7"/>
        <v>0.57603686635944695</v>
      </c>
      <c r="T20" s="61">
        <f t="shared" si="1"/>
        <v>3.0390738060781501</v>
      </c>
      <c r="U20" s="61">
        <f t="shared" si="17"/>
        <v>0.51572975760701389</v>
      </c>
      <c r="V20" s="61"/>
      <c r="Y20" s="162" t="s">
        <v>48</v>
      </c>
      <c r="Z20" s="162" t="s">
        <v>160</v>
      </c>
      <c r="AA20" s="162" t="s">
        <v>201</v>
      </c>
      <c r="AB20" s="162">
        <f t="shared" si="21"/>
        <v>3</v>
      </c>
      <c r="AC20" s="165">
        <f t="shared" si="19"/>
        <v>0.18535681186283601</v>
      </c>
      <c r="AD20" s="165">
        <f t="shared" si="20"/>
        <v>3.0390738060781501</v>
      </c>
      <c r="AE20" s="162"/>
      <c r="AF20" s="162">
        <f t="shared" si="10"/>
        <v>12</v>
      </c>
      <c r="AG20" s="167">
        <f t="shared" si="11"/>
        <v>9</v>
      </c>
      <c r="AH20" s="165">
        <f t="shared" si="12"/>
        <v>0.38167938931297701</v>
      </c>
      <c r="AI20" s="165">
        <f t="shared" si="13"/>
        <v>0.200934311257814</v>
      </c>
      <c r="AJ20" s="165">
        <f t="shared" si="14"/>
        <v>0.72382965793764298</v>
      </c>
      <c r="AK20" s="167">
        <f t="shared" si="15"/>
        <v>5</v>
      </c>
    </row>
    <row r="21" spans="1:37" x14ac:dyDescent="0.2">
      <c r="A21" s="62" t="s">
        <v>44</v>
      </c>
      <c r="B21" s="62" t="s">
        <v>66</v>
      </c>
      <c r="C21" s="62" t="s">
        <v>200</v>
      </c>
      <c r="D21" s="62"/>
      <c r="E21" s="62">
        <f t="shared" si="2"/>
        <v>11</v>
      </c>
      <c r="F21" s="128">
        <v>5</v>
      </c>
      <c r="G21" s="129">
        <v>0.343170899107756</v>
      </c>
      <c r="H21" s="129">
        <v>0.14666845583944099</v>
      </c>
      <c r="I21" s="129">
        <v>0.80083058569707399</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5</v>
      </c>
      <c r="N21" s="61">
        <f t="shared" si="3"/>
        <v>0.126710593005575</v>
      </c>
      <c r="O21" s="61">
        <f t="shared" si="16"/>
        <v>0.19430051813471499</v>
      </c>
      <c r="P21" s="129">
        <f t="shared" si="4"/>
        <v>0.48117746957260099</v>
      </c>
      <c r="Q21" s="129">
        <f t="shared" si="5"/>
        <v>0.43588264647351699</v>
      </c>
      <c r="R21" s="129">
        <f t="shared" si="6"/>
        <v>0.53115400239743504</v>
      </c>
      <c r="S21" s="61">
        <f t="shared" si="7"/>
        <v>0.57603686635944695</v>
      </c>
      <c r="T21" s="61">
        <f t="shared" si="1"/>
        <v>3.0390738060781501</v>
      </c>
      <c r="U21" s="61">
        <f t="shared" si="17"/>
        <v>0.32363636363636361</v>
      </c>
      <c r="V21" s="61"/>
      <c r="Y21" s="162" t="s">
        <v>52</v>
      </c>
      <c r="Z21" s="162" t="s">
        <v>72</v>
      </c>
      <c r="AA21" s="162" t="s">
        <v>201</v>
      </c>
      <c r="AB21" s="162">
        <f t="shared" si="21"/>
        <v>9</v>
      </c>
      <c r="AC21" s="165">
        <f t="shared" si="19"/>
        <v>0.18535681186283601</v>
      </c>
      <c r="AD21" s="165">
        <f t="shared" si="20"/>
        <v>3.0390738060781501</v>
      </c>
      <c r="AE21" s="162"/>
      <c r="AF21" s="162">
        <f t="shared" si="10"/>
        <v>26</v>
      </c>
      <c r="AG21" s="167">
        <f t="shared" si="11"/>
        <v>21</v>
      </c>
      <c r="AH21" s="165">
        <f t="shared" si="12"/>
        <v>3.0390738060781501</v>
      </c>
      <c r="AI21" s="165">
        <f t="shared" si="13"/>
        <v>1.9961984871216301</v>
      </c>
      <c r="AJ21" s="165">
        <f t="shared" si="14"/>
        <v>4.6011998458013403</v>
      </c>
      <c r="AK21" s="167">
        <f t="shared" si="15"/>
        <v>1</v>
      </c>
    </row>
    <row r="22" spans="1:37" x14ac:dyDescent="0.2">
      <c r="A22" s="62" t="s">
        <v>45</v>
      </c>
      <c r="B22" s="62" t="s">
        <v>67</v>
      </c>
      <c r="C22" s="62" t="s">
        <v>163</v>
      </c>
      <c r="D22" s="62"/>
      <c r="E22" s="62">
        <f t="shared" si="2"/>
        <v>14</v>
      </c>
      <c r="F22" s="128">
        <v>13</v>
      </c>
      <c r="G22" s="129">
        <v>0.41773778920308502</v>
      </c>
      <c r="H22" s="129">
        <v>0.244295528459298</v>
      </c>
      <c r="I22" s="129">
        <v>0.71343801527462203</v>
      </c>
      <c r="J22" s="129"/>
      <c r="K22" s="129"/>
      <c r="L22" s="129"/>
      <c r="M22" s="60">
        <f t="shared" si="0"/>
        <v>5</v>
      </c>
      <c r="N22" s="61">
        <f t="shared" si="3"/>
        <v>0.126710593005575</v>
      </c>
      <c r="O22" s="61">
        <f t="shared" si="16"/>
        <v>0.19430051813471499</v>
      </c>
      <c r="P22" s="129">
        <f t="shared" si="4"/>
        <v>0.48117746957260099</v>
      </c>
      <c r="Q22" s="129">
        <f t="shared" si="5"/>
        <v>0.43588264647351699</v>
      </c>
      <c r="R22" s="129">
        <f t="shared" si="6"/>
        <v>0.53115400239743504</v>
      </c>
      <c r="S22" s="61">
        <f t="shared" si="7"/>
        <v>0.57603686635944695</v>
      </c>
      <c r="T22" s="61">
        <f t="shared" si="1"/>
        <v>3.0390738060781501</v>
      </c>
      <c r="U22" s="61">
        <f>VLOOKUP(C22,$C$43:$I$46,5,FALSE)</f>
        <v>0.58773895079868488</v>
      </c>
      <c r="V22" s="61"/>
      <c r="Y22" s="162" t="s">
        <v>54</v>
      </c>
      <c r="Z22" s="162" t="s">
        <v>73</v>
      </c>
      <c r="AA22" s="162" t="s">
        <v>201</v>
      </c>
      <c r="AB22" s="162">
        <f t="shared" si="21"/>
        <v>7</v>
      </c>
      <c r="AC22" s="165">
        <f t="shared" si="19"/>
        <v>0.18535681186283601</v>
      </c>
      <c r="AD22" s="165">
        <f t="shared" si="20"/>
        <v>3.0390738060781501</v>
      </c>
      <c r="AE22" s="162"/>
      <c r="AF22" s="162">
        <f t="shared" si="10"/>
        <v>22</v>
      </c>
      <c r="AG22" s="167">
        <f t="shared" si="11"/>
        <v>4</v>
      </c>
      <c r="AH22" s="165">
        <f t="shared" si="12"/>
        <v>0.64412238325281801</v>
      </c>
      <c r="AI22" s="165">
        <f t="shared" si="13"/>
        <v>0.25076335765059399</v>
      </c>
      <c r="AJ22" s="165">
        <f t="shared" si="14"/>
        <v>1.6443507794688199</v>
      </c>
      <c r="AK22" s="167">
        <f t="shared" si="15"/>
        <v>5</v>
      </c>
    </row>
    <row r="23" spans="1:37" x14ac:dyDescent="0.2">
      <c r="A23" s="62" t="s">
        <v>46</v>
      </c>
      <c r="B23" s="62" t="s">
        <v>68</v>
      </c>
      <c r="C23" s="62" t="s">
        <v>163</v>
      </c>
      <c r="D23" s="62"/>
      <c r="E23" s="62">
        <f t="shared" si="2"/>
        <v>24</v>
      </c>
      <c r="F23" s="128">
        <v>34</v>
      </c>
      <c r="G23" s="129">
        <v>0.74758135444151297</v>
      </c>
      <c r="H23" s="129">
        <v>0.53547994121138198</v>
      </c>
      <c r="I23" s="129">
        <v>1.0428144583327299</v>
      </c>
      <c r="J23" s="129"/>
      <c r="K23" s="129"/>
      <c r="L23" s="129"/>
      <c r="M23" s="60">
        <f t="shared" si="0"/>
        <v>1</v>
      </c>
      <c r="N23" s="61">
        <f t="shared" si="3"/>
        <v>0.126710593005575</v>
      </c>
      <c r="O23" s="61">
        <f t="shared" si="16"/>
        <v>0.19430051813471499</v>
      </c>
      <c r="P23" s="129">
        <f t="shared" si="4"/>
        <v>0.48117746957260099</v>
      </c>
      <c r="Q23" s="129">
        <f t="shared" si="5"/>
        <v>0.43588264647351699</v>
      </c>
      <c r="R23" s="129">
        <f t="shared" si="6"/>
        <v>0.53115400239743504</v>
      </c>
      <c r="S23" s="61">
        <f t="shared" si="7"/>
        <v>0.57603686635944695</v>
      </c>
      <c r="T23" s="61">
        <f t="shared" si="1"/>
        <v>3.0390738060781501</v>
      </c>
      <c r="U23" s="61">
        <f t="shared" si="17"/>
        <v>0.58773895079868488</v>
      </c>
      <c r="V23" s="61"/>
      <c r="Y23" s="163" t="s">
        <v>30</v>
      </c>
      <c r="Z23" s="163" t="s">
        <v>56</v>
      </c>
      <c r="AA23" s="163" t="s">
        <v>200</v>
      </c>
      <c r="AB23" s="163">
        <f>RANK(AH23,$AH$23:$AH$31,1)</f>
        <v>2</v>
      </c>
      <c r="AC23" s="166">
        <f>MIN($AH$23:$AH$31)</f>
        <v>0.132129486897159</v>
      </c>
      <c r="AD23" s="166">
        <f>MAX($AH$23:$AH$31)</f>
        <v>0.59485872105375004</v>
      </c>
      <c r="AE23" s="163"/>
      <c r="AF23" s="163">
        <f t="shared" si="10"/>
        <v>4</v>
      </c>
      <c r="AG23" s="168">
        <f t="shared" si="11"/>
        <v>6</v>
      </c>
      <c r="AH23" s="166">
        <f t="shared" si="12"/>
        <v>0.150526843953838</v>
      </c>
      <c r="AI23" s="166">
        <f t="shared" si="13"/>
        <v>6.9005491584906001E-2</v>
      </c>
      <c r="AJ23" s="166">
        <f t="shared" si="14"/>
        <v>0.328039327969816</v>
      </c>
      <c r="AK23" s="168">
        <f t="shared" si="15"/>
        <v>2</v>
      </c>
    </row>
    <row r="24" spans="1:37" x14ac:dyDescent="0.2">
      <c r="A24" s="62" t="s">
        <v>47</v>
      </c>
      <c r="B24" s="62" t="s">
        <v>69</v>
      </c>
      <c r="C24" s="62" t="s">
        <v>163</v>
      </c>
      <c r="D24" s="62"/>
      <c r="E24" s="62">
        <f t="shared" si="2"/>
        <v>9</v>
      </c>
      <c r="F24" s="128">
        <v>6</v>
      </c>
      <c r="G24" s="129">
        <v>0.30257186081694398</v>
      </c>
      <c r="H24" s="129">
        <v>0.138742910492235</v>
      </c>
      <c r="I24" s="129">
        <v>0.65857580612529298</v>
      </c>
      <c r="J24" s="129"/>
      <c r="K24" s="129"/>
      <c r="L24" s="129"/>
      <c r="M24" s="60">
        <f t="shared" si="0"/>
        <v>5</v>
      </c>
      <c r="N24" s="61">
        <f t="shared" si="3"/>
        <v>0.126710593005575</v>
      </c>
      <c r="O24" s="61">
        <f t="shared" si="16"/>
        <v>0.19430051813471499</v>
      </c>
      <c r="P24" s="129">
        <f t="shared" si="4"/>
        <v>0.48117746957260099</v>
      </c>
      <c r="Q24" s="129">
        <f t="shared" si="5"/>
        <v>0.43588264647351699</v>
      </c>
      <c r="R24" s="129">
        <f t="shared" si="6"/>
        <v>0.53115400239743504</v>
      </c>
      <c r="S24" s="61">
        <f t="shared" si="7"/>
        <v>0.57603686635944695</v>
      </c>
      <c r="T24" s="61">
        <f t="shared" si="1"/>
        <v>3.0390738060781501</v>
      </c>
      <c r="U24" s="61">
        <f t="shared" si="17"/>
        <v>0.58773895079868488</v>
      </c>
      <c r="V24" s="61"/>
      <c r="Y24" s="163" t="s">
        <v>31</v>
      </c>
      <c r="Z24" s="163" t="s">
        <v>57</v>
      </c>
      <c r="AA24" s="163" t="s">
        <v>200</v>
      </c>
      <c r="AB24" s="163">
        <f t="shared" ref="AB24:AB31" si="22">RANK(AH24,$AH$23:$AH$31,1)</f>
        <v>9</v>
      </c>
      <c r="AC24" s="166">
        <f t="shared" ref="AC24:AC31" si="23">MIN($AH$23:$AH$31)</f>
        <v>0.132129486897159</v>
      </c>
      <c r="AD24" s="166">
        <f t="shared" ref="AD24:AD31" si="24">MAX($AH$23:$AH$31)</f>
        <v>0.59485872105375004</v>
      </c>
      <c r="AE24" s="163"/>
      <c r="AF24" s="163">
        <f t="shared" si="10"/>
        <v>21</v>
      </c>
      <c r="AG24" s="168">
        <f t="shared" si="11"/>
        <v>28</v>
      </c>
      <c r="AH24" s="166">
        <f t="shared" si="12"/>
        <v>0.59485872105375004</v>
      </c>
      <c r="AI24" s="166">
        <f t="shared" si="13"/>
        <v>0.41189223942970798</v>
      </c>
      <c r="AJ24" s="166">
        <f t="shared" si="14"/>
        <v>0.85840011372612801</v>
      </c>
      <c r="AK24" s="168">
        <f t="shared" si="15"/>
        <v>5</v>
      </c>
    </row>
    <row r="25" spans="1:37" x14ac:dyDescent="0.2">
      <c r="A25" s="62" t="s">
        <v>48</v>
      </c>
      <c r="B25" s="62" t="s">
        <v>160</v>
      </c>
      <c r="C25" s="62" t="s">
        <v>201</v>
      </c>
      <c r="D25" s="62"/>
      <c r="E25" s="62">
        <f t="shared" si="2"/>
        <v>12</v>
      </c>
      <c r="F25" s="128">
        <v>9</v>
      </c>
      <c r="G25" s="129">
        <v>0.38167938931297701</v>
      </c>
      <c r="H25" s="129">
        <v>0.200934311257814</v>
      </c>
      <c r="I25" s="129">
        <v>0.72382965793764298</v>
      </c>
      <c r="J25" s="129"/>
      <c r="K25" s="129"/>
      <c r="L25" s="129"/>
      <c r="M25" s="60">
        <f t="shared" si="0"/>
        <v>5</v>
      </c>
      <c r="N25" s="61">
        <f t="shared" si="3"/>
        <v>0.126710593005575</v>
      </c>
      <c r="O25" s="61">
        <f t="shared" si="16"/>
        <v>0.19430051813471499</v>
      </c>
      <c r="P25" s="129">
        <f t="shared" si="4"/>
        <v>0.48117746957260099</v>
      </c>
      <c r="Q25" s="129">
        <f t="shared" si="5"/>
        <v>0.43588264647351699</v>
      </c>
      <c r="R25" s="129">
        <f t="shared" si="6"/>
        <v>0.53115400239743504</v>
      </c>
      <c r="S25" s="61">
        <f t="shared" si="7"/>
        <v>0.57603686635944695</v>
      </c>
      <c r="T25" s="61">
        <f t="shared" si="1"/>
        <v>3.0390738060781501</v>
      </c>
      <c r="U25" s="61">
        <f t="shared" si="17"/>
        <v>0.51572975760701389</v>
      </c>
      <c r="V25" s="61"/>
      <c r="Y25" s="163" t="s">
        <v>34</v>
      </c>
      <c r="Z25" s="163" t="s">
        <v>59</v>
      </c>
      <c r="AA25" s="163" t="s">
        <v>200</v>
      </c>
      <c r="AB25" s="163">
        <f t="shared" si="22"/>
        <v>1</v>
      </c>
      <c r="AC25" s="166">
        <f t="shared" si="23"/>
        <v>0.132129486897159</v>
      </c>
      <c r="AD25" s="166">
        <f t="shared" si="24"/>
        <v>0.59485872105375004</v>
      </c>
      <c r="AE25" s="163"/>
      <c r="AF25" s="163">
        <f t="shared" si="10"/>
        <v>2</v>
      </c>
      <c r="AG25" s="168">
        <f t="shared" si="11"/>
        <v>6</v>
      </c>
      <c r="AH25" s="166">
        <f t="shared" si="12"/>
        <v>0.132129486897159</v>
      </c>
      <c r="AI25" s="166">
        <f t="shared" si="13"/>
        <v>6.05697572409164E-2</v>
      </c>
      <c r="AJ25" s="166">
        <f t="shared" si="14"/>
        <v>0.28798935013892002</v>
      </c>
      <c r="AK25" s="168">
        <f t="shared" si="15"/>
        <v>2</v>
      </c>
    </row>
    <row r="26" spans="1:37" x14ac:dyDescent="0.2">
      <c r="A26" s="62" t="s">
        <v>49</v>
      </c>
      <c r="B26" s="62" t="s">
        <v>70</v>
      </c>
      <c r="C26" s="62" t="s">
        <v>200</v>
      </c>
      <c r="D26" s="62"/>
      <c r="E26" s="62">
        <f t="shared" si="2"/>
        <v>8</v>
      </c>
      <c r="F26" s="128">
        <v>7</v>
      </c>
      <c r="G26" s="129">
        <v>0.2734375</v>
      </c>
      <c r="H26" s="129">
        <v>0.13251662214349499</v>
      </c>
      <c r="I26" s="129">
        <v>0.56337113485146195</v>
      </c>
      <c r="J26" s="129"/>
      <c r="K26" s="129"/>
      <c r="L26" s="129"/>
      <c r="M26" s="60">
        <f t="shared" si="0"/>
        <v>5</v>
      </c>
      <c r="N26" s="61">
        <f t="shared" si="3"/>
        <v>0.126710593005575</v>
      </c>
      <c r="O26" s="61">
        <f t="shared" si="16"/>
        <v>0.19430051813471499</v>
      </c>
      <c r="P26" s="129">
        <f t="shared" si="4"/>
        <v>0.48117746957260099</v>
      </c>
      <c r="Q26" s="129">
        <f t="shared" si="5"/>
        <v>0.43588264647351699</v>
      </c>
      <c r="R26" s="129">
        <f t="shared" si="6"/>
        <v>0.53115400239743504</v>
      </c>
      <c r="S26" s="61">
        <f t="shared" si="7"/>
        <v>0.57603686635944695</v>
      </c>
      <c r="T26" s="61">
        <f t="shared" si="1"/>
        <v>3.0390738060781501</v>
      </c>
      <c r="U26" s="61">
        <f t="shared" si="17"/>
        <v>0.32363636363636361</v>
      </c>
      <c r="V26" s="61"/>
      <c r="Y26" s="163" t="s">
        <v>39</v>
      </c>
      <c r="Z26" s="163" t="s">
        <v>158</v>
      </c>
      <c r="AA26" s="163" t="s">
        <v>200</v>
      </c>
      <c r="AB26" s="163">
        <f t="shared" si="22"/>
        <v>7</v>
      </c>
      <c r="AC26" s="166">
        <f t="shared" si="23"/>
        <v>0.132129486897159</v>
      </c>
      <c r="AD26" s="166">
        <f t="shared" si="24"/>
        <v>0.59485872105375004</v>
      </c>
      <c r="AE26" s="163"/>
      <c r="AF26" s="163">
        <f t="shared" si="10"/>
        <v>13</v>
      </c>
      <c r="AG26" s="168">
        <f t="shared" si="11"/>
        <v>19</v>
      </c>
      <c r="AH26" s="166">
        <f t="shared" si="12"/>
        <v>0.39484621778886098</v>
      </c>
      <c r="AI26" s="166">
        <f t="shared" si="13"/>
        <v>0.25292910657067003</v>
      </c>
      <c r="AJ26" s="166">
        <f t="shared" si="14"/>
        <v>0.61590055027065604</v>
      </c>
      <c r="AK26" s="168">
        <f t="shared" si="15"/>
        <v>5</v>
      </c>
    </row>
    <row r="27" spans="1:37" x14ac:dyDescent="0.2">
      <c r="A27" s="62" t="s">
        <v>50</v>
      </c>
      <c r="B27" s="62" t="s">
        <v>161</v>
      </c>
      <c r="C27" s="62" t="s">
        <v>163</v>
      </c>
      <c r="D27" s="62"/>
      <c r="E27" s="62">
        <f t="shared" si="2"/>
        <v>15</v>
      </c>
      <c r="F27" s="128">
        <v>8</v>
      </c>
      <c r="G27" s="129">
        <v>0.43010752688171999</v>
      </c>
      <c r="H27" s="129">
        <v>0.218101953866839</v>
      </c>
      <c r="I27" s="129">
        <v>0.84644453568535605</v>
      </c>
      <c r="J27" s="129"/>
      <c r="K27" s="129"/>
      <c r="L27" s="129"/>
      <c r="M27" s="60">
        <f t="shared" si="0"/>
        <v>5</v>
      </c>
      <c r="N27" s="61">
        <f t="shared" si="3"/>
        <v>0.126710593005575</v>
      </c>
      <c r="O27" s="61">
        <f t="shared" si="16"/>
        <v>0.19430051813471499</v>
      </c>
      <c r="P27" s="129">
        <f t="shared" si="4"/>
        <v>0.48117746957260099</v>
      </c>
      <c r="Q27" s="129">
        <f t="shared" si="5"/>
        <v>0.43588264647351699</v>
      </c>
      <c r="R27" s="129">
        <f t="shared" si="6"/>
        <v>0.53115400239743504</v>
      </c>
      <c r="S27" s="61">
        <f t="shared" si="7"/>
        <v>0.57603686635944695</v>
      </c>
      <c r="T27" s="61">
        <f t="shared" si="1"/>
        <v>3.0390738060781501</v>
      </c>
      <c r="U27" s="61">
        <f t="shared" si="17"/>
        <v>0.58773895079868488</v>
      </c>
      <c r="V27" s="61"/>
      <c r="Y27" s="163" t="s">
        <v>40</v>
      </c>
      <c r="Z27" s="163" t="s">
        <v>63</v>
      </c>
      <c r="AA27" s="163" t="s">
        <v>200</v>
      </c>
      <c r="AB27" s="163">
        <f t="shared" si="22"/>
        <v>5</v>
      </c>
      <c r="AC27" s="166">
        <f t="shared" si="23"/>
        <v>0.132129486897159</v>
      </c>
      <c r="AD27" s="166">
        <f t="shared" si="24"/>
        <v>0.59485872105375004</v>
      </c>
      <c r="AE27" s="163"/>
      <c r="AF27" s="163">
        <f t="shared" si="10"/>
        <v>10</v>
      </c>
      <c r="AG27" s="168">
        <f t="shared" si="11"/>
        <v>9</v>
      </c>
      <c r="AH27" s="166">
        <f t="shared" si="12"/>
        <v>0.34181541967337598</v>
      </c>
      <c r="AI27" s="166">
        <f t="shared" si="13"/>
        <v>0.17993626352320799</v>
      </c>
      <c r="AJ27" s="166">
        <f t="shared" si="14"/>
        <v>0.648382737136867</v>
      </c>
      <c r="AK27" s="168">
        <f t="shared" si="15"/>
        <v>5</v>
      </c>
    </row>
    <row r="28" spans="1:37" x14ac:dyDescent="0.2">
      <c r="A28" s="62" t="s">
        <v>51</v>
      </c>
      <c r="B28" s="62" t="s">
        <v>71</v>
      </c>
      <c r="C28" s="62" t="s">
        <v>200</v>
      </c>
      <c r="D28" s="62"/>
      <c r="E28" s="62">
        <f t="shared" si="2"/>
        <v>7</v>
      </c>
      <c r="F28" s="128">
        <v>3</v>
      </c>
      <c r="G28" s="129">
        <v>0.19430051813471499</v>
      </c>
      <c r="H28" s="129">
        <v>6.6101227700032697E-2</v>
      </c>
      <c r="I28" s="129">
        <v>0.56971704455327499</v>
      </c>
      <c r="J28" s="129"/>
      <c r="K28" s="129"/>
      <c r="L28" s="129"/>
      <c r="M28" s="60">
        <f t="shared" si="0"/>
        <v>5</v>
      </c>
      <c r="N28" s="61">
        <f t="shared" si="3"/>
        <v>0.126710593005575</v>
      </c>
      <c r="O28" s="61">
        <f t="shared" si="16"/>
        <v>0.19430051813471499</v>
      </c>
      <c r="P28" s="129">
        <f t="shared" si="4"/>
        <v>0.48117746957260099</v>
      </c>
      <c r="Q28" s="129">
        <f t="shared" si="5"/>
        <v>0.43588264647351699</v>
      </c>
      <c r="R28" s="129">
        <f t="shared" si="6"/>
        <v>0.53115400239743504</v>
      </c>
      <c r="S28" s="61">
        <f t="shared" si="7"/>
        <v>0.57603686635944695</v>
      </c>
      <c r="T28" s="61">
        <f t="shared" si="1"/>
        <v>3.0390738060781501</v>
      </c>
      <c r="U28" s="61">
        <f t="shared" si="17"/>
        <v>0.32363636363636361</v>
      </c>
      <c r="V28" s="61"/>
      <c r="Y28" s="163" t="s">
        <v>42</v>
      </c>
      <c r="Z28" s="163" t="s">
        <v>65</v>
      </c>
      <c r="AA28" s="163" t="s">
        <v>200</v>
      </c>
      <c r="AB28" s="163">
        <f t="shared" si="22"/>
        <v>8</v>
      </c>
      <c r="AC28" s="166">
        <f t="shared" si="23"/>
        <v>0.132129486897159</v>
      </c>
      <c r="AD28" s="166">
        <f t="shared" si="24"/>
        <v>0.59485872105375004</v>
      </c>
      <c r="AE28" s="163"/>
      <c r="AF28" s="163">
        <f t="shared" si="10"/>
        <v>16</v>
      </c>
      <c r="AG28" s="168">
        <f t="shared" si="11"/>
        <v>6</v>
      </c>
      <c r="AH28" s="166">
        <f t="shared" si="12"/>
        <v>0.476190476190476</v>
      </c>
      <c r="AI28" s="166">
        <f t="shared" si="13"/>
        <v>0.21841961361484499</v>
      </c>
      <c r="AJ28" s="166">
        <f t="shared" si="14"/>
        <v>1.03501757268192</v>
      </c>
      <c r="AK28" s="168">
        <f t="shared" si="15"/>
        <v>5</v>
      </c>
    </row>
    <row r="29" spans="1:37" x14ac:dyDescent="0.2">
      <c r="A29" s="62" t="s">
        <v>52</v>
      </c>
      <c r="B29" s="62" t="s">
        <v>72</v>
      </c>
      <c r="C29" s="62" t="s">
        <v>201</v>
      </c>
      <c r="D29" s="62"/>
      <c r="E29" s="62">
        <f t="shared" si="2"/>
        <v>26</v>
      </c>
      <c r="F29" s="128">
        <v>21</v>
      </c>
      <c r="G29" s="129">
        <v>3.0390738060781501</v>
      </c>
      <c r="H29" s="129">
        <v>1.9961984871216301</v>
      </c>
      <c r="I29" s="129">
        <v>4.6011998458013403</v>
      </c>
      <c r="J29" s="129"/>
      <c r="K29" s="129"/>
      <c r="L29" s="129"/>
      <c r="M29" s="60">
        <f t="shared" si="0"/>
        <v>1</v>
      </c>
      <c r="N29" s="61">
        <f t="shared" si="3"/>
        <v>0.126710593005575</v>
      </c>
      <c r="O29" s="61">
        <f t="shared" si="16"/>
        <v>0.19430051813471499</v>
      </c>
      <c r="P29" s="129">
        <f t="shared" si="4"/>
        <v>0.48117746957260099</v>
      </c>
      <c r="Q29" s="129">
        <f t="shared" si="5"/>
        <v>0.43588264647351699</v>
      </c>
      <c r="R29" s="129">
        <f t="shared" si="6"/>
        <v>0.53115400239743504</v>
      </c>
      <c r="S29" s="61">
        <f t="shared" si="7"/>
        <v>0.57603686635944695</v>
      </c>
      <c r="T29" s="61">
        <f t="shared" si="1"/>
        <v>3.0390738060781501</v>
      </c>
      <c r="U29" s="61">
        <f t="shared" si="17"/>
        <v>0.51572975760701389</v>
      </c>
      <c r="V29" s="61"/>
      <c r="Y29" s="163" t="s">
        <v>44</v>
      </c>
      <c r="Z29" s="163" t="s">
        <v>66</v>
      </c>
      <c r="AA29" s="163" t="s">
        <v>200</v>
      </c>
      <c r="AB29" s="163">
        <f t="shared" si="22"/>
        <v>6</v>
      </c>
      <c r="AC29" s="166">
        <f t="shared" si="23"/>
        <v>0.132129486897159</v>
      </c>
      <c r="AD29" s="166">
        <f t="shared" si="24"/>
        <v>0.59485872105375004</v>
      </c>
      <c r="AE29" s="163"/>
      <c r="AF29" s="163">
        <f t="shared" si="10"/>
        <v>11</v>
      </c>
      <c r="AG29" s="168">
        <f t="shared" si="11"/>
        <v>5</v>
      </c>
      <c r="AH29" s="166">
        <f t="shared" si="12"/>
        <v>0.343170899107756</v>
      </c>
      <c r="AI29" s="166">
        <f t="shared" si="13"/>
        <v>0.14666845583944099</v>
      </c>
      <c r="AJ29" s="166">
        <f t="shared" si="14"/>
        <v>0.80083058569707399</v>
      </c>
      <c r="AK29" s="168">
        <f t="shared" si="15"/>
        <v>5</v>
      </c>
    </row>
    <row r="30" spans="1:37" x14ac:dyDescent="0.2">
      <c r="A30" s="62" t="s">
        <v>53</v>
      </c>
      <c r="B30" s="62" t="s">
        <v>162</v>
      </c>
      <c r="C30" s="62" t="s">
        <v>163</v>
      </c>
      <c r="D30" s="62"/>
      <c r="E30" s="62">
        <f t="shared" si="2"/>
        <v>17</v>
      </c>
      <c r="F30" s="128">
        <v>47</v>
      </c>
      <c r="G30" s="129">
        <v>0.49793410318889703</v>
      </c>
      <c r="H30" s="129">
        <v>0.37468028471999598</v>
      </c>
      <c r="I30" s="129">
        <v>0.661463965370097</v>
      </c>
      <c r="J30" s="129"/>
      <c r="K30" s="129"/>
      <c r="L30" s="129"/>
      <c r="M30" s="60">
        <f t="shared" si="0"/>
        <v>5</v>
      </c>
      <c r="N30" s="61">
        <f t="shared" si="3"/>
        <v>0.126710593005575</v>
      </c>
      <c r="O30" s="61">
        <f t="shared" si="16"/>
        <v>0.19430051813471499</v>
      </c>
      <c r="P30" s="129">
        <f>$G$32</f>
        <v>0.48117746957260099</v>
      </c>
      <c r="Q30" s="129">
        <f t="shared" si="5"/>
        <v>0.43588264647351699</v>
      </c>
      <c r="R30" s="129">
        <f t="shared" si="6"/>
        <v>0.53115400239743504</v>
      </c>
      <c r="S30" s="61">
        <f t="shared" si="7"/>
        <v>0.57603686635944695</v>
      </c>
      <c r="T30" s="61">
        <f t="shared" si="1"/>
        <v>3.0390738060781501</v>
      </c>
      <c r="U30" s="61">
        <f t="shared" si="17"/>
        <v>0.58773895079868488</v>
      </c>
      <c r="V30" s="61"/>
      <c r="Y30" s="163" t="s">
        <v>49</v>
      </c>
      <c r="Z30" s="163" t="s">
        <v>70</v>
      </c>
      <c r="AA30" s="163" t="s">
        <v>200</v>
      </c>
      <c r="AB30" s="163">
        <f t="shared" si="22"/>
        <v>4</v>
      </c>
      <c r="AC30" s="166">
        <f t="shared" si="23"/>
        <v>0.132129486897159</v>
      </c>
      <c r="AD30" s="166">
        <f t="shared" si="24"/>
        <v>0.59485872105375004</v>
      </c>
      <c r="AE30" s="163"/>
      <c r="AF30" s="163">
        <f t="shared" si="10"/>
        <v>8</v>
      </c>
      <c r="AG30" s="168">
        <f t="shared" si="11"/>
        <v>7</v>
      </c>
      <c r="AH30" s="166">
        <f t="shared" si="12"/>
        <v>0.2734375</v>
      </c>
      <c r="AI30" s="166">
        <f t="shared" si="13"/>
        <v>0.13251662214349499</v>
      </c>
      <c r="AJ30" s="166">
        <f t="shared" si="14"/>
        <v>0.56337113485146195</v>
      </c>
      <c r="AK30" s="168">
        <f t="shared" si="15"/>
        <v>5</v>
      </c>
    </row>
    <row r="31" spans="1:37" x14ac:dyDescent="0.2">
      <c r="A31" s="62" t="s">
        <v>54</v>
      </c>
      <c r="B31" s="62" t="s">
        <v>73</v>
      </c>
      <c r="C31" s="62" t="s">
        <v>201</v>
      </c>
      <c r="D31" s="62"/>
      <c r="E31" s="62">
        <f t="shared" si="2"/>
        <v>22</v>
      </c>
      <c r="F31" s="128">
        <v>4</v>
      </c>
      <c r="G31" s="129">
        <v>0.64412238325281801</v>
      </c>
      <c r="H31" s="129">
        <v>0.25076335765059399</v>
      </c>
      <c r="I31" s="129">
        <v>1.6443507794688199</v>
      </c>
      <c r="J31" s="129"/>
      <c r="K31" s="129"/>
      <c r="L31" s="129"/>
      <c r="M31" s="60">
        <f t="shared" si="0"/>
        <v>5</v>
      </c>
      <c r="N31" s="61">
        <f t="shared" si="3"/>
        <v>0.126710593005575</v>
      </c>
      <c r="O31" s="61">
        <f t="shared" si="16"/>
        <v>0.19430051813471499</v>
      </c>
      <c r="P31" s="129">
        <f t="shared" si="4"/>
        <v>0.48117746957260099</v>
      </c>
      <c r="Q31" s="129">
        <f t="shared" si="5"/>
        <v>0.43588264647351699</v>
      </c>
      <c r="R31" s="129">
        <f t="shared" si="6"/>
        <v>0.53115400239743504</v>
      </c>
      <c r="S31" s="61">
        <f t="shared" si="7"/>
        <v>0.57603686635944695</v>
      </c>
      <c r="T31" s="61">
        <f t="shared" si="1"/>
        <v>3.0390738060781501</v>
      </c>
      <c r="U31" s="61">
        <f t="shared" si="17"/>
        <v>0.51572975760701389</v>
      </c>
      <c r="V31" s="61"/>
      <c r="Y31" s="163" t="s">
        <v>51</v>
      </c>
      <c r="Z31" s="163" t="s">
        <v>71</v>
      </c>
      <c r="AA31" s="163" t="s">
        <v>200</v>
      </c>
      <c r="AB31" s="163">
        <f t="shared" si="22"/>
        <v>3</v>
      </c>
      <c r="AC31" s="166">
        <f t="shared" si="23"/>
        <v>0.132129486897159</v>
      </c>
      <c r="AD31" s="166">
        <f t="shared" si="24"/>
        <v>0.59485872105375004</v>
      </c>
      <c r="AE31" s="163"/>
      <c r="AF31" s="163">
        <f t="shared" si="10"/>
        <v>7</v>
      </c>
      <c r="AG31" s="168">
        <f t="shared" si="11"/>
        <v>3</v>
      </c>
      <c r="AH31" s="166">
        <f t="shared" si="12"/>
        <v>0.19430051813471499</v>
      </c>
      <c r="AI31" s="166">
        <f t="shared" si="13"/>
        <v>6.6101227700032697E-2</v>
      </c>
      <c r="AJ31" s="166">
        <f t="shared" si="14"/>
        <v>0.56971704455327499</v>
      </c>
      <c r="AK31" s="168">
        <f t="shared" si="15"/>
        <v>5</v>
      </c>
    </row>
    <row r="32" spans="1:37" x14ac:dyDescent="0.2">
      <c r="A32" s="62"/>
      <c r="B32" s="62" t="s">
        <v>171</v>
      </c>
      <c r="C32" s="62"/>
      <c r="D32" s="62"/>
      <c r="E32" s="62"/>
      <c r="F32" s="128">
        <v>391</v>
      </c>
      <c r="G32" s="129">
        <v>0.48117746957260099</v>
      </c>
      <c r="H32" s="129">
        <v>0.43588264647351699</v>
      </c>
      <c r="I32" s="129">
        <v>0.53115400239743504</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202</v>
      </c>
      <c r="G44" s="129">
        <v>0.58773895079868488</v>
      </c>
      <c r="H44" s="129">
        <v>0.51226505303880032</v>
      </c>
      <c r="I44" s="129">
        <v>0.67425733356486706</v>
      </c>
      <c r="J44" s="129">
        <f>VLOOKUP($C44,$AA$6:$AD$13,3,FALSE)</f>
        <v>0.126710593005575</v>
      </c>
      <c r="K44" s="129">
        <f>VLOOKUP($C44,$AA$6:$AD$13,4,FALSE)</f>
        <v>1.55140186915888</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5</v>
      </c>
      <c r="N44" s="61">
        <f>MIN($G$6:$G$31)</f>
        <v>0.126710593005575</v>
      </c>
      <c r="O44" s="61">
        <f>VLOOKUP(7,$E$5:$G$39,3,FALSE)</f>
        <v>0.19430051813471499</v>
      </c>
      <c r="P44" s="129">
        <f>$G$32</f>
        <v>0.48117746957260099</v>
      </c>
      <c r="Q44" s="129">
        <f>$H$32</f>
        <v>0.43588264647351699</v>
      </c>
      <c r="R44" s="129">
        <f>$I$32</f>
        <v>0.53115400239743504</v>
      </c>
      <c r="S44" s="61">
        <f>VLOOKUP(20,$E$5:$G$39,3,FALSE)</f>
        <v>0.57603686635944695</v>
      </c>
      <c r="T44" s="61">
        <f>MAX($G$6:$G$31)</f>
        <v>3.0390738060781501</v>
      </c>
    </row>
    <row r="45" spans="1:22" x14ac:dyDescent="0.2">
      <c r="C45" s="62" t="s">
        <v>201</v>
      </c>
      <c r="D45" s="62"/>
      <c r="E45" s="62"/>
      <c r="F45" s="128">
        <v>100</v>
      </c>
      <c r="G45" s="129">
        <v>0.51572975760701389</v>
      </c>
      <c r="H45" s="129">
        <v>0.42424583414151551</v>
      </c>
      <c r="I45" s="129">
        <v>0.62681699553828008</v>
      </c>
      <c r="J45" s="129">
        <f>VLOOKUP($C45,$AA$14:$AD$22,3,FALSE)</f>
        <v>0.18535681186283601</v>
      </c>
      <c r="K45" s="129">
        <f>VLOOKUP($C45,$AA$14:$AD$22,4,FALSE)</f>
        <v>3.0390738060781501</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5</v>
      </c>
      <c r="N45" s="61">
        <f>MIN($G$6:$G$31)</f>
        <v>0.126710593005575</v>
      </c>
      <c r="O45" s="61">
        <f>VLOOKUP(7,$E$5:$G$39,3,FALSE)</f>
        <v>0.19430051813471499</v>
      </c>
      <c r="P45" s="129">
        <f>$G$32</f>
        <v>0.48117746957260099</v>
      </c>
      <c r="Q45" s="129">
        <f t="shared" ref="Q45:Q46" si="25">$H$32</f>
        <v>0.43588264647351699</v>
      </c>
      <c r="R45" s="129">
        <f t="shared" ref="R45:R46" si="26">$I$32</f>
        <v>0.53115400239743504</v>
      </c>
      <c r="S45" s="61">
        <f>VLOOKUP(20,$E$5:$G$39,3,FALSE)</f>
        <v>0.57603686635944695</v>
      </c>
      <c r="T45" s="61">
        <f t="shared" ref="T45:T46" si="27">MAX($G$6:$G$31)</f>
        <v>3.0390738060781501</v>
      </c>
    </row>
    <row r="46" spans="1:22" x14ac:dyDescent="0.2">
      <c r="C46" s="62" t="s">
        <v>200</v>
      </c>
      <c r="D46" s="62"/>
      <c r="E46" s="62"/>
      <c r="F46" s="128">
        <v>89</v>
      </c>
      <c r="G46" s="129">
        <v>0.32363636363636361</v>
      </c>
      <c r="H46" s="129">
        <v>0.26309327598981169</v>
      </c>
      <c r="I46" s="129">
        <v>0.39805603689053937</v>
      </c>
      <c r="J46" s="129">
        <f>VLOOKUP($C46,$AA$23:$AD$31,3,FALSE)</f>
        <v>0.132129486897159</v>
      </c>
      <c r="K46" s="129">
        <f>VLOOKUP($C46,$AA$23:$AD$31,4,FALSE)</f>
        <v>0.59485872105375004</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2</v>
      </c>
      <c r="N46" s="61">
        <f>MIN($G$6:$G$31)</f>
        <v>0.126710593005575</v>
      </c>
      <c r="O46" s="61">
        <f>VLOOKUP(7,$E$5:$G$39,3,FALSE)</f>
        <v>0.19430051813471499</v>
      </c>
      <c r="P46" s="129">
        <f t="shared" ref="P46" si="28">$G$32</f>
        <v>0.48117746957260099</v>
      </c>
      <c r="Q46" s="129">
        <f t="shared" si="25"/>
        <v>0.43588264647351699</v>
      </c>
      <c r="R46" s="129">
        <f t="shared" si="26"/>
        <v>0.53115400239743504</v>
      </c>
      <c r="S46" s="61">
        <f>VLOOKUP(20,$E$5:$G$39,3,FALSE)</f>
        <v>0.57603686635944695</v>
      </c>
      <c r="T46" s="61">
        <f t="shared" si="27"/>
        <v>3.0390738060781501</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K2:N2" xr:uid="{00000000-0002-0000-2300-000000000000}">
      <formula1>"High = Worst,Low = Worst"</formula1>
    </dataValidation>
    <dataValidation type="list" allowBlank="1" showInputMessage="1" showErrorMessage="1" sqref="C2:D2" xr:uid="{00000000-0002-0000-2300-000001000000}">
      <formula1>"Better / Worse,Higher / Lower,Significance not measured"</formula1>
    </dataValidation>
  </dataValidations>
  <pageMargins left="0.75" right="0.75" top="1" bottom="1" header="0.5" footer="0.5"/>
  <pageSetup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2">
    <tabColor theme="6" tint="0.39997558519241921"/>
  </sheetPr>
  <dimension ref="A1:AK55"/>
  <sheetViews>
    <sheetView workbookViewId="0">
      <selection activeCell="E90" sqref="E89:E90"/>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8" width="7.33203125" style="21" customWidth="1"/>
    <col min="9" max="9" width="6.886718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5.554687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6</v>
      </c>
      <c r="F6" s="128">
        <v>30</v>
      </c>
      <c r="G6" s="129">
        <v>0.38714672861014299</v>
      </c>
      <c r="H6" s="129">
        <v>0.27132716617567898</v>
      </c>
      <c r="I6" s="129">
        <v>0.55213167997497103</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2</v>
      </c>
      <c r="N6" s="61">
        <f>MIN($G$6:$G$32)</f>
        <v>0.10103277952402299</v>
      </c>
      <c r="O6" s="61">
        <f>VLOOKUP(7,$E$5:$G$39,3,FALSE)</f>
        <v>0.41883304448295799</v>
      </c>
      <c r="P6" s="129">
        <f>$G$32</f>
        <v>0.60064354665713304</v>
      </c>
      <c r="Q6" s="129">
        <f>$H$32</f>
        <v>0.57037235380134399</v>
      </c>
      <c r="R6" s="129">
        <f>$I$32</f>
        <v>0.63251109297920904</v>
      </c>
      <c r="S6" s="61">
        <f>VLOOKUP(20,$E$5:$G$39,3,FALSE)</f>
        <v>0.790447359569458</v>
      </c>
      <c r="T6" s="61">
        <f t="shared" ref="T6:T31" si="1">MAX($G$6:$G$31)</f>
        <v>0.94741828517290405</v>
      </c>
      <c r="U6" s="61">
        <f>VLOOKUP(C6,$C$43:$I$46,5,FALSE)</f>
        <v>0.36439006452044259</v>
      </c>
      <c r="V6" s="61"/>
      <c r="Y6" s="159" t="s">
        <v>33</v>
      </c>
      <c r="Z6" s="159" t="s">
        <v>58</v>
      </c>
      <c r="AA6" s="159" t="s">
        <v>163</v>
      </c>
      <c r="AB6" s="159">
        <f>RANK(AH6,$AH$6:$AH$13,1)</f>
        <v>2</v>
      </c>
      <c r="AC6" s="164">
        <f>MIN($AH$6:$AH$13)</f>
        <v>0.65581184984170104</v>
      </c>
      <c r="AD6" s="164">
        <f>MAX($AH$6:$AH$13)</f>
        <v>0.94236248082401897</v>
      </c>
      <c r="AE6" s="159"/>
      <c r="AF6" s="159">
        <f>VLOOKUP($Y6,$A$6:$I$31,5,FALSE)</f>
        <v>15</v>
      </c>
      <c r="AG6" s="160">
        <f>VLOOKUP($Y6,$A$6:$I$31,6,FALSE)</f>
        <v>68</v>
      </c>
      <c r="AH6" s="161">
        <f>VLOOKUP($Y6,$A$6:$I$31,7,FALSE)</f>
        <v>0.70153719178788798</v>
      </c>
      <c r="AI6" s="161">
        <f>VLOOKUP($Y6,$A$6:$I$31,8,FALSE)</f>
        <v>0.55380008497407496</v>
      </c>
      <c r="AJ6" s="161">
        <f>VLOOKUP($Y6,$A$6:$I$31,9,FALSE)</f>
        <v>0.88833403070219896</v>
      </c>
      <c r="AK6" s="160">
        <f>VLOOKUP($Y6,$A$6:$M$31,13,FALSE)</f>
        <v>5</v>
      </c>
    </row>
    <row r="7" spans="1:37" x14ac:dyDescent="0.2">
      <c r="A7" s="62" t="s">
        <v>30</v>
      </c>
      <c r="B7" s="62" t="s">
        <v>56</v>
      </c>
      <c r="C7" s="62" t="s">
        <v>200</v>
      </c>
      <c r="D7" s="62"/>
      <c r="E7" s="62">
        <f t="shared" ref="E7:E31" si="2">RANK(G7,$G$6:$G$31,1)</f>
        <v>22</v>
      </c>
      <c r="F7" s="128">
        <v>74</v>
      </c>
      <c r="G7" s="129">
        <v>0.81677704194260503</v>
      </c>
      <c r="H7" s="129">
        <v>0.65115856910635395</v>
      </c>
      <c r="I7" s="129">
        <v>1.02408541558323</v>
      </c>
      <c r="J7" s="129"/>
      <c r="K7" s="129"/>
      <c r="L7" s="129"/>
      <c r="M7" s="60">
        <f t="shared" si="0"/>
        <v>1</v>
      </c>
      <c r="N7" s="61">
        <f t="shared" ref="N7:N31" si="3">MIN($G$6:$G$32)</f>
        <v>0.10103277952402299</v>
      </c>
      <c r="O7" s="61">
        <f>VLOOKUP(7,$E$5:$G$39,3,FALSE)</f>
        <v>0.41883304448295799</v>
      </c>
      <c r="P7" s="129">
        <f t="shared" ref="P7:P31" si="4">$G$32</f>
        <v>0.60064354665713304</v>
      </c>
      <c r="Q7" s="129">
        <f t="shared" ref="Q7:Q31" si="5">$H$32</f>
        <v>0.57037235380134399</v>
      </c>
      <c r="R7" s="129">
        <f t="shared" ref="R7:R31" si="6">$I$32</f>
        <v>0.63251109297920904</v>
      </c>
      <c r="S7" s="61">
        <f t="shared" ref="S7:S31" si="7">VLOOKUP(20,$E$5:$G$39,3,FALSE)</f>
        <v>0.790447359569458</v>
      </c>
      <c r="T7" s="61">
        <f t="shared" si="1"/>
        <v>0.94741828517290405</v>
      </c>
      <c r="U7" s="61">
        <f>VLOOKUP(C7,$C$43:$I$46,5,FALSE)</f>
        <v>0.6842060061263634</v>
      </c>
      <c r="V7" s="61"/>
      <c r="Y7" s="159" t="s">
        <v>35</v>
      </c>
      <c r="Z7" s="159" t="s">
        <v>60</v>
      </c>
      <c r="AA7" s="159" t="s">
        <v>163</v>
      </c>
      <c r="AB7" s="159">
        <f t="shared" ref="AB7:AB12" si="8">RANK(AH7,$AH$6:$AH$13,1)</f>
        <v>7</v>
      </c>
      <c r="AC7" s="164">
        <f>MIN($AH$6:$AH$13)</f>
        <v>0.65581184984170104</v>
      </c>
      <c r="AD7" s="164">
        <f t="shared" ref="AD7:AD13" si="9">MAX($AH$6:$AH$13)</f>
        <v>0.94236248082401897</v>
      </c>
      <c r="AE7" s="159"/>
      <c r="AF7" s="159">
        <f t="shared" ref="AF7:AF31" si="10">VLOOKUP($Y7,$A$6:$I$31,5,FALSE)</f>
        <v>24</v>
      </c>
      <c r="AG7" s="160">
        <f t="shared" ref="AG7:AG31" si="11">VLOOKUP($Y7,$A$6:$I$31,6,FALSE)</f>
        <v>99</v>
      </c>
      <c r="AH7" s="161">
        <f t="shared" ref="AH7:AH31" si="12">VLOOKUP($Y7,$A$6:$I$31,7,FALSE)</f>
        <v>0.84492617564222905</v>
      </c>
      <c r="AI7" s="161">
        <f t="shared" ref="AI7:AI31" si="13">VLOOKUP($Y7,$A$6:$I$31,8,FALSE)</f>
        <v>0.69455026885121895</v>
      </c>
      <c r="AJ7" s="161">
        <f t="shared" ref="AJ7:AJ31" si="14">VLOOKUP($Y7,$A$6:$I$31,9,FALSE)</f>
        <v>1.02752283937938</v>
      </c>
      <c r="AK7" s="160">
        <f t="shared" ref="AK7:AK31" si="15">VLOOKUP($Y7,$A$6:$M$31,13,FALSE)</f>
        <v>1</v>
      </c>
    </row>
    <row r="8" spans="1:37" x14ac:dyDescent="0.2">
      <c r="A8" s="62" t="s">
        <v>31</v>
      </c>
      <c r="B8" s="62" t="s">
        <v>57</v>
      </c>
      <c r="C8" s="62" t="s">
        <v>200</v>
      </c>
      <c r="D8" s="62"/>
      <c r="E8" s="62">
        <f t="shared" si="2"/>
        <v>16</v>
      </c>
      <c r="F8" s="128">
        <v>76</v>
      </c>
      <c r="G8" s="129">
        <v>0.73721990493743295</v>
      </c>
      <c r="H8" s="129">
        <v>0.58945195098176695</v>
      </c>
      <c r="I8" s="129">
        <v>0.92168791714256204</v>
      </c>
      <c r="J8" s="129"/>
      <c r="K8" s="129"/>
      <c r="L8" s="129"/>
      <c r="M8" s="60">
        <f t="shared" si="0"/>
        <v>5</v>
      </c>
      <c r="N8" s="61">
        <f t="shared" si="3"/>
        <v>0.10103277952402299</v>
      </c>
      <c r="O8" s="61">
        <f t="shared" ref="O8:O31" si="16">VLOOKUP(7,$E$5:$G$39,3,FALSE)</f>
        <v>0.41883304448295799</v>
      </c>
      <c r="P8" s="129">
        <f t="shared" si="4"/>
        <v>0.60064354665713304</v>
      </c>
      <c r="Q8" s="129">
        <f t="shared" si="5"/>
        <v>0.57037235380134399</v>
      </c>
      <c r="R8" s="129">
        <f t="shared" si="6"/>
        <v>0.63251109297920904</v>
      </c>
      <c r="S8" s="61">
        <f t="shared" si="7"/>
        <v>0.790447359569458</v>
      </c>
      <c r="T8" s="61">
        <f t="shared" si="1"/>
        <v>0.94741828517290405</v>
      </c>
      <c r="U8" s="61">
        <f t="shared" ref="U8:U31" si="17">VLOOKUP(C8,$C$43:$I$46,5,FALSE)</f>
        <v>0.6842060061263634</v>
      </c>
      <c r="V8" s="61"/>
      <c r="Y8" s="159" t="s">
        <v>41</v>
      </c>
      <c r="Z8" s="159" t="s">
        <v>64</v>
      </c>
      <c r="AA8" s="159" t="s">
        <v>163</v>
      </c>
      <c r="AB8" s="159">
        <f t="shared" si="8"/>
        <v>6</v>
      </c>
      <c r="AC8" s="164">
        <f t="shared" ref="AC8:AC13" si="18">MIN($AH$6:$AH$13)</f>
        <v>0.65581184984170104</v>
      </c>
      <c r="AD8" s="164">
        <f>MAX($AH$6:$AH$13)</f>
        <v>0.94236248082401897</v>
      </c>
      <c r="AE8" s="159"/>
      <c r="AF8" s="159">
        <f t="shared" si="10"/>
        <v>23</v>
      </c>
      <c r="AG8" s="160">
        <f t="shared" si="11"/>
        <v>74</v>
      </c>
      <c r="AH8" s="161">
        <f t="shared" si="12"/>
        <v>0.84100465962041104</v>
      </c>
      <c r="AI8" s="161">
        <f t="shared" si="13"/>
        <v>0.67048825395686595</v>
      </c>
      <c r="AJ8" s="161">
        <f t="shared" si="14"/>
        <v>1.0544259062151899</v>
      </c>
      <c r="AK8" s="160">
        <f t="shared" si="15"/>
        <v>1</v>
      </c>
    </row>
    <row r="9" spans="1:37" x14ac:dyDescent="0.2">
      <c r="A9" s="62" t="s">
        <v>32</v>
      </c>
      <c r="B9" s="62" t="s">
        <v>156</v>
      </c>
      <c r="C9" s="62" t="s">
        <v>201</v>
      </c>
      <c r="D9" s="62"/>
      <c r="E9" s="62">
        <f t="shared" si="2"/>
        <v>7</v>
      </c>
      <c r="F9" s="128">
        <v>58</v>
      </c>
      <c r="G9" s="129">
        <v>0.41883304448295799</v>
      </c>
      <c r="H9" s="129">
        <v>0.324159451142076</v>
      </c>
      <c r="I9" s="129">
        <v>0.54100680979849003</v>
      </c>
      <c r="J9" s="129"/>
      <c r="K9" s="129"/>
      <c r="L9" s="129"/>
      <c r="M9" s="60">
        <f t="shared" si="0"/>
        <v>2</v>
      </c>
      <c r="N9" s="61">
        <f t="shared" si="3"/>
        <v>0.10103277952402299</v>
      </c>
      <c r="O9" s="61">
        <f t="shared" si="16"/>
        <v>0.41883304448295799</v>
      </c>
      <c r="P9" s="129">
        <f t="shared" si="4"/>
        <v>0.60064354665713304</v>
      </c>
      <c r="Q9" s="129">
        <f t="shared" si="5"/>
        <v>0.57037235380134399</v>
      </c>
      <c r="R9" s="129">
        <f t="shared" si="6"/>
        <v>0.63251109297920904</v>
      </c>
      <c r="S9" s="61">
        <f t="shared" si="7"/>
        <v>0.790447359569458</v>
      </c>
      <c r="T9" s="61">
        <f t="shared" si="1"/>
        <v>0.94741828517290405</v>
      </c>
      <c r="U9" s="61">
        <f t="shared" si="17"/>
        <v>0.36439006452044259</v>
      </c>
      <c r="V9" s="61"/>
      <c r="X9" s="63"/>
      <c r="Y9" s="159" t="s">
        <v>45</v>
      </c>
      <c r="Z9" s="159" t="s">
        <v>67</v>
      </c>
      <c r="AA9" s="159" t="s">
        <v>163</v>
      </c>
      <c r="AB9" s="159">
        <f t="shared" si="8"/>
        <v>3</v>
      </c>
      <c r="AC9" s="164">
        <f t="shared" si="18"/>
        <v>0.65581184984170104</v>
      </c>
      <c r="AD9" s="164">
        <f t="shared" si="9"/>
        <v>0.94236248082401897</v>
      </c>
      <c r="AE9" s="159"/>
      <c r="AF9" s="159">
        <f t="shared" si="10"/>
        <v>17</v>
      </c>
      <c r="AG9" s="160">
        <f t="shared" si="11"/>
        <v>54</v>
      </c>
      <c r="AH9" s="161">
        <f t="shared" si="12"/>
        <v>0.76077768385460698</v>
      </c>
      <c r="AI9" s="161">
        <f t="shared" si="13"/>
        <v>0.58357953472587798</v>
      </c>
      <c r="AJ9" s="161">
        <f t="shared" si="14"/>
        <v>0.99124383283583695</v>
      </c>
      <c r="AK9" s="160">
        <f t="shared" si="15"/>
        <v>5</v>
      </c>
    </row>
    <row r="10" spans="1:37" x14ac:dyDescent="0.2">
      <c r="A10" s="62" t="s">
        <v>33</v>
      </c>
      <c r="B10" s="62" t="s">
        <v>58</v>
      </c>
      <c r="C10" s="62" t="s">
        <v>163</v>
      </c>
      <c r="D10" s="62"/>
      <c r="E10" s="62">
        <f t="shared" si="2"/>
        <v>15</v>
      </c>
      <c r="F10" s="128">
        <v>68</v>
      </c>
      <c r="G10" s="129">
        <v>0.70153719178788798</v>
      </c>
      <c r="H10" s="129">
        <v>0.55380008497407496</v>
      </c>
      <c r="I10" s="129">
        <v>0.88833403070219896</v>
      </c>
      <c r="J10" s="129"/>
      <c r="K10" s="129"/>
      <c r="L10" s="129"/>
      <c r="M10" s="60">
        <f t="shared" si="0"/>
        <v>5</v>
      </c>
      <c r="N10" s="61">
        <f t="shared" si="3"/>
        <v>0.10103277952402299</v>
      </c>
      <c r="O10" s="61">
        <f t="shared" si="16"/>
        <v>0.41883304448295799</v>
      </c>
      <c r="P10" s="129">
        <f t="shared" si="4"/>
        <v>0.60064354665713304</v>
      </c>
      <c r="Q10" s="129">
        <f t="shared" si="5"/>
        <v>0.57037235380134399</v>
      </c>
      <c r="R10" s="129">
        <f t="shared" si="6"/>
        <v>0.63251109297920904</v>
      </c>
      <c r="S10" s="61">
        <f t="shared" si="7"/>
        <v>0.790447359569458</v>
      </c>
      <c r="T10" s="61">
        <f t="shared" si="1"/>
        <v>0.94741828517290405</v>
      </c>
      <c r="U10" s="61">
        <f t="shared" si="17"/>
        <v>0.79724610974610965</v>
      </c>
      <c r="V10" s="61"/>
      <c r="Y10" s="159" t="s">
        <v>46</v>
      </c>
      <c r="Z10" s="159" t="s">
        <v>68</v>
      </c>
      <c r="AA10" s="159" t="s">
        <v>163</v>
      </c>
      <c r="AB10" s="159">
        <f t="shared" si="8"/>
        <v>8</v>
      </c>
      <c r="AC10" s="164">
        <f t="shared" si="18"/>
        <v>0.65581184984170104</v>
      </c>
      <c r="AD10" s="164">
        <f t="shared" si="9"/>
        <v>0.94236248082401897</v>
      </c>
      <c r="AE10" s="159"/>
      <c r="AF10" s="159">
        <f t="shared" si="10"/>
        <v>25</v>
      </c>
      <c r="AG10" s="160">
        <f t="shared" si="11"/>
        <v>86</v>
      </c>
      <c r="AH10" s="161">
        <f t="shared" si="12"/>
        <v>0.94236248082401897</v>
      </c>
      <c r="AI10" s="161">
        <f t="shared" si="13"/>
        <v>0.76374747933721499</v>
      </c>
      <c r="AJ10" s="161">
        <f t="shared" si="14"/>
        <v>1.1622603228114901</v>
      </c>
      <c r="AK10" s="160">
        <f t="shared" si="15"/>
        <v>1</v>
      </c>
    </row>
    <row r="11" spans="1:37" x14ac:dyDescent="0.2">
      <c r="A11" s="62" t="s">
        <v>34</v>
      </c>
      <c r="B11" s="62" t="s">
        <v>59</v>
      </c>
      <c r="C11" s="62" t="s">
        <v>200</v>
      </c>
      <c r="D11" s="62"/>
      <c r="E11" s="62">
        <f t="shared" si="2"/>
        <v>12</v>
      </c>
      <c r="F11" s="128">
        <v>81</v>
      </c>
      <c r="G11" s="129">
        <v>0.67052980132450302</v>
      </c>
      <c r="H11" s="129">
        <v>0.53985879113245805</v>
      </c>
      <c r="I11" s="129">
        <v>0.83256453456118495</v>
      </c>
      <c r="J11" s="129"/>
      <c r="K11" s="129"/>
      <c r="L11" s="129"/>
      <c r="M11" s="60">
        <f t="shared" si="0"/>
        <v>5</v>
      </c>
      <c r="N11" s="61">
        <f t="shared" si="3"/>
        <v>0.10103277952402299</v>
      </c>
      <c r="O11" s="61">
        <f t="shared" si="16"/>
        <v>0.41883304448295799</v>
      </c>
      <c r="P11" s="129">
        <f t="shared" si="4"/>
        <v>0.60064354665713304</v>
      </c>
      <c r="Q11" s="129">
        <f t="shared" si="5"/>
        <v>0.57037235380134399</v>
      </c>
      <c r="R11" s="129">
        <f t="shared" si="6"/>
        <v>0.63251109297920904</v>
      </c>
      <c r="S11" s="61">
        <f t="shared" si="7"/>
        <v>0.790447359569458</v>
      </c>
      <c r="T11" s="61">
        <f t="shared" si="1"/>
        <v>0.94741828517290405</v>
      </c>
      <c r="U11" s="61">
        <f t="shared" si="17"/>
        <v>0.6842060061263634</v>
      </c>
      <c r="V11" s="61"/>
      <c r="Y11" s="159" t="s">
        <v>47</v>
      </c>
      <c r="Z11" s="159" t="s">
        <v>69</v>
      </c>
      <c r="AA11" s="159" t="s">
        <v>163</v>
      </c>
      <c r="AB11" s="159">
        <f t="shared" si="8"/>
        <v>1</v>
      </c>
      <c r="AC11" s="164">
        <f t="shared" si="18"/>
        <v>0.65581184984170104</v>
      </c>
      <c r="AD11" s="164">
        <f t="shared" si="9"/>
        <v>0.94236248082401897</v>
      </c>
      <c r="AE11" s="159"/>
      <c r="AF11" s="159">
        <f t="shared" si="10"/>
        <v>11</v>
      </c>
      <c r="AG11" s="160">
        <f t="shared" si="11"/>
        <v>29</v>
      </c>
      <c r="AH11" s="161">
        <f t="shared" si="12"/>
        <v>0.65581184984170104</v>
      </c>
      <c r="AI11" s="161">
        <f t="shared" si="13"/>
        <v>0.45701508245883699</v>
      </c>
      <c r="AJ11" s="161">
        <f t="shared" si="14"/>
        <v>0.94026630224698404</v>
      </c>
      <c r="AK11" s="160">
        <f t="shared" si="15"/>
        <v>5</v>
      </c>
    </row>
    <row r="12" spans="1:37" x14ac:dyDescent="0.2">
      <c r="A12" s="62" t="s">
        <v>35</v>
      </c>
      <c r="B12" s="62" t="s">
        <v>60</v>
      </c>
      <c r="C12" s="62" t="s">
        <v>163</v>
      </c>
      <c r="D12" s="62"/>
      <c r="E12" s="62">
        <f t="shared" si="2"/>
        <v>24</v>
      </c>
      <c r="F12" s="128">
        <v>99</v>
      </c>
      <c r="G12" s="129">
        <v>0.84492617564222905</v>
      </c>
      <c r="H12" s="129">
        <v>0.69455026885121895</v>
      </c>
      <c r="I12" s="129">
        <v>1.02752283937938</v>
      </c>
      <c r="J12" s="129"/>
      <c r="K12" s="129"/>
      <c r="L12" s="129"/>
      <c r="M12" s="60">
        <f t="shared" si="0"/>
        <v>1</v>
      </c>
      <c r="N12" s="61">
        <f t="shared" si="3"/>
        <v>0.10103277952402299</v>
      </c>
      <c r="O12" s="61">
        <f t="shared" si="16"/>
        <v>0.41883304448295799</v>
      </c>
      <c r="P12" s="129">
        <f t="shared" si="4"/>
        <v>0.60064354665713304</v>
      </c>
      <c r="Q12" s="129">
        <f t="shared" si="5"/>
        <v>0.57037235380134399</v>
      </c>
      <c r="R12" s="129">
        <f t="shared" si="6"/>
        <v>0.63251109297920904</v>
      </c>
      <c r="S12" s="61">
        <f t="shared" si="7"/>
        <v>0.790447359569458</v>
      </c>
      <c r="T12" s="61">
        <f t="shared" si="1"/>
        <v>0.94741828517290405</v>
      </c>
      <c r="U12" s="61">
        <f t="shared" si="17"/>
        <v>0.79724610974610965</v>
      </c>
      <c r="V12" s="61"/>
      <c r="Y12" s="159" t="s">
        <v>50</v>
      </c>
      <c r="Z12" s="159" t="s">
        <v>161</v>
      </c>
      <c r="AA12" s="159" t="s">
        <v>163</v>
      </c>
      <c r="AB12" s="159">
        <f t="shared" si="8"/>
        <v>5</v>
      </c>
      <c r="AC12" s="164">
        <f t="shared" si="18"/>
        <v>0.65581184984170104</v>
      </c>
      <c r="AD12" s="164">
        <f t="shared" si="9"/>
        <v>0.94236248082401897</v>
      </c>
      <c r="AE12" s="159"/>
      <c r="AF12" s="159">
        <f t="shared" si="10"/>
        <v>21</v>
      </c>
      <c r="AG12" s="160">
        <f t="shared" si="11"/>
        <v>37</v>
      </c>
      <c r="AH12" s="161">
        <f t="shared" si="12"/>
        <v>0.81265099934109397</v>
      </c>
      <c r="AI12" s="161">
        <f t="shared" si="13"/>
        <v>0.59016587130377895</v>
      </c>
      <c r="AJ12" s="161">
        <f t="shared" si="14"/>
        <v>1.1180668930820901</v>
      </c>
      <c r="AK12" s="160">
        <f t="shared" si="15"/>
        <v>5</v>
      </c>
    </row>
    <row r="13" spans="1:37" x14ac:dyDescent="0.2">
      <c r="A13" s="62" t="s">
        <v>36</v>
      </c>
      <c r="B13" s="62" t="s">
        <v>61</v>
      </c>
      <c r="C13" s="62" t="s">
        <v>201</v>
      </c>
      <c r="D13" s="62"/>
      <c r="E13" s="62">
        <f t="shared" si="2"/>
        <v>1</v>
      </c>
      <c r="F13" s="128">
        <v>18</v>
      </c>
      <c r="G13" s="129">
        <v>0.10103277952402299</v>
      </c>
      <c r="H13" s="129">
        <v>6.3920063214295206E-2</v>
      </c>
      <c r="I13" s="129">
        <v>0.159659135920346</v>
      </c>
      <c r="J13" s="129"/>
      <c r="K13" s="129"/>
      <c r="L13" s="129"/>
      <c r="M13" s="60">
        <f t="shared" si="0"/>
        <v>2</v>
      </c>
      <c r="N13" s="61">
        <f t="shared" si="3"/>
        <v>0.10103277952402299</v>
      </c>
      <c r="O13" s="61">
        <f t="shared" si="16"/>
        <v>0.41883304448295799</v>
      </c>
      <c r="P13" s="129">
        <f t="shared" si="4"/>
        <v>0.60064354665713304</v>
      </c>
      <c r="Q13" s="129">
        <f t="shared" si="5"/>
        <v>0.57037235380134399</v>
      </c>
      <c r="R13" s="129">
        <f t="shared" si="6"/>
        <v>0.63251109297920904</v>
      </c>
      <c r="S13" s="61">
        <f t="shared" si="7"/>
        <v>0.790447359569458</v>
      </c>
      <c r="T13" s="61">
        <f t="shared" si="1"/>
        <v>0.94741828517290405</v>
      </c>
      <c r="U13" s="61">
        <f t="shared" si="17"/>
        <v>0.36439006452044259</v>
      </c>
      <c r="V13" s="61"/>
      <c r="Y13" s="159" t="s">
        <v>53</v>
      </c>
      <c r="Z13" s="159" t="s">
        <v>162</v>
      </c>
      <c r="AA13" s="159" t="s">
        <v>163</v>
      </c>
      <c r="AB13" s="159">
        <f>RANK(AH13,$AH$6:$AH$13,1)</f>
        <v>4</v>
      </c>
      <c r="AC13" s="164">
        <f t="shared" si="18"/>
        <v>0.65581184984170104</v>
      </c>
      <c r="AD13" s="164">
        <f t="shared" si="9"/>
        <v>0.94236248082401897</v>
      </c>
      <c r="AE13" s="159"/>
      <c r="AF13" s="159">
        <f t="shared" si="10"/>
        <v>18</v>
      </c>
      <c r="AG13" s="160">
        <f t="shared" si="11"/>
        <v>176</v>
      </c>
      <c r="AH13" s="161">
        <f t="shared" si="12"/>
        <v>0.77410274454609396</v>
      </c>
      <c r="AI13" s="161">
        <f t="shared" si="13"/>
        <v>0.66820424215178598</v>
      </c>
      <c r="AJ13" s="161">
        <f t="shared" si="14"/>
        <v>0.89663278393339196</v>
      </c>
      <c r="AK13" s="160">
        <f t="shared" si="15"/>
        <v>1</v>
      </c>
    </row>
    <row r="14" spans="1:37" x14ac:dyDescent="0.2">
      <c r="A14" s="62" t="s">
        <v>37</v>
      </c>
      <c r="B14" s="62" t="s">
        <v>157</v>
      </c>
      <c r="C14" s="62" t="s">
        <v>201</v>
      </c>
      <c r="D14" s="62"/>
      <c r="E14" s="62">
        <f t="shared" si="2"/>
        <v>3</v>
      </c>
      <c r="F14" s="128">
        <v>57</v>
      </c>
      <c r="G14" s="129">
        <v>0.27092542421217702</v>
      </c>
      <c r="H14" s="129">
        <v>0.20918791322606101</v>
      </c>
      <c r="I14" s="129">
        <v>0.35081943678558702</v>
      </c>
      <c r="J14" s="129"/>
      <c r="K14" s="129"/>
      <c r="L14" s="129"/>
      <c r="M14" s="60">
        <f t="shared" si="0"/>
        <v>2</v>
      </c>
      <c r="N14" s="61">
        <f t="shared" si="3"/>
        <v>0.10103277952402299</v>
      </c>
      <c r="O14" s="61">
        <f t="shared" si="16"/>
        <v>0.41883304448295799</v>
      </c>
      <c r="P14" s="129">
        <f t="shared" si="4"/>
        <v>0.60064354665713304</v>
      </c>
      <c r="Q14" s="129">
        <f t="shared" si="5"/>
        <v>0.57037235380134399</v>
      </c>
      <c r="R14" s="129">
        <f t="shared" si="6"/>
        <v>0.63251109297920904</v>
      </c>
      <c r="S14" s="61">
        <f t="shared" si="7"/>
        <v>0.790447359569458</v>
      </c>
      <c r="T14" s="61">
        <f t="shared" si="1"/>
        <v>0.94741828517290405</v>
      </c>
      <c r="U14" s="61">
        <f t="shared" si="17"/>
        <v>0.36439006452044259</v>
      </c>
      <c r="V14" s="61"/>
      <c r="Y14" s="162" t="s">
        <v>29</v>
      </c>
      <c r="Z14" s="162" t="s">
        <v>55</v>
      </c>
      <c r="AA14" s="162" t="s">
        <v>201</v>
      </c>
      <c r="AB14" s="162">
        <f>RANK(AH14,$AH$14:$AH$22,1)</f>
        <v>5</v>
      </c>
      <c r="AC14" s="165">
        <f t="shared" ref="AC14:AC22" si="19">MIN($AH$14:$AH$22)</f>
        <v>0.10103277952402299</v>
      </c>
      <c r="AD14" s="165">
        <f>MAX($AH$14:$AH$22)</f>
        <v>0.790447359569458</v>
      </c>
      <c r="AE14" s="162"/>
      <c r="AF14" s="162">
        <f t="shared" si="10"/>
        <v>6</v>
      </c>
      <c r="AG14" s="167">
        <f t="shared" si="11"/>
        <v>30</v>
      </c>
      <c r="AH14" s="165">
        <f t="shared" si="12"/>
        <v>0.38714672861014299</v>
      </c>
      <c r="AI14" s="165">
        <f t="shared" si="13"/>
        <v>0.27132716617567898</v>
      </c>
      <c r="AJ14" s="165">
        <f t="shared" si="14"/>
        <v>0.55213167997497103</v>
      </c>
      <c r="AK14" s="167">
        <f t="shared" si="15"/>
        <v>2</v>
      </c>
    </row>
    <row r="15" spans="1:37" x14ac:dyDescent="0.2">
      <c r="A15" s="62" t="s">
        <v>38</v>
      </c>
      <c r="B15" s="62" t="s">
        <v>62</v>
      </c>
      <c r="C15" s="62" t="s">
        <v>201</v>
      </c>
      <c r="D15" s="62"/>
      <c r="E15" s="62">
        <f t="shared" si="2"/>
        <v>20</v>
      </c>
      <c r="F15" s="128">
        <v>47</v>
      </c>
      <c r="G15" s="129">
        <v>0.790447359569458</v>
      </c>
      <c r="H15" s="129">
        <v>0.59497352529367997</v>
      </c>
      <c r="I15" s="129">
        <v>1.0494645576008399</v>
      </c>
      <c r="J15" s="129"/>
      <c r="K15" s="129"/>
      <c r="L15" s="129"/>
      <c r="M15" s="60">
        <f t="shared" si="0"/>
        <v>5</v>
      </c>
      <c r="N15" s="61">
        <f t="shared" si="3"/>
        <v>0.10103277952402299</v>
      </c>
      <c r="O15" s="61">
        <f t="shared" si="16"/>
        <v>0.41883304448295799</v>
      </c>
      <c r="P15" s="129">
        <f t="shared" si="4"/>
        <v>0.60064354665713304</v>
      </c>
      <c r="Q15" s="129">
        <f t="shared" si="5"/>
        <v>0.57037235380134399</v>
      </c>
      <c r="R15" s="129">
        <f t="shared" si="6"/>
        <v>0.63251109297920904</v>
      </c>
      <c r="S15" s="61">
        <f t="shared" si="7"/>
        <v>0.790447359569458</v>
      </c>
      <c r="T15" s="61">
        <f t="shared" si="1"/>
        <v>0.94741828517290405</v>
      </c>
      <c r="U15" s="61">
        <f t="shared" si="17"/>
        <v>0.36439006452044259</v>
      </c>
      <c r="V15" s="61"/>
      <c r="Y15" s="162" t="s">
        <v>32</v>
      </c>
      <c r="Z15" s="162" t="s">
        <v>156</v>
      </c>
      <c r="AA15" s="162" t="s">
        <v>201</v>
      </c>
      <c r="AB15" s="162">
        <f>RANK(AH15,$AH$14:$AH$22,1)</f>
        <v>6</v>
      </c>
      <c r="AC15" s="165">
        <f t="shared" si="19"/>
        <v>0.10103277952402299</v>
      </c>
      <c r="AD15" s="165">
        <f t="shared" ref="AD15:AD22" si="20">MAX($AH$14:$AH$22)</f>
        <v>0.790447359569458</v>
      </c>
      <c r="AE15" s="162"/>
      <c r="AF15" s="162">
        <f t="shared" si="10"/>
        <v>7</v>
      </c>
      <c r="AG15" s="167">
        <f t="shared" si="11"/>
        <v>58</v>
      </c>
      <c r="AH15" s="165">
        <f t="shared" si="12"/>
        <v>0.41883304448295799</v>
      </c>
      <c r="AI15" s="165">
        <f t="shared" si="13"/>
        <v>0.324159451142076</v>
      </c>
      <c r="AJ15" s="165">
        <f t="shared" si="14"/>
        <v>0.54100680979849003</v>
      </c>
      <c r="AK15" s="167">
        <f t="shared" si="15"/>
        <v>2</v>
      </c>
    </row>
    <row r="16" spans="1:37" x14ac:dyDescent="0.2">
      <c r="A16" s="62" t="s">
        <v>39</v>
      </c>
      <c r="B16" s="62" t="s">
        <v>158</v>
      </c>
      <c r="C16" s="62" t="s">
        <v>200</v>
      </c>
      <c r="D16" s="62"/>
      <c r="E16" s="62">
        <f t="shared" si="2"/>
        <v>9</v>
      </c>
      <c r="F16" s="128">
        <v>71</v>
      </c>
      <c r="G16" s="129">
        <v>0.57982850142915499</v>
      </c>
      <c r="H16" s="129">
        <v>0.45997891915191502</v>
      </c>
      <c r="I16" s="129">
        <v>0.73067620779211195</v>
      </c>
      <c r="J16" s="129"/>
      <c r="K16" s="129"/>
      <c r="L16" s="129"/>
      <c r="M16" s="60">
        <f t="shared" si="0"/>
        <v>5</v>
      </c>
      <c r="N16" s="61">
        <f t="shared" si="3"/>
        <v>0.10103277952402299</v>
      </c>
      <c r="O16" s="61">
        <f t="shared" si="16"/>
        <v>0.41883304448295799</v>
      </c>
      <c r="P16" s="129">
        <f t="shared" si="4"/>
        <v>0.60064354665713304</v>
      </c>
      <c r="Q16" s="129">
        <f t="shared" si="5"/>
        <v>0.57037235380134399</v>
      </c>
      <c r="R16" s="129">
        <f t="shared" si="6"/>
        <v>0.63251109297920904</v>
      </c>
      <c r="S16" s="61">
        <f t="shared" si="7"/>
        <v>0.790447359569458</v>
      </c>
      <c r="T16" s="61">
        <f t="shared" si="1"/>
        <v>0.94741828517290405</v>
      </c>
      <c r="U16" s="61">
        <f t="shared" si="17"/>
        <v>0.6842060061263634</v>
      </c>
      <c r="V16" s="61"/>
      <c r="Y16" s="162" t="s">
        <v>36</v>
      </c>
      <c r="Z16" s="162" t="s">
        <v>61</v>
      </c>
      <c r="AA16" s="162" t="s">
        <v>201</v>
      </c>
      <c r="AB16" s="162">
        <f>RANK(AH16,$AH$14:$AH$22,1)</f>
        <v>1</v>
      </c>
      <c r="AC16" s="165">
        <f t="shared" si="19"/>
        <v>0.10103277952402299</v>
      </c>
      <c r="AD16" s="165">
        <f t="shared" si="20"/>
        <v>0.790447359569458</v>
      </c>
      <c r="AE16" s="162"/>
      <c r="AF16" s="162">
        <f t="shared" si="10"/>
        <v>1</v>
      </c>
      <c r="AG16" s="167">
        <f t="shared" si="11"/>
        <v>18</v>
      </c>
      <c r="AH16" s="165">
        <f t="shared" si="12"/>
        <v>0.10103277952402299</v>
      </c>
      <c r="AI16" s="165">
        <f t="shared" si="13"/>
        <v>6.3920063214295206E-2</v>
      </c>
      <c r="AJ16" s="165">
        <f t="shared" si="14"/>
        <v>0.159659135920346</v>
      </c>
      <c r="AK16" s="167">
        <f t="shared" si="15"/>
        <v>2</v>
      </c>
    </row>
    <row r="17" spans="1:37" x14ac:dyDescent="0.2">
      <c r="A17" s="62" t="s">
        <v>40</v>
      </c>
      <c r="B17" s="62" t="s">
        <v>63</v>
      </c>
      <c r="C17" s="62" t="s">
        <v>200</v>
      </c>
      <c r="D17" s="62"/>
      <c r="E17" s="62">
        <f t="shared" si="2"/>
        <v>14</v>
      </c>
      <c r="F17" s="128">
        <v>45</v>
      </c>
      <c r="G17" s="129">
        <v>0.69767441860465096</v>
      </c>
      <c r="H17" s="129">
        <v>0.52184107545498204</v>
      </c>
      <c r="I17" s="129">
        <v>0.93219927275403203</v>
      </c>
      <c r="J17" s="129"/>
      <c r="K17" s="129"/>
      <c r="L17" s="129"/>
      <c r="M17" s="60">
        <f t="shared" si="0"/>
        <v>5</v>
      </c>
      <c r="N17" s="61">
        <f t="shared" si="3"/>
        <v>0.10103277952402299</v>
      </c>
      <c r="O17" s="61">
        <f t="shared" si="16"/>
        <v>0.41883304448295799</v>
      </c>
      <c r="P17" s="129">
        <f t="shared" si="4"/>
        <v>0.60064354665713304</v>
      </c>
      <c r="Q17" s="129">
        <f t="shared" si="5"/>
        <v>0.57037235380134399</v>
      </c>
      <c r="R17" s="129">
        <f t="shared" si="6"/>
        <v>0.63251109297920904</v>
      </c>
      <c r="S17" s="61">
        <f t="shared" si="7"/>
        <v>0.790447359569458</v>
      </c>
      <c r="T17" s="61">
        <f t="shared" si="1"/>
        <v>0.94741828517290405</v>
      </c>
      <c r="U17" s="61">
        <f t="shared" si="17"/>
        <v>0.6842060061263634</v>
      </c>
      <c r="V17" s="61"/>
      <c r="Y17" s="162" t="s">
        <v>37</v>
      </c>
      <c r="Z17" s="162" t="s">
        <v>157</v>
      </c>
      <c r="AA17" s="162" t="s">
        <v>201</v>
      </c>
      <c r="AB17" s="162">
        <f t="shared" ref="AB17:AB22" si="21">RANK(AH17,$AH$14:$AH$22,1)</f>
        <v>2</v>
      </c>
      <c r="AC17" s="165">
        <f t="shared" si="19"/>
        <v>0.10103277952402299</v>
      </c>
      <c r="AD17" s="165">
        <f>MAX($AH$14:$AH$22)</f>
        <v>0.790447359569458</v>
      </c>
      <c r="AE17" s="162"/>
      <c r="AF17" s="162">
        <f t="shared" si="10"/>
        <v>3</v>
      </c>
      <c r="AG17" s="167">
        <f t="shared" si="11"/>
        <v>57</v>
      </c>
      <c r="AH17" s="165">
        <f t="shared" si="12"/>
        <v>0.27092542421217702</v>
      </c>
      <c r="AI17" s="165">
        <f t="shared" si="13"/>
        <v>0.20918791322606101</v>
      </c>
      <c r="AJ17" s="165">
        <f t="shared" si="14"/>
        <v>0.35081943678558702</v>
      </c>
      <c r="AK17" s="167">
        <f t="shared" si="15"/>
        <v>2</v>
      </c>
    </row>
    <row r="18" spans="1:37" x14ac:dyDescent="0.2">
      <c r="A18" s="62" t="s">
        <v>41</v>
      </c>
      <c r="B18" s="62" t="s">
        <v>64</v>
      </c>
      <c r="C18" s="62" t="s">
        <v>163</v>
      </c>
      <c r="D18" s="62"/>
      <c r="E18" s="62">
        <f t="shared" si="2"/>
        <v>23</v>
      </c>
      <c r="F18" s="128">
        <v>74</v>
      </c>
      <c r="G18" s="129">
        <v>0.84100465962041104</v>
      </c>
      <c r="H18" s="129">
        <v>0.67048825395686595</v>
      </c>
      <c r="I18" s="129">
        <v>1.0544259062151899</v>
      </c>
      <c r="J18" s="129"/>
      <c r="K18" s="129"/>
      <c r="L18" s="129"/>
      <c r="M18" s="60">
        <f t="shared" si="0"/>
        <v>1</v>
      </c>
      <c r="N18" s="61">
        <f t="shared" si="3"/>
        <v>0.10103277952402299</v>
      </c>
      <c r="O18" s="61">
        <f t="shared" si="16"/>
        <v>0.41883304448295799</v>
      </c>
      <c r="P18" s="129">
        <f t="shared" si="4"/>
        <v>0.60064354665713304</v>
      </c>
      <c r="Q18" s="129">
        <f t="shared" si="5"/>
        <v>0.57037235380134399</v>
      </c>
      <c r="R18" s="129">
        <f t="shared" si="6"/>
        <v>0.63251109297920904</v>
      </c>
      <c r="S18" s="61">
        <f t="shared" si="7"/>
        <v>0.790447359569458</v>
      </c>
      <c r="T18" s="61">
        <f t="shared" si="1"/>
        <v>0.94741828517290405</v>
      </c>
      <c r="U18" s="61">
        <f t="shared" si="17"/>
        <v>0.79724610974610965</v>
      </c>
      <c r="V18" s="61"/>
      <c r="Y18" s="162" t="s">
        <v>38</v>
      </c>
      <c r="Z18" s="162" t="s">
        <v>62</v>
      </c>
      <c r="AA18" s="162" t="s">
        <v>201</v>
      </c>
      <c r="AB18" s="162">
        <f t="shared" si="21"/>
        <v>9</v>
      </c>
      <c r="AC18" s="165">
        <f t="shared" si="19"/>
        <v>0.10103277952402299</v>
      </c>
      <c r="AD18" s="165">
        <f t="shared" si="20"/>
        <v>0.790447359569458</v>
      </c>
      <c r="AE18" s="162"/>
      <c r="AF18" s="162">
        <f t="shared" si="10"/>
        <v>20</v>
      </c>
      <c r="AG18" s="167">
        <f t="shared" si="11"/>
        <v>47</v>
      </c>
      <c r="AH18" s="165">
        <f t="shared" si="12"/>
        <v>0.790447359569458</v>
      </c>
      <c r="AI18" s="165">
        <f t="shared" si="13"/>
        <v>0.59497352529367997</v>
      </c>
      <c r="AJ18" s="165">
        <f t="shared" si="14"/>
        <v>1.0494645576008399</v>
      </c>
      <c r="AK18" s="167">
        <f t="shared" si="15"/>
        <v>5</v>
      </c>
    </row>
    <row r="19" spans="1:37" x14ac:dyDescent="0.2">
      <c r="A19" s="62" t="s">
        <v>42</v>
      </c>
      <c r="B19" s="62" t="s">
        <v>65</v>
      </c>
      <c r="C19" s="62" t="s">
        <v>200</v>
      </c>
      <c r="D19" s="62"/>
      <c r="E19" s="62">
        <f t="shared" si="2"/>
        <v>2</v>
      </c>
      <c r="F19" s="128">
        <v>10</v>
      </c>
      <c r="G19" s="129">
        <v>0.236350744504845</v>
      </c>
      <c r="H19" s="129">
        <v>0.128434231597779</v>
      </c>
      <c r="I19" s="129">
        <v>0.434549272094787</v>
      </c>
      <c r="J19" s="129"/>
      <c r="K19" s="129"/>
      <c r="L19" s="129"/>
      <c r="M19" s="60">
        <f t="shared" si="0"/>
        <v>2</v>
      </c>
      <c r="N19" s="61">
        <f t="shared" si="3"/>
        <v>0.10103277952402299</v>
      </c>
      <c r="O19" s="61">
        <f t="shared" si="16"/>
        <v>0.41883304448295799</v>
      </c>
      <c r="P19" s="129">
        <f t="shared" si="4"/>
        <v>0.60064354665713304</v>
      </c>
      <c r="Q19" s="129">
        <f t="shared" si="5"/>
        <v>0.57037235380134399</v>
      </c>
      <c r="R19" s="129">
        <f t="shared" si="6"/>
        <v>0.63251109297920904</v>
      </c>
      <c r="S19" s="61">
        <f t="shared" si="7"/>
        <v>0.790447359569458</v>
      </c>
      <c r="T19" s="61">
        <f t="shared" si="1"/>
        <v>0.94741828517290405</v>
      </c>
      <c r="U19" s="61">
        <f t="shared" si="17"/>
        <v>0.6842060061263634</v>
      </c>
      <c r="V19" s="61"/>
      <c r="Y19" s="162" t="s">
        <v>43</v>
      </c>
      <c r="Z19" s="162" t="s">
        <v>159</v>
      </c>
      <c r="AA19" s="162" t="s">
        <v>201</v>
      </c>
      <c r="AB19" s="162">
        <f t="shared" si="21"/>
        <v>8</v>
      </c>
      <c r="AC19" s="165">
        <f t="shared" si="19"/>
        <v>0.10103277952402299</v>
      </c>
      <c r="AD19" s="165">
        <f t="shared" si="20"/>
        <v>0.790447359569458</v>
      </c>
      <c r="AE19" s="162"/>
      <c r="AF19" s="162">
        <f t="shared" si="10"/>
        <v>10</v>
      </c>
      <c r="AG19" s="167">
        <f t="shared" si="11"/>
        <v>50</v>
      </c>
      <c r="AH19" s="165">
        <f t="shared" si="12"/>
        <v>0.61005368472425603</v>
      </c>
      <c r="AI19" s="165">
        <f t="shared" si="13"/>
        <v>0.46307192033559902</v>
      </c>
      <c r="AJ19" s="165">
        <f t="shared" si="14"/>
        <v>0.80331181820595898</v>
      </c>
      <c r="AK19" s="167">
        <f t="shared" si="15"/>
        <v>5</v>
      </c>
    </row>
    <row r="20" spans="1:37" x14ac:dyDescent="0.2">
      <c r="A20" s="62" t="s">
        <v>43</v>
      </c>
      <c r="B20" s="62" t="s">
        <v>159</v>
      </c>
      <c r="C20" s="62" t="s">
        <v>201</v>
      </c>
      <c r="D20" s="62"/>
      <c r="E20" s="62">
        <f t="shared" si="2"/>
        <v>10</v>
      </c>
      <c r="F20" s="128">
        <v>50</v>
      </c>
      <c r="G20" s="129">
        <v>0.61005368472425603</v>
      </c>
      <c r="H20" s="129">
        <v>0.46307192033559902</v>
      </c>
      <c r="I20" s="129">
        <v>0.80331181820595898</v>
      </c>
      <c r="J20" s="129"/>
      <c r="K20" s="129"/>
      <c r="L20" s="129"/>
      <c r="M20" s="60">
        <f t="shared" si="0"/>
        <v>5</v>
      </c>
      <c r="N20" s="61">
        <f t="shared" si="3"/>
        <v>0.10103277952402299</v>
      </c>
      <c r="O20" s="61">
        <f t="shared" si="16"/>
        <v>0.41883304448295799</v>
      </c>
      <c r="P20" s="129">
        <f t="shared" si="4"/>
        <v>0.60064354665713304</v>
      </c>
      <c r="Q20" s="129">
        <f t="shared" si="5"/>
        <v>0.57037235380134399</v>
      </c>
      <c r="R20" s="129">
        <f t="shared" si="6"/>
        <v>0.63251109297920904</v>
      </c>
      <c r="S20" s="61">
        <f t="shared" si="7"/>
        <v>0.790447359569458</v>
      </c>
      <c r="T20" s="61">
        <f t="shared" si="1"/>
        <v>0.94741828517290405</v>
      </c>
      <c r="U20" s="61">
        <f t="shared" si="17"/>
        <v>0.36439006452044259</v>
      </c>
      <c r="V20" s="61"/>
      <c r="Y20" s="162" t="s">
        <v>48</v>
      </c>
      <c r="Z20" s="162" t="s">
        <v>160</v>
      </c>
      <c r="AA20" s="162" t="s">
        <v>201</v>
      </c>
      <c r="AB20" s="162">
        <f t="shared" si="21"/>
        <v>7</v>
      </c>
      <c r="AC20" s="165">
        <f t="shared" si="19"/>
        <v>0.10103277952402299</v>
      </c>
      <c r="AD20" s="165">
        <f t="shared" si="20"/>
        <v>0.790447359569458</v>
      </c>
      <c r="AE20" s="162"/>
      <c r="AF20" s="162">
        <f t="shared" si="10"/>
        <v>8</v>
      </c>
      <c r="AG20" s="167">
        <f t="shared" si="11"/>
        <v>30</v>
      </c>
      <c r="AH20" s="165">
        <f t="shared" si="12"/>
        <v>0.57175528873642101</v>
      </c>
      <c r="AI20" s="165">
        <f t="shared" si="13"/>
        <v>0.40079941572543598</v>
      </c>
      <c r="AJ20" s="165">
        <f t="shared" si="14"/>
        <v>0.81503350022462095</v>
      </c>
      <c r="AK20" s="167">
        <f t="shared" si="15"/>
        <v>5</v>
      </c>
    </row>
    <row r="21" spans="1:37" x14ac:dyDescent="0.2">
      <c r="A21" s="62" t="s">
        <v>44</v>
      </c>
      <c r="B21" s="62" t="s">
        <v>66</v>
      </c>
      <c r="C21" s="62" t="s">
        <v>200</v>
      </c>
      <c r="D21" s="62"/>
      <c r="E21" s="62">
        <f t="shared" si="2"/>
        <v>19</v>
      </c>
      <c r="F21" s="128">
        <v>28</v>
      </c>
      <c r="G21" s="129">
        <v>0.78695896571107404</v>
      </c>
      <c r="H21" s="129">
        <v>0.54503880736167598</v>
      </c>
      <c r="I21" s="129">
        <v>1.13503200748327</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5</v>
      </c>
      <c r="N21" s="61">
        <f t="shared" si="3"/>
        <v>0.10103277952402299</v>
      </c>
      <c r="O21" s="61">
        <f t="shared" si="16"/>
        <v>0.41883304448295799</v>
      </c>
      <c r="P21" s="129">
        <f t="shared" si="4"/>
        <v>0.60064354665713304</v>
      </c>
      <c r="Q21" s="129">
        <f t="shared" si="5"/>
        <v>0.57037235380134399</v>
      </c>
      <c r="R21" s="129">
        <f t="shared" si="6"/>
        <v>0.63251109297920904</v>
      </c>
      <c r="S21" s="61">
        <f t="shared" si="7"/>
        <v>0.790447359569458</v>
      </c>
      <c r="T21" s="61">
        <f t="shared" si="1"/>
        <v>0.94741828517290405</v>
      </c>
      <c r="U21" s="61">
        <f t="shared" si="17"/>
        <v>0.6842060061263634</v>
      </c>
      <c r="V21" s="61"/>
      <c r="Y21" s="162" t="s">
        <v>52</v>
      </c>
      <c r="Z21" s="162" t="s">
        <v>72</v>
      </c>
      <c r="AA21" s="162" t="s">
        <v>201</v>
      </c>
      <c r="AB21" s="162">
        <f t="shared" si="21"/>
        <v>4</v>
      </c>
      <c r="AC21" s="165">
        <f t="shared" si="19"/>
        <v>0.10103277952402299</v>
      </c>
      <c r="AD21" s="165">
        <f t="shared" si="20"/>
        <v>0.790447359569458</v>
      </c>
      <c r="AE21" s="162"/>
      <c r="AF21" s="162">
        <f t="shared" si="10"/>
        <v>5</v>
      </c>
      <c r="AG21" s="167">
        <f t="shared" si="11"/>
        <v>15</v>
      </c>
      <c r="AH21" s="165">
        <f t="shared" si="12"/>
        <v>0.37897928246589202</v>
      </c>
      <c r="AI21" s="165">
        <f t="shared" si="13"/>
        <v>0.22980593773921801</v>
      </c>
      <c r="AJ21" s="165">
        <f t="shared" si="14"/>
        <v>0.62437914696045005</v>
      </c>
      <c r="AK21" s="167">
        <f t="shared" si="15"/>
        <v>5</v>
      </c>
    </row>
    <row r="22" spans="1:37" x14ac:dyDescent="0.2">
      <c r="A22" s="62" t="s">
        <v>45</v>
      </c>
      <c r="B22" s="62" t="s">
        <v>67</v>
      </c>
      <c r="C22" s="62" t="s">
        <v>163</v>
      </c>
      <c r="D22" s="62"/>
      <c r="E22" s="62">
        <f t="shared" si="2"/>
        <v>17</v>
      </c>
      <c r="F22" s="128">
        <v>54</v>
      </c>
      <c r="G22" s="129">
        <v>0.76077768385460698</v>
      </c>
      <c r="H22" s="129">
        <v>0.58357953472587798</v>
      </c>
      <c r="I22" s="129">
        <v>0.99124383283583695</v>
      </c>
      <c r="J22" s="129"/>
      <c r="K22" s="129"/>
      <c r="L22" s="129"/>
      <c r="M22" s="60">
        <f t="shared" si="0"/>
        <v>5</v>
      </c>
      <c r="N22" s="61">
        <f t="shared" si="3"/>
        <v>0.10103277952402299</v>
      </c>
      <c r="O22" s="61">
        <f t="shared" si="16"/>
        <v>0.41883304448295799</v>
      </c>
      <c r="P22" s="129">
        <f t="shared" si="4"/>
        <v>0.60064354665713304</v>
      </c>
      <c r="Q22" s="129">
        <f t="shared" si="5"/>
        <v>0.57037235380134399</v>
      </c>
      <c r="R22" s="129">
        <f t="shared" si="6"/>
        <v>0.63251109297920904</v>
      </c>
      <c r="S22" s="61">
        <f t="shared" si="7"/>
        <v>0.790447359569458</v>
      </c>
      <c r="T22" s="61">
        <f t="shared" si="1"/>
        <v>0.94741828517290405</v>
      </c>
      <c r="U22" s="61">
        <f>VLOOKUP(C22,$C$43:$I$46,5,FALSE)</f>
        <v>0.79724610974610965</v>
      </c>
      <c r="V22" s="61"/>
      <c r="Y22" s="162" t="s">
        <v>54</v>
      </c>
      <c r="Z22" s="162" t="s">
        <v>73</v>
      </c>
      <c r="AA22" s="162" t="s">
        <v>201</v>
      </c>
      <c r="AB22" s="162">
        <f t="shared" si="21"/>
        <v>3</v>
      </c>
      <c r="AC22" s="165">
        <f t="shared" si="19"/>
        <v>0.10103277952402299</v>
      </c>
      <c r="AD22" s="165">
        <f t="shared" si="20"/>
        <v>0.790447359569458</v>
      </c>
      <c r="AE22" s="162"/>
      <c r="AF22" s="162">
        <f t="shared" si="10"/>
        <v>4</v>
      </c>
      <c r="AG22" s="167">
        <f t="shared" si="11"/>
        <v>19</v>
      </c>
      <c r="AH22" s="165">
        <f t="shared" si="12"/>
        <v>0.348432055749129</v>
      </c>
      <c r="AI22" s="165">
        <f t="shared" si="13"/>
        <v>0.223182716118274</v>
      </c>
      <c r="AJ22" s="165">
        <f t="shared" si="14"/>
        <v>0.54358793566710395</v>
      </c>
      <c r="AK22" s="167">
        <f t="shared" si="15"/>
        <v>2</v>
      </c>
    </row>
    <row r="23" spans="1:37" x14ac:dyDescent="0.2">
      <c r="A23" s="62" t="s">
        <v>46</v>
      </c>
      <c r="B23" s="62" t="s">
        <v>68</v>
      </c>
      <c r="C23" s="62" t="s">
        <v>163</v>
      </c>
      <c r="D23" s="62"/>
      <c r="E23" s="62">
        <f t="shared" si="2"/>
        <v>25</v>
      </c>
      <c r="F23" s="128">
        <v>86</v>
      </c>
      <c r="G23" s="129">
        <v>0.94236248082401897</v>
      </c>
      <c r="H23" s="129">
        <v>0.76374747933721499</v>
      </c>
      <c r="I23" s="129">
        <v>1.1622603228114901</v>
      </c>
      <c r="J23" s="129"/>
      <c r="K23" s="129"/>
      <c r="L23" s="129"/>
      <c r="M23" s="60">
        <f t="shared" si="0"/>
        <v>1</v>
      </c>
      <c r="N23" s="61">
        <f t="shared" si="3"/>
        <v>0.10103277952402299</v>
      </c>
      <c r="O23" s="61">
        <f t="shared" si="16"/>
        <v>0.41883304448295799</v>
      </c>
      <c r="P23" s="129">
        <f t="shared" si="4"/>
        <v>0.60064354665713304</v>
      </c>
      <c r="Q23" s="129">
        <f t="shared" si="5"/>
        <v>0.57037235380134399</v>
      </c>
      <c r="R23" s="129">
        <f t="shared" si="6"/>
        <v>0.63251109297920904</v>
      </c>
      <c r="S23" s="61">
        <f t="shared" si="7"/>
        <v>0.790447359569458</v>
      </c>
      <c r="T23" s="61">
        <f t="shared" si="1"/>
        <v>0.94741828517290405</v>
      </c>
      <c r="U23" s="61">
        <f t="shared" si="17"/>
        <v>0.79724610974610965</v>
      </c>
      <c r="V23" s="61"/>
      <c r="Y23" s="163" t="s">
        <v>30</v>
      </c>
      <c r="Z23" s="163" t="s">
        <v>56</v>
      </c>
      <c r="AA23" s="163" t="s">
        <v>200</v>
      </c>
      <c r="AB23" s="163">
        <f>RANK(AH23,$AH$23:$AH$31,1)</f>
        <v>8</v>
      </c>
      <c r="AC23" s="166">
        <f>MIN($AH$23:$AH$31)</f>
        <v>0.236350744504845</v>
      </c>
      <c r="AD23" s="166">
        <f>MAX($AH$23:$AH$31)</f>
        <v>0.94741828517290405</v>
      </c>
      <c r="AE23" s="163"/>
      <c r="AF23" s="163">
        <f t="shared" si="10"/>
        <v>22</v>
      </c>
      <c r="AG23" s="168">
        <f t="shared" si="11"/>
        <v>74</v>
      </c>
      <c r="AH23" s="166">
        <f t="shared" si="12"/>
        <v>0.81677704194260503</v>
      </c>
      <c r="AI23" s="166">
        <f t="shared" si="13"/>
        <v>0.65115856910635395</v>
      </c>
      <c r="AJ23" s="166">
        <f t="shared" si="14"/>
        <v>1.02408541558323</v>
      </c>
      <c r="AK23" s="168">
        <f t="shared" si="15"/>
        <v>1</v>
      </c>
    </row>
    <row r="24" spans="1:37" x14ac:dyDescent="0.2">
      <c r="A24" s="62" t="s">
        <v>47</v>
      </c>
      <c r="B24" s="62" t="s">
        <v>69</v>
      </c>
      <c r="C24" s="62" t="s">
        <v>163</v>
      </c>
      <c r="D24" s="62"/>
      <c r="E24" s="62">
        <f t="shared" si="2"/>
        <v>11</v>
      </c>
      <c r="F24" s="128">
        <v>29</v>
      </c>
      <c r="G24" s="129">
        <v>0.65581184984170104</v>
      </c>
      <c r="H24" s="129">
        <v>0.45701508245883699</v>
      </c>
      <c r="I24" s="129">
        <v>0.94026630224698404</v>
      </c>
      <c r="J24" s="129"/>
      <c r="K24" s="129"/>
      <c r="L24" s="129"/>
      <c r="M24" s="60">
        <f t="shared" si="0"/>
        <v>5</v>
      </c>
      <c r="N24" s="61">
        <f t="shared" si="3"/>
        <v>0.10103277952402299</v>
      </c>
      <c r="O24" s="61">
        <f t="shared" si="16"/>
        <v>0.41883304448295799</v>
      </c>
      <c r="P24" s="129">
        <f t="shared" si="4"/>
        <v>0.60064354665713304</v>
      </c>
      <c r="Q24" s="129">
        <f t="shared" si="5"/>
        <v>0.57037235380134399</v>
      </c>
      <c r="R24" s="129">
        <f t="shared" si="6"/>
        <v>0.63251109297920904</v>
      </c>
      <c r="S24" s="61">
        <f t="shared" si="7"/>
        <v>0.790447359569458</v>
      </c>
      <c r="T24" s="61">
        <f t="shared" si="1"/>
        <v>0.94741828517290405</v>
      </c>
      <c r="U24" s="61">
        <f t="shared" si="17"/>
        <v>0.79724610974610965</v>
      </c>
      <c r="V24" s="61"/>
      <c r="Y24" s="163" t="s">
        <v>31</v>
      </c>
      <c r="Z24" s="163" t="s">
        <v>57</v>
      </c>
      <c r="AA24" s="163" t="s">
        <v>200</v>
      </c>
      <c r="AB24" s="163">
        <f t="shared" ref="AB24:AB31" si="22">RANK(AH24,$AH$23:$AH$31,1)</f>
        <v>6</v>
      </c>
      <c r="AC24" s="166">
        <f t="shared" ref="AC24:AC31" si="23">MIN($AH$23:$AH$31)</f>
        <v>0.236350744504845</v>
      </c>
      <c r="AD24" s="166">
        <f t="shared" ref="AD24:AD31" si="24">MAX($AH$23:$AH$31)</f>
        <v>0.94741828517290405</v>
      </c>
      <c r="AE24" s="163"/>
      <c r="AF24" s="163">
        <f t="shared" si="10"/>
        <v>16</v>
      </c>
      <c r="AG24" s="168">
        <f t="shared" si="11"/>
        <v>76</v>
      </c>
      <c r="AH24" s="166">
        <f t="shared" si="12"/>
        <v>0.73721990493743295</v>
      </c>
      <c r="AI24" s="166">
        <f t="shared" si="13"/>
        <v>0.58945195098176695</v>
      </c>
      <c r="AJ24" s="166">
        <f t="shared" si="14"/>
        <v>0.92168791714256204</v>
      </c>
      <c r="AK24" s="168">
        <f t="shared" si="15"/>
        <v>5</v>
      </c>
    </row>
    <row r="25" spans="1:37" x14ac:dyDescent="0.2">
      <c r="A25" s="62" t="s">
        <v>48</v>
      </c>
      <c r="B25" s="62" t="s">
        <v>160</v>
      </c>
      <c r="C25" s="62" t="s">
        <v>201</v>
      </c>
      <c r="D25" s="62"/>
      <c r="E25" s="62">
        <f t="shared" si="2"/>
        <v>8</v>
      </c>
      <c r="F25" s="128">
        <v>30</v>
      </c>
      <c r="G25" s="129">
        <v>0.57175528873642101</v>
      </c>
      <c r="H25" s="129">
        <v>0.40079941572543598</v>
      </c>
      <c r="I25" s="129">
        <v>0.81503350022462095</v>
      </c>
      <c r="J25" s="129"/>
      <c r="K25" s="129"/>
      <c r="L25" s="129"/>
      <c r="M25" s="60">
        <f t="shared" si="0"/>
        <v>5</v>
      </c>
      <c r="N25" s="61">
        <f t="shared" si="3"/>
        <v>0.10103277952402299</v>
      </c>
      <c r="O25" s="61">
        <f t="shared" si="16"/>
        <v>0.41883304448295799</v>
      </c>
      <c r="P25" s="129">
        <f t="shared" si="4"/>
        <v>0.60064354665713304</v>
      </c>
      <c r="Q25" s="129">
        <f t="shared" si="5"/>
        <v>0.57037235380134399</v>
      </c>
      <c r="R25" s="129">
        <f t="shared" si="6"/>
        <v>0.63251109297920904</v>
      </c>
      <c r="S25" s="61">
        <f t="shared" si="7"/>
        <v>0.790447359569458</v>
      </c>
      <c r="T25" s="61">
        <f t="shared" si="1"/>
        <v>0.94741828517290405</v>
      </c>
      <c r="U25" s="61">
        <f t="shared" si="17"/>
        <v>0.36439006452044259</v>
      </c>
      <c r="V25" s="61"/>
      <c r="Y25" s="163" t="s">
        <v>34</v>
      </c>
      <c r="Z25" s="163" t="s">
        <v>59</v>
      </c>
      <c r="AA25" s="163" t="s">
        <v>200</v>
      </c>
      <c r="AB25" s="163">
        <f t="shared" si="22"/>
        <v>3</v>
      </c>
      <c r="AC25" s="166">
        <f t="shared" si="23"/>
        <v>0.236350744504845</v>
      </c>
      <c r="AD25" s="166">
        <f t="shared" si="24"/>
        <v>0.94741828517290405</v>
      </c>
      <c r="AE25" s="163"/>
      <c r="AF25" s="163">
        <f t="shared" si="10"/>
        <v>12</v>
      </c>
      <c r="AG25" s="168">
        <f t="shared" si="11"/>
        <v>81</v>
      </c>
      <c r="AH25" s="166">
        <f t="shared" si="12"/>
        <v>0.67052980132450302</v>
      </c>
      <c r="AI25" s="166">
        <f t="shared" si="13"/>
        <v>0.53985879113245805</v>
      </c>
      <c r="AJ25" s="166">
        <f t="shared" si="14"/>
        <v>0.83256453456118495</v>
      </c>
      <c r="AK25" s="168">
        <f t="shared" si="15"/>
        <v>5</v>
      </c>
    </row>
    <row r="26" spans="1:37" x14ac:dyDescent="0.2">
      <c r="A26" s="62" t="s">
        <v>49</v>
      </c>
      <c r="B26" s="62" t="s">
        <v>70</v>
      </c>
      <c r="C26" s="62" t="s">
        <v>200</v>
      </c>
      <c r="D26" s="62"/>
      <c r="E26" s="62">
        <f t="shared" si="2"/>
        <v>13</v>
      </c>
      <c r="F26" s="128">
        <v>53</v>
      </c>
      <c r="G26" s="129">
        <v>0.68768651874918896</v>
      </c>
      <c r="H26" s="129">
        <v>0.52616808755522504</v>
      </c>
      <c r="I26" s="129">
        <v>0.89833868524377603</v>
      </c>
      <c r="J26" s="129"/>
      <c r="K26" s="129"/>
      <c r="L26" s="129"/>
      <c r="M26" s="60">
        <f t="shared" si="0"/>
        <v>5</v>
      </c>
      <c r="N26" s="61">
        <f t="shared" si="3"/>
        <v>0.10103277952402299</v>
      </c>
      <c r="O26" s="61">
        <f t="shared" si="16"/>
        <v>0.41883304448295799</v>
      </c>
      <c r="P26" s="129">
        <f t="shared" si="4"/>
        <v>0.60064354665713304</v>
      </c>
      <c r="Q26" s="129">
        <f t="shared" si="5"/>
        <v>0.57037235380134399</v>
      </c>
      <c r="R26" s="129">
        <f t="shared" si="6"/>
        <v>0.63251109297920904</v>
      </c>
      <c r="S26" s="61">
        <f t="shared" si="7"/>
        <v>0.790447359569458</v>
      </c>
      <c r="T26" s="61">
        <f t="shared" si="1"/>
        <v>0.94741828517290405</v>
      </c>
      <c r="U26" s="61">
        <f t="shared" si="17"/>
        <v>0.6842060061263634</v>
      </c>
      <c r="V26" s="61"/>
      <c r="Y26" s="163" t="s">
        <v>39</v>
      </c>
      <c r="Z26" s="163" t="s">
        <v>158</v>
      </c>
      <c r="AA26" s="163" t="s">
        <v>200</v>
      </c>
      <c r="AB26" s="163">
        <f t="shared" si="22"/>
        <v>2</v>
      </c>
      <c r="AC26" s="166">
        <f t="shared" si="23"/>
        <v>0.236350744504845</v>
      </c>
      <c r="AD26" s="166">
        <f t="shared" si="24"/>
        <v>0.94741828517290405</v>
      </c>
      <c r="AE26" s="163"/>
      <c r="AF26" s="163">
        <f t="shared" si="10"/>
        <v>9</v>
      </c>
      <c r="AG26" s="168">
        <f t="shared" si="11"/>
        <v>71</v>
      </c>
      <c r="AH26" s="166">
        <f t="shared" si="12"/>
        <v>0.57982850142915499</v>
      </c>
      <c r="AI26" s="166">
        <f t="shared" si="13"/>
        <v>0.45997891915191502</v>
      </c>
      <c r="AJ26" s="166">
        <f t="shared" si="14"/>
        <v>0.73067620779211195</v>
      </c>
      <c r="AK26" s="168">
        <f t="shared" si="15"/>
        <v>5</v>
      </c>
    </row>
    <row r="27" spans="1:37" x14ac:dyDescent="0.2">
      <c r="A27" s="62" t="s">
        <v>50</v>
      </c>
      <c r="B27" s="62" t="s">
        <v>161</v>
      </c>
      <c r="C27" s="62" t="s">
        <v>163</v>
      </c>
      <c r="D27" s="62"/>
      <c r="E27" s="62">
        <f t="shared" si="2"/>
        <v>21</v>
      </c>
      <c r="F27" s="128">
        <v>37</v>
      </c>
      <c r="G27" s="129">
        <v>0.81265099934109397</v>
      </c>
      <c r="H27" s="129">
        <v>0.59016587130377895</v>
      </c>
      <c r="I27" s="129">
        <v>1.1180668930820901</v>
      </c>
      <c r="J27" s="129"/>
      <c r="K27" s="129"/>
      <c r="L27" s="129"/>
      <c r="M27" s="60">
        <f t="shared" si="0"/>
        <v>5</v>
      </c>
      <c r="N27" s="61">
        <f t="shared" si="3"/>
        <v>0.10103277952402299</v>
      </c>
      <c r="O27" s="61">
        <f t="shared" si="16"/>
        <v>0.41883304448295799</v>
      </c>
      <c r="P27" s="129">
        <f t="shared" si="4"/>
        <v>0.60064354665713304</v>
      </c>
      <c r="Q27" s="129">
        <f t="shared" si="5"/>
        <v>0.57037235380134399</v>
      </c>
      <c r="R27" s="129">
        <f t="shared" si="6"/>
        <v>0.63251109297920904</v>
      </c>
      <c r="S27" s="61">
        <f t="shared" si="7"/>
        <v>0.790447359569458</v>
      </c>
      <c r="T27" s="61">
        <f t="shared" si="1"/>
        <v>0.94741828517290405</v>
      </c>
      <c r="U27" s="61">
        <f t="shared" si="17"/>
        <v>0.79724610974610965</v>
      </c>
      <c r="V27" s="61"/>
      <c r="Y27" s="163" t="s">
        <v>40</v>
      </c>
      <c r="Z27" s="163" t="s">
        <v>63</v>
      </c>
      <c r="AA27" s="163" t="s">
        <v>200</v>
      </c>
      <c r="AB27" s="163">
        <f t="shared" si="22"/>
        <v>5</v>
      </c>
      <c r="AC27" s="166">
        <f t="shared" si="23"/>
        <v>0.236350744504845</v>
      </c>
      <c r="AD27" s="166">
        <f t="shared" si="24"/>
        <v>0.94741828517290405</v>
      </c>
      <c r="AE27" s="163"/>
      <c r="AF27" s="163">
        <f t="shared" si="10"/>
        <v>14</v>
      </c>
      <c r="AG27" s="168">
        <f t="shared" si="11"/>
        <v>45</v>
      </c>
      <c r="AH27" s="166">
        <f t="shared" si="12"/>
        <v>0.69767441860465096</v>
      </c>
      <c r="AI27" s="166">
        <f t="shared" si="13"/>
        <v>0.52184107545498204</v>
      </c>
      <c r="AJ27" s="166">
        <f t="shared" si="14"/>
        <v>0.93219927275403203</v>
      </c>
      <c r="AK27" s="168">
        <f t="shared" si="15"/>
        <v>5</v>
      </c>
    </row>
    <row r="28" spans="1:37" x14ac:dyDescent="0.2">
      <c r="A28" s="62" t="s">
        <v>51</v>
      </c>
      <c r="B28" s="62" t="s">
        <v>71</v>
      </c>
      <c r="C28" s="62" t="s">
        <v>200</v>
      </c>
      <c r="D28" s="62"/>
      <c r="E28" s="62">
        <f t="shared" si="2"/>
        <v>26</v>
      </c>
      <c r="F28" s="128">
        <v>40</v>
      </c>
      <c r="G28" s="129">
        <v>0.94741828517290405</v>
      </c>
      <c r="H28" s="129">
        <v>0.696549249213959</v>
      </c>
      <c r="I28" s="129">
        <v>1.2874688365968601</v>
      </c>
      <c r="J28" s="129"/>
      <c r="K28" s="129"/>
      <c r="L28" s="129"/>
      <c r="M28" s="60">
        <f t="shared" si="0"/>
        <v>1</v>
      </c>
      <c r="N28" s="61">
        <f t="shared" si="3"/>
        <v>0.10103277952402299</v>
      </c>
      <c r="O28" s="61">
        <f t="shared" si="16"/>
        <v>0.41883304448295799</v>
      </c>
      <c r="P28" s="129">
        <f t="shared" si="4"/>
        <v>0.60064354665713304</v>
      </c>
      <c r="Q28" s="129">
        <f t="shared" si="5"/>
        <v>0.57037235380134399</v>
      </c>
      <c r="R28" s="129">
        <f t="shared" si="6"/>
        <v>0.63251109297920904</v>
      </c>
      <c r="S28" s="61">
        <f t="shared" si="7"/>
        <v>0.790447359569458</v>
      </c>
      <c r="T28" s="61">
        <f t="shared" si="1"/>
        <v>0.94741828517290405</v>
      </c>
      <c r="U28" s="61">
        <f t="shared" si="17"/>
        <v>0.6842060061263634</v>
      </c>
      <c r="V28" s="61"/>
      <c r="Y28" s="163" t="s">
        <v>42</v>
      </c>
      <c r="Z28" s="163" t="s">
        <v>65</v>
      </c>
      <c r="AA28" s="163" t="s">
        <v>200</v>
      </c>
      <c r="AB28" s="163">
        <f t="shared" si="22"/>
        <v>1</v>
      </c>
      <c r="AC28" s="166">
        <f t="shared" si="23"/>
        <v>0.236350744504845</v>
      </c>
      <c r="AD28" s="166">
        <f t="shared" si="24"/>
        <v>0.94741828517290405</v>
      </c>
      <c r="AE28" s="163"/>
      <c r="AF28" s="163">
        <f t="shared" si="10"/>
        <v>2</v>
      </c>
      <c r="AG28" s="168">
        <f t="shared" si="11"/>
        <v>10</v>
      </c>
      <c r="AH28" s="166">
        <f t="shared" si="12"/>
        <v>0.236350744504845</v>
      </c>
      <c r="AI28" s="166">
        <f t="shared" si="13"/>
        <v>0.128434231597779</v>
      </c>
      <c r="AJ28" s="166">
        <f t="shared" si="14"/>
        <v>0.434549272094787</v>
      </c>
      <c r="AK28" s="168">
        <f t="shared" si="15"/>
        <v>2</v>
      </c>
    </row>
    <row r="29" spans="1:37" x14ac:dyDescent="0.2">
      <c r="A29" s="62" t="s">
        <v>52</v>
      </c>
      <c r="B29" s="62" t="s">
        <v>72</v>
      </c>
      <c r="C29" s="62" t="s">
        <v>201</v>
      </c>
      <c r="D29" s="62"/>
      <c r="E29" s="62">
        <f t="shared" si="2"/>
        <v>5</v>
      </c>
      <c r="F29" s="128">
        <v>15</v>
      </c>
      <c r="G29" s="129">
        <v>0.37897928246589202</v>
      </c>
      <c r="H29" s="129">
        <v>0.22980593773921801</v>
      </c>
      <c r="I29" s="129">
        <v>0.62437914696045005</v>
      </c>
      <c r="J29" s="129"/>
      <c r="K29" s="129"/>
      <c r="L29" s="129"/>
      <c r="M29" s="60">
        <f t="shared" si="0"/>
        <v>5</v>
      </c>
      <c r="N29" s="61">
        <f t="shared" si="3"/>
        <v>0.10103277952402299</v>
      </c>
      <c r="O29" s="61">
        <f t="shared" si="16"/>
        <v>0.41883304448295799</v>
      </c>
      <c r="P29" s="129">
        <f t="shared" si="4"/>
        <v>0.60064354665713304</v>
      </c>
      <c r="Q29" s="129">
        <f t="shared" si="5"/>
        <v>0.57037235380134399</v>
      </c>
      <c r="R29" s="129">
        <f t="shared" si="6"/>
        <v>0.63251109297920904</v>
      </c>
      <c r="S29" s="61">
        <f t="shared" si="7"/>
        <v>0.790447359569458</v>
      </c>
      <c r="T29" s="61">
        <f t="shared" si="1"/>
        <v>0.94741828517290405</v>
      </c>
      <c r="U29" s="61">
        <f t="shared" si="17"/>
        <v>0.36439006452044259</v>
      </c>
      <c r="V29" s="61"/>
      <c r="Y29" s="163" t="s">
        <v>44</v>
      </c>
      <c r="Z29" s="163" t="s">
        <v>66</v>
      </c>
      <c r="AA29" s="163" t="s">
        <v>200</v>
      </c>
      <c r="AB29" s="163">
        <f t="shared" si="22"/>
        <v>7</v>
      </c>
      <c r="AC29" s="166">
        <f t="shared" si="23"/>
        <v>0.236350744504845</v>
      </c>
      <c r="AD29" s="166">
        <f t="shared" si="24"/>
        <v>0.94741828517290405</v>
      </c>
      <c r="AE29" s="163"/>
      <c r="AF29" s="163">
        <f t="shared" si="10"/>
        <v>19</v>
      </c>
      <c r="AG29" s="168">
        <f t="shared" si="11"/>
        <v>28</v>
      </c>
      <c r="AH29" s="166">
        <f t="shared" si="12"/>
        <v>0.78695896571107404</v>
      </c>
      <c r="AI29" s="166">
        <f t="shared" si="13"/>
        <v>0.54503880736167598</v>
      </c>
      <c r="AJ29" s="166">
        <f t="shared" si="14"/>
        <v>1.13503200748327</v>
      </c>
      <c r="AK29" s="168">
        <f t="shared" si="15"/>
        <v>5</v>
      </c>
    </row>
    <row r="30" spans="1:37" x14ac:dyDescent="0.2">
      <c r="A30" s="62" t="s">
        <v>53</v>
      </c>
      <c r="B30" s="62" t="s">
        <v>162</v>
      </c>
      <c r="C30" s="62" t="s">
        <v>163</v>
      </c>
      <c r="D30" s="62"/>
      <c r="E30" s="62">
        <f t="shared" si="2"/>
        <v>18</v>
      </c>
      <c r="F30" s="128">
        <v>176</v>
      </c>
      <c r="G30" s="129">
        <v>0.77410274454609396</v>
      </c>
      <c r="H30" s="129">
        <v>0.66820424215178598</v>
      </c>
      <c r="I30" s="129">
        <v>0.89663278393339196</v>
      </c>
      <c r="J30" s="129"/>
      <c r="K30" s="129"/>
      <c r="L30" s="129"/>
      <c r="M30" s="60">
        <f t="shared" si="0"/>
        <v>1</v>
      </c>
      <c r="N30" s="61">
        <f t="shared" si="3"/>
        <v>0.10103277952402299</v>
      </c>
      <c r="O30" s="61">
        <f t="shared" si="16"/>
        <v>0.41883304448295799</v>
      </c>
      <c r="P30" s="129">
        <f>$G$32</f>
        <v>0.60064354665713304</v>
      </c>
      <c r="Q30" s="129">
        <f t="shared" si="5"/>
        <v>0.57037235380134399</v>
      </c>
      <c r="R30" s="129">
        <f t="shared" si="6"/>
        <v>0.63251109297920904</v>
      </c>
      <c r="S30" s="61">
        <f t="shared" si="7"/>
        <v>0.790447359569458</v>
      </c>
      <c r="T30" s="61">
        <f t="shared" si="1"/>
        <v>0.94741828517290405</v>
      </c>
      <c r="U30" s="61">
        <f t="shared" si="17"/>
        <v>0.79724610974610965</v>
      </c>
      <c r="V30" s="61"/>
      <c r="Y30" s="163" t="s">
        <v>49</v>
      </c>
      <c r="Z30" s="163" t="s">
        <v>70</v>
      </c>
      <c r="AA30" s="163" t="s">
        <v>200</v>
      </c>
      <c r="AB30" s="163">
        <f t="shared" si="22"/>
        <v>4</v>
      </c>
      <c r="AC30" s="166">
        <f t="shared" si="23"/>
        <v>0.236350744504845</v>
      </c>
      <c r="AD30" s="166">
        <f t="shared" si="24"/>
        <v>0.94741828517290405</v>
      </c>
      <c r="AE30" s="163"/>
      <c r="AF30" s="163">
        <f t="shared" si="10"/>
        <v>13</v>
      </c>
      <c r="AG30" s="168">
        <f t="shared" si="11"/>
        <v>53</v>
      </c>
      <c r="AH30" s="166">
        <f t="shared" si="12"/>
        <v>0.68768651874918896</v>
      </c>
      <c r="AI30" s="166">
        <f t="shared" si="13"/>
        <v>0.52616808755522504</v>
      </c>
      <c r="AJ30" s="166">
        <f t="shared" si="14"/>
        <v>0.89833868524377603</v>
      </c>
      <c r="AK30" s="168">
        <f t="shared" si="15"/>
        <v>5</v>
      </c>
    </row>
    <row r="31" spans="1:37" x14ac:dyDescent="0.2">
      <c r="A31" s="62" t="s">
        <v>54</v>
      </c>
      <c r="B31" s="62" t="s">
        <v>73</v>
      </c>
      <c r="C31" s="62" t="s">
        <v>201</v>
      </c>
      <c r="D31" s="62"/>
      <c r="E31" s="62">
        <f t="shared" si="2"/>
        <v>4</v>
      </c>
      <c r="F31" s="128">
        <v>19</v>
      </c>
      <c r="G31" s="129">
        <v>0.348432055749129</v>
      </c>
      <c r="H31" s="129">
        <v>0.223182716118274</v>
      </c>
      <c r="I31" s="129">
        <v>0.54358793566710395</v>
      </c>
      <c r="J31" s="129"/>
      <c r="K31" s="129"/>
      <c r="L31" s="129"/>
      <c r="M31" s="60">
        <f t="shared" si="0"/>
        <v>2</v>
      </c>
      <c r="N31" s="61">
        <f t="shared" si="3"/>
        <v>0.10103277952402299</v>
      </c>
      <c r="O31" s="61">
        <f t="shared" si="16"/>
        <v>0.41883304448295799</v>
      </c>
      <c r="P31" s="129">
        <f t="shared" si="4"/>
        <v>0.60064354665713304</v>
      </c>
      <c r="Q31" s="129">
        <f t="shared" si="5"/>
        <v>0.57037235380134399</v>
      </c>
      <c r="R31" s="129">
        <f t="shared" si="6"/>
        <v>0.63251109297920904</v>
      </c>
      <c r="S31" s="61">
        <f t="shared" si="7"/>
        <v>0.790447359569458</v>
      </c>
      <c r="T31" s="61">
        <f t="shared" si="1"/>
        <v>0.94741828517290405</v>
      </c>
      <c r="U31" s="61">
        <f t="shared" si="17"/>
        <v>0.36439006452044259</v>
      </c>
      <c r="V31" s="61"/>
      <c r="Y31" s="163" t="s">
        <v>51</v>
      </c>
      <c r="Z31" s="163" t="s">
        <v>71</v>
      </c>
      <c r="AA31" s="163" t="s">
        <v>200</v>
      </c>
      <c r="AB31" s="163">
        <f t="shared" si="22"/>
        <v>9</v>
      </c>
      <c r="AC31" s="166">
        <f t="shared" si="23"/>
        <v>0.236350744504845</v>
      </c>
      <c r="AD31" s="166">
        <f t="shared" si="24"/>
        <v>0.94741828517290405</v>
      </c>
      <c r="AE31" s="163"/>
      <c r="AF31" s="163">
        <f t="shared" si="10"/>
        <v>26</v>
      </c>
      <c r="AG31" s="168">
        <f t="shared" si="11"/>
        <v>40</v>
      </c>
      <c r="AH31" s="166">
        <f t="shared" si="12"/>
        <v>0.94741828517290405</v>
      </c>
      <c r="AI31" s="166">
        <f t="shared" si="13"/>
        <v>0.696549249213959</v>
      </c>
      <c r="AJ31" s="166">
        <f t="shared" si="14"/>
        <v>1.2874688365968601</v>
      </c>
      <c r="AK31" s="168">
        <f t="shared" si="15"/>
        <v>1</v>
      </c>
    </row>
    <row r="32" spans="1:37" x14ac:dyDescent="0.2">
      <c r="A32" s="62"/>
      <c r="B32" s="62" t="s">
        <v>171</v>
      </c>
      <c r="C32" s="62"/>
      <c r="D32" s="62"/>
      <c r="E32" s="62"/>
      <c r="F32" s="128">
        <v>1428</v>
      </c>
      <c r="G32" s="129">
        <v>0.60064354665713304</v>
      </c>
      <c r="H32" s="129">
        <v>0.57037235380134399</v>
      </c>
      <c r="I32" s="129">
        <v>0.63251109297920904</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623</v>
      </c>
      <c r="G44" s="129">
        <v>0.79724610974610965</v>
      </c>
      <c r="H44" s="129">
        <v>0.7372662342278089</v>
      </c>
      <c r="I44" s="129">
        <v>0.86206323602926371</v>
      </c>
      <c r="J44" s="129">
        <f>VLOOKUP($C44,$AA$6:$AD$13,3,FALSE)</f>
        <v>0.65581184984170104</v>
      </c>
      <c r="K44" s="129">
        <f>VLOOKUP($C44,$AA$6:$AD$13,4,FALSE)</f>
        <v>0.94236248082401897</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1</v>
      </c>
      <c r="N44" s="61">
        <f>MIN($G$6:$G$31)</f>
        <v>0.10103277952402299</v>
      </c>
      <c r="O44" s="61">
        <f>VLOOKUP(7,$E$5:$G$39,3,FALSE)</f>
        <v>0.41883304448295799</v>
      </c>
      <c r="P44" s="129">
        <f>$G$32</f>
        <v>0.60064354665713304</v>
      </c>
      <c r="Q44" s="129">
        <f>$H$32</f>
        <v>0.57037235380134399</v>
      </c>
      <c r="R44" s="129">
        <f>$I$32</f>
        <v>0.63251109297920904</v>
      </c>
      <c r="S44" s="61">
        <f>VLOOKUP(20,$E$5:$G$39,3,FALSE)</f>
        <v>0.790447359569458</v>
      </c>
      <c r="T44" s="61">
        <f>MAX($G$6:$G$31)</f>
        <v>0.94741828517290405</v>
      </c>
    </row>
    <row r="45" spans="1:22" x14ac:dyDescent="0.2">
      <c r="C45" s="62" t="s">
        <v>201</v>
      </c>
      <c r="D45" s="62"/>
      <c r="E45" s="62"/>
      <c r="F45" s="128">
        <v>327</v>
      </c>
      <c r="G45" s="129">
        <v>0.36439006452044259</v>
      </c>
      <c r="H45" s="129">
        <v>0.32703550510894636</v>
      </c>
      <c r="I45" s="129">
        <v>0.4059939467415955</v>
      </c>
      <c r="J45" s="129">
        <f>VLOOKUP($C45,$AA$14:$AD$22,3,FALSE)</f>
        <v>0.10103277952402299</v>
      </c>
      <c r="K45" s="129">
        <f>VLOOKUP($C45,$AA$14:$AD$22,4,FALSE)</f>
        <v>0.790447359569458</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2</v>
      </c>
      <c r="N45" s="61">
        <f>MIN($G$6:$G$31)</f>
        <v>0.10103277952402299</v>
      </c>
      <c r="O45" s="61">
        <f>VLOOKUP(7,$E$5:$G$39,3,FALSE)</f>
        <v>0.41883304448295799</v>
      </c>
      <c r="P45" s="129">
        <f>$G$32</f>
        <v>0.60064354665713304</v>
      </c>
      <c r="Q45" s="129">
        <f t="shared" ref="Q45:Q46" si="25">$H$32</f>
        <v>0.57037235380134399</v>
      </c>
      <c r="R45" s="129">
        <f t="shared" ref="R45:R46" si="26">$I$32</f>
        <v>0.63251109297920904</v>
      </c>
      <c r="S45" s="61">
        <f>VLOOKUP(20,$E$5:$G$39,3,FALSE)</f>
        <v>0.790447359569458</v>
      </c>
      <c r="T45" s="61">
        <f t="shared" ref="T45:T46" si="27">MAX($G$6:$G$31)</f>
        <v>0.94741828517290405</v>
      </c>
    </row>
    <row r="46" spans="1:22" x14ac:dyDescent="0.2">
      <c r="C46" s="62" t="s">
        <v>200</v>
      </c>
      <c r="D46" s="62"/>
      <c r="E46" s="62"/>
      <c r="F46" s="128">
        <v>478</v>
      </c>
      <c r="G46" s="129">
        <v>0.6842060061263634</v>
      </c>
      <c r="H46" s="129">
        <v>0.62573252895841458</v>
      </c>
      <c r="I46" s="129">
        <v>0.74810257955656689</v>
      </c>
      <c r="J46" s="129">
        <f>VLOOKUP($C46,$AA$23:$AD$31,3,FALSE)</f>
        <v>0.236350744504845</v>
      </c>
      <c r="K46" s="129">
        <f>VLOOKUP($C46,$AA$23:$AD$31,4,FALSE)</f>
        <v>0.94741828517290405</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5</v>
      </c>
      <c r="N46" s="61">
        <f>MIN($G$6:$G$31)</f>
        <v>0.10103277952402299</v>
      </c>
      <c r="O46" s="61">
        <f>VLOOKUP(7,$E$5:$G$39,3,FALSE)</f>
        <v>0.41883304448295799</v>
      </c>
      <c r="P46" s="129">
        <f t="shared" ref="P46" si="28">$G$32</f>
        <v>0.60064354665713304</v>
      </c>
      <c r="Q46" s="129">
        <f t="shared" si="25"/>
        <v>0.57037235380134399</v>
      </c>
      <c r="R46" s="129">
        <f t="shared" si="26"/>
        <v>0.63251109297920904</v>
      </c>
      <c r="S46" s="61">
        <f>VLOOKUP(20,$E$5:$G$39,3,FALSE)</f>
        <v>0.790447359569458</v>
      </c>
      <c r="T46" s="61">
        <f t="shared" si="27"/>
        <v>0.94741828517290405</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C2:D2" xr:uid="{00000000-0002-0000-2400-000000000000}">
      <formula1>"Better / Worse,Higher / Lower,Significance not measured"</formula1>
    </dataValidation>
    <dataValidation type="list" allowBlank="1" showInputMessage="1" showErrorMessage="1" sqref="K2:N2" xr:uid="{00000000-0002-0000-2400-000001000000}">
      <formula1>"High = Worst,Low = Worst"</formula1>
    </dataValidation>
  </dataValidations>
  <pageMargins left="0.75" right="0.75" top="1" bottom="1" header="0.5" footer="0.5"/>
  <pageSetup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3">
    <tabColor theme="6" tint="0.39997558519241921"/>
  </sheetPr>
  <dimension ref="A1:AK55"/>
  <sheetViews>
    <sheetView workbookViewId="0">
      <selection activeCell="F6" sqref="F6:F31"/>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8" width="7.33203125" style="21" customWidth="1"/>
    <col min="9" max="9" width="6.886718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5.554687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8</v>
      </c>
      <c r="F6" s="128">
        <v>2526</v>
      </c>
      <c r="G6" s="129">
        <v>121.24014112788352</v>
      </c>
      <c r="H6" s="129">
        <v>116.08579609331993</v>
      </c>
      <c r="I6" s="129">
        <v>126.54843137965547</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5</v>
      </c>
      <c r="N6" s="61">
        <f>MIN($G$6:$G$32)</f>
        <v>84.667934090288284</v>
      </c>
      <c r="O6" s="61">
        <f>VLOOKUP(7,$E$5:$G$39,3,FALSE)</f>
        <v>120.13165892751665</v>
      </c>
      <c r="P6" s="129">
        <f>$G$32</f>
        <v>125.78549810659193</v>
      </c>
      <c r="Q6" s="129">
        <f>$H$32</f>
        <v>124.9300748122688</v>
      </c>
      <c r="R6" s="129">
        <f>$I$32</f>
        <v>126.64515902152191</v>
      </c>
      <c r="S6" s="61">
        <f>VLOOKUP(20,$E$5:$G$39,3,FALSE)</f>
        <v>130.87242308301128</v>
      </c>
      <c r="T6" s="61">
        <f t="shared" ref="T6:T31" si="1">MAX($G$6:$G$31)</f>
        <v>163.17724756274475</v>
      </c>
      <c r="U6" s="61">
        <f>VLOOKUP(C6,$C$43:$I$46,5,FALSE)</f>
        <v>126.36367279448002</v>
      </c>
      <c r="V6" s="61"/>
      <c r="Y6" s="159" t="s">
        <v>33</v>
      </c>
      <c r="Z6" s="159" t="s">
        <v>58</v>
      </c>
      <c r="AA6" s="159" t="s">
        <v>163</v>
      </c>
      <c r="AB6" s="159">
        <f>RANK(AH6,$AH$6:$AH$13,1)</f>
        <v>6</v>
      </c>
      <c r="AC6" s="164">
        <f>MIN($AH$6:$AH$13)</f>
        <v>111.83246477129548</v>
      </c>
      <c r="AD6" s="164">
        <f>MAX($AH$6:$AH$13)</f>
        <v>131.32153885765155</v>
      </c>
      <c r="AE6" s="159"/>
      <c r="AF6" s="159">
        <f>VLOOKUP($Y6,$A$6:$I$31,5,FALSE)</f>
        <v>14</v>
      </c>
      <c r="AG6" s="160">
        <f>VLOOKUP($Y6,$A$6:$I$31,6,FALSE)</f>
        <v>4108</v>
      </c>
      <c r="AH6" s="161">
        <f>VLOOKUP($Y6,$A$6:$I$31,7,FALSE)</f>
        <v>125.60341050554327</v>
      </c>
      <c r="AI6" s="161">
        <f>VLOOKUP($Y6,$A$6:$I$31,8,FALSE)</f>
        <v>121.6454529359537</v>
      </c>
      <c r="AJ6" s="161">
        <f>VLOOKUP($Y6,$A$6:$I$31,9,FALSE)</f>
        <v>129.65373745699844</v>
      </c>
      <c r="AK6" s="160">
        <f>VLOOKUP($Y6,$A$6:$M$31,13,FALSE)</f>
        <v>5</v>
      </c>
    </row>
    <row r="7" spans="1:37" x14ac:dyDescent="0.2">
      <c r="A7" s="62" t="s">
        <v>30</v>
      </c>
      <c r="B7" s="62" t="s">
        <v>56</v>
      </c>
      <c r="C7" s="62" t="s">
        <v>200</v>
      </c>
      <c r="D7" s="62"/>
      <c r="E7" s="62">
        <f t="shared" ref="E7:E31" si="2">RANK(G7,$G$6:$G$31,1)</f>
        <v>23</v>
      </c>
      <c r="F7" s="128">
        <v>4347</v>
      </c>
      <c r="G7" s="129">
        <v>143.51512918164559</v>
      </c>
      <c r="H7" s="129">
        <v>139.20215712272389</v>
      </c>
      <c r="I7" s="129">
        <v>147.92591462980474</v>
      </c>
      <c r="J7" s="129"/>
      <c r="K7" s="129"/>
      <c r="L7" s="129"/>
      <c r="M7" s="60">
        <f t="shared" si="0"/>
        <v>1</v>
      </c>
      <c r="N7" s="61">
        <f t="shared" ref="N7:N31" si="3">MIN($G$6:$G$32)</f>
        <v>84.667934090288284</v>
      </c>
      <c r="O7" s="61">
        <f>VLOOKUP(7,$E$5:$G$39,3,FALSE)</f>
        <v>120.13165892751665</v>
      </c>
      <c r="P7" s="129">
        <f t="shared" ref="P7:P31" si="4">$G$32</f>
        <v>125.78549810659193</v>
      </c>
      <c r="Q7" s="129">
        <f t="shared" ref="Q7:Q31" si="5">$H$32</f>
        <v>124.9300748122688</v>
      </c>
      <c r="R7" s="129">
        <f t="shared" ref="R7:R31" si="6">$I$32</f>
        <v>126.64515902152191</v>
      </c>
      <c r="S7" s="61">
        <f t="shared" ref="S7:S31" si="7">VLOOKUP(20,$E$5:$G$39,3,FALSE)</f>
        <v>130.87242308301128</v>
      </c>
      <c r="T7" s="61">
        <f t="shared" si="1"/>
        <v>163.17724756274475</v>
      </c>
      <c r="U7" s="61">
        <f>VLOOKUP(C7,$C$43:$I$46,5,FALSE)</f>
        <v>131.49261807699827</v>
      </c>
      <c r="V7" s="61"/>
      <c r="Y7" s="159" t="s">
        <v>35</v>
      </c>
      <c r="Z7" s="159" t="s">
        <v>60</v>
      </c>
      <c r="AA7" s="159" t="s">
        <v>163</v>
      </c>
      <c r="AB7" s="159">
        <f t="shared" ref="AB7:AB12" si="8">RANK(AH7,$AH$6:$AH$13,1)</f>
        <v>3</v>
      </c>
      <c r="AC7" s="164">
        <f>MIN($AH$6:$AH$13)</f>
        <v>111.83246477129548</v>
      </c>
      <c r="AD7" s="164">
        <f t="shared" ref="AD7:AD13" si="9">MAX($AH$6:$AH$13)</f>
        <v>131.32153885765155</v>
      </c>
      <c r="AE7" s="159"/>
      <c r="AF7" s="159">
        <f t="shared" ref="AF7:AF31" si="10">VLOOKUP($Y7,$A$6:$I$31,5,FALSE)</f>
        <v>7</v>
      </c>
      <c r="AG7" s="160">
        <f t="shared" ref="AG7:AG31" si="11">VLOOKUP($Y7,$A$6:$I$31,6,FALSE)</f>
        <v>4816</v>
      </c>
      <c r="AH7" s="161">
        <f t="shared" ref="AH7:AH31" si="12">VLOOKUP($Y7,$A$6:$I$31,7,FALSE)</f>
        <v>120.13165892751665</v>
      </c>
      <c r="AI7" s="161">
        <f t="shared" ref="AI7:AI31" si="13">VLOOKUP($Y7,$A$6:$I$31,8,FALSE)</f>
        <v>116.73715315426645</v>
      </c>
      <c r="AJ7" s="161">
        <f t="shared" ref="AJ7:AJ31" si="14">VLOOKUP($Y7,$A$6:$I$31,9,FALSE)</f>
        <v>123.59925820838284</v>
      </c>
      <c r="AK7" s="160">
        <f t="shared" ref="AK7:AK31" si="15">VLOOKUP($Y7,$A$6:$M$31,13,FALSE)</f>
        <v>2</v>
      </c>
    </row>
    <row r="8" spans="1:37" x14ac:dyDescent="0.2">
      <c r="A8" s="62" t="s">
        <v>31</v>
      </c>
      <c r="B8" s="62" t="s">
        <v>57</v>
      </c>
      <c r="C8" s="62" t="s">
        <v>200</v>
      </c>
      <c r="D8" s="62"/>
      <c r="E8" s="62">
        <f t="shared" si="2"/>
        <v>16</v>
      </c>
      <c r="F8" s="128">
        <v>4733</v>
      </c>
      <c r="G8" s="129">
        <v>126.46643355469622</v>
      </c>
      <c r="H8" s="129">
        <v>122.87236253746973</v>
      </c>
      <c r="I8" s="129">
        <v>130.13857901565626</v>
      </c>
      <c r="J8" s="129"/>
      <c r="K8" s="129"/>
      <c r="L8" s="129"/>
      <c r="M8" s="60">
        <f t="shared" si="0"/>
        <v>5</v>
      </c>
      <c r="N8" s="61">
        <f t="shared" si="3"/>
        <v>84.667934090288284</v>
      </c>
      <c r="O8" s="61">
        <f t="shared" ref="O8:O31" si="16">VLOOKUP(7,$E$5:$G$39,3,FALSE)</f>
        <v>120.13165892751665</v>
      </c>
      <c r="P8" s="129">
        <f t="shared" si="4"/>
        <v>125.78549810659193</v>
      </c>
      <c r="Q8" s="129">
        <f t="shared" si="5"/>
        <v>124.9300748122688</v>
      </c>
      <c r="R8" s="129">
        <f t="shared" si="6"/>
        <v>126.64515902152191</v>
      </c>
      <c r="S8" s="61">
        <f t="shared" si="7"/>
        <v>130.87242308301128</v>
      </c>
      <c r="T8" s="61">
        <f t="shared" si="1"/>
        <v>163.17724756274475</v>
      </c>
      <c r="U8" s="61">
        <f t="shared" ref="U8:U31" si="17">VLOOKUP(C8,$C$43:$I$46,5,FALSE)</f>
        <v>131.49261807699827</v>
      </c>
      <c r="V8" s="61"/>
      <c r="Y8" s="159" t="s">
        <v>41</v>
      </c>
      <c r="Z8" s="159" t="s">
        <v>64</v>
      </c>
      <c r="AA8" s="159" t="s">
        <v>163</v>
      </c>
      <c r="AB8" s="159">
        <f t="shared" si="8"/>
        <v>7</v>
      </c>
      <c r="AC8" s="164">
        <f t="shared" ref="AC8:AC13" si="18">MIN($AH$6:$AH$13)</f>
        <v>111.83246477129548</v>
      </c>
      <c r="AD8" s="164">
        <f>MAX($AH$6:$AH$13)</f>
        <v>131.32153885765155</v>
      </c>
      <c r="AE8" s="159"/>
      <c r="AF8" s="159">
        <f t="shared" si="10"/>
        <v>18</v>
      </c>
      <c r="AG8" s="160">
        <f t="shared" si="11"/>
        <v>4610</v>
      </c>
      <c r="AH8" s="161">
        <f t="shared" si="12"/>
        <v>128.21754958607173</v>
      </c>
      <c r="AI8" s="161">
        <f t="shared" si="13"/>
        <v>124.52918201010988</v>
      </c>
      <c r="AJ8" s="161">
        <f t="shared" si="14"/>
        <v>131.98711475376822</v>
      </c>
      <c r="AK8" s="160">
        <f t="shared" si="15"/>
        <v>5</v>
      </c>
    </row>
    <row r="9" spans="1:37" x14ac:dyDescent="0.2">
      <c r="A9" s="62" t="s">
        <v>32</v>
      </c>
      <c r="B9" s="62" t="s">
        <v>156</v>
      </c>
      <c r="C9" s="62" t="s">
        <v>201</v>
      </c>
      <c r="D9" s="62"/>
      <c r="E9" s="62">
        <f t="shared" si="2"/>
        <v>26</v>
      </c>
      <c r="F9" s="128">
        <v>5835</v>
      </c>
      <c r="G9" s="129">
        <v>163.17724756274475</v>
      </c>
      <c r="H9" s="129">
        <v>158.4922748925899</v>
      </c>
      <c r="I9" s="129">
        <v>167.95377067616525</v>
      </c>
      <c r="J9" s="129"/>
      <c r="K9" s="129"/>
      <c r="L9" s="129"/>
      <c r="M9" s="60">
        <f t="shared" si="0"/>
        <v>1</v>
      </c>
      <c r="N9" s="61">
        <f t="shared" si="3"/>
        <v>84.667934090288284</v>
      </c>
      <c r="O9" s="61">
        <f t="shared" si="16"/>
        <v>120.13165892751665</v>
      </c>
      <c r="P9" s="129">
        <f t="shared" si="4"/>
        <v>125.78549810659193</v>
      </c>
      <c r="Q9" s="129">
        <f t="shared" si="5"/>
        <v>124.9300748122688</v>
      </c>
      <c r="R9" s="129">
        <f t="shared" si="6"/>
        <v>126.64515902152191</v>
      </c>
      <c r="S9" s="61">
        <f t="shared" si="7"/>
        <v>130.87242308301128</v>
      </c>
      <c r="T9" s="61">
        <f t="shared" si="1"/>
        <v>163.17724756274475</v>
      </c>
      <c r="U9" s="61">
        <f t="shared" si="17"/>
        <v>126.36367279448002</v>
      </c>
      <c r="V9" s="61"/>
      <c r="X9" s="63"/>
      <c r="Y9" s="159" t="s">
        <v>45</v>
      </c>
      <c r="Z9" s="159" t="s">
        <v>67</v>
      </c>
      <c r="AA9" s="159" t="s">
        <v>163</v>
      </c>
      <c r="AB9" s="159">
        <f t="shared" si="8"/>
        <v>2</v>
      </c>
      <c r="AC9" s="164">
        <f t="shared" si="18"/>
        <v>111.83246477129548</v>
      </c>
      <c r="AD9" s="164">
        <f t="shared" si="9"/>
        <v>131.32153885765155</v>
      </c>
      <c r="AE9" s="159"/>
      <c r="AF9" s="159">
        <f t="shared" si="10"/>
        <v>6</v>
      </c>
      <c r="AG9" s="160">
        <f t="shared" si="11"/>
        <v>2936</v>
      </c>
      <c r="AH9" s="161">
        <f t="shared" si="12"/>
        <v>118.10530467779955</v>
      </c>
      <c r="AI9" s="161">
        <f t="shared" si="13"/>
        <v>113.8241869360224</v>
      </c>
      <c r="AJ9" s="161">
        <f t="shared" si="14"/>
        <v>122.50488261396916</v>
      </c>
      <c r="AK9" s="160">
        <f t="shared" si="15"/>
        <v>2</v>
      </c>
    </row>
    <row r="10" spans="1:37" x14ac:dyDescent="0.2">
      <c r="A10" s="62" t="s">
        <v>33</v>
      </c>
      <c r="B10" s="62" t="s">
        <v>58</v>
      </c>
      <c r="C10" s="62" t="s">
        <v>163</v>
      </c>
      <c r="D10" s="62"/>
      <c r="E10" s="62">
        <f t="shared" si="2"/>
        <v>14</v>
      </c>
      <c r="F10" s="128">
        <v>4108</v>
      </c>
      <c r="G10" s="129">
        <v>125.60341050554327</v>
      </c>
      <c r="H10" s="129">
        <v>121.6454529359537</v>
      </c>
      <c r="I10" s="129">
        <v>129.65373745699844</v>
      </c>
      <c r="J10" s="129"/>
      <c r="K10" s="129"/>
      <c r="L10" s="129"/>
      <c r="M10" s="60">
        <f t="shared" si="0"/>
        <v>5</v>
      </c>
      <c r="N10" s="61">
        <f t="shared" si="3"/>
        <v>84.667934090288284</v>
      </c>
      <c r="O10" s="61">
        <f t="shared" si="16"/>
        <v>120.13165892751665</v>
      </c>
      <c r="P10" s="129">
        <f t="shared" si="4"/>
        <v>125.78549810659193</v>
      </c>
      <c r="Q10" s="129">
        <f t="shared" si="5"/>
        <v>124.9300748122688</v>
      </c>
      <c r="R10" s="129">
        <f t="shared" si="6"/>
        <v>126.64515902152191</v>
      </c>
      <c r="S10" s="61">
        <f t="shared" si="7"/>
        <v>130.87242308301128</v>
      </c>
      <c r="T10" s="61">
        <f t="shared" si="1"/>
        <v>163.17724756274475</v>
      </c>
      <c r="U10" s="61">
        <f t="shared" si="17"/>
        <v>124.79232994699034</v>
      </c>
      <c r="V10" s="61"/>
      <c r="Y10" s="159" t="s">
        <v>46</v>
      </c>
      <c r="Z10" s="159" t="s">
        <v>68</v>
      </c>
      <c r="AA10" s="159" t="s">
        <v>163</v>
      </c>
      <c r="AB10" s="159">
        <f t="shared" si="8"/>
        <v>5</v>
      </c>
      <c r="AC10" s="164">
        <f t="shared" si="18"/>
        <v>111.83246477129548</v>
      </c>
      <c r="AD10" s="164">
        <f t="shared" si="9"/>
        <v>131.32153885765155</v>
      </c>
      <c r="AE10" s="159"/>
      <c r="AF10" s="159">
        <f t="shared" si="10"/>
        <v>12</v>
      </c>
      <c r="AG10" s="160">
        <f t="shared" si="11"/>
        <v>4590</v>
      </c>
      <c r="AH10" s="161">
        <f t="shared" si="12"/>
        <v>124.71204296317261</v>
      </c>
      <c r="AI10" s="161">
        <f t="shared" si="13"/>
        <v>121.10098997562505</v>
      </c>
      <c r="AJ10" s="161">
        <f t="shared" si="14"/>
        <v>128.40276660831182</v>
      </c>
      <c r="AK10" s="160">
        <f t="shared" si="15"/>
        <v>5</v>
      </c>
    </row>
    <row r="11" spans="1:37" x14ac:dyDescent="0.2">
      <c r="A11" s="62" t="s">
        <v>34</v>
      </c>
      <c r="B11" s="62" t="s">
        <v>59</v>
      </c>
      <c r="C11" s="62" t="s">
        <v>200</v>
      </c>
      <c r="D11" s="62"/>
      <c r="E11" s="62">
        <f t="shared" si="2"/>
        <v>19</v>
      </c>
      <c r="F11" s="128">
        <v>5276</v>
      </c>
      <c r="G11" s="129">
        <v>128.81452337380935</v>
      </c>
      <c r="H11" s="129">
        <v>125.20698011649</v>
      </c>
      <c r="I11" s="129">
        <v>132.49624457644583</v>
      </c>
      <c r="J11" s="129"/>
      <c r="K11" s="129"/>
      <c r="L11" s="129"/>
      <c r="M11" s="60">
        <f t="shared" si="0"/>
        <v>5</v>
      </c>
      <c r="N11" s="61">
        <f t="shared" si="3"/>
        <v>84.667934090288284</v>
      </c>
      <c r="O11" s="61">
        <f t="shared" si="16"/>
        <v>120.13165892751665</v>
      </c>
      <c r="P11" s="129">
        <f t="shared" si="4"/>
        <v>125.78549810659193</v>
      </c>
      <c r="Q11" s="129">
        <f t="shared" si="5"/>
        <v>124.9300748122688</v>
      </c>
      <c r="R11" s="129">
        <f t="shared" si="6"/>
        <v>126.64515902152191</v>
      </c>
      <c r="S11" s="61">
        <f t="shared" si="7"/>
        <v>130.87242308301128</v>
      </c>
      <c r="T11" s="61">
        <f t="shared" si="1"/>
        <v>163.17724756274475</v>
      </c>
      <c r="U11" s="61">
        <f t="shared" si="17"/>
        <v>131.49261807699827</v>
      </c>
      <c r="V11" s="61"/>
      <c r="Y11" s="159" t="s">
        <v>47</v>
      </c>
      <c r="Z11" s="159" t="s">
        <v>69</v>
      </c>
      <c r="AA11" s="159" t="s">
        <v>163</v>
      </c>
      <c r="AB11" s="159">
        <f t="shared" si="8"/>
        <v>4</v>
      </c>
      <c r="AC11" s="164">
        <f t="shared" si="18"/>
        <v>111.83246477129548</v>
      </c>
      <c r="AD11" s="164">
        <f t="shared" si="9"/>
        <v>131.32153885765155</v>
      </c>
      <c r="AE11" s="159"/>
      <c r="AF11" s="159">
        <f t="shared" si="10"/>
        <v>9</v>
      </c>
      <c r="AG11" s="160">
        <f t="shared" si="11"/>
        <v>1859</v>
      </c>
      <c r="AH11" s="161">
        <f t="shared" si="12"/>
        <v>123.17425115401933</v>
      </c>
      <c r="AI11" s="161">
        <f t="shared" si="13"/>
        <v>117.4245592816342</v>
      </c>
      <c r="AJ11" s="161">
        <f t="shared" si="14"/>
        <v>129.12466500403519</v>
      </c>
      <c r="AK11" s="160">
        <f t="shared" si="15"/>
        <v>5</v>
      </c>
    </row>
    <row r="12" spans="1:37" x14ac:dyDescent="0.2">
      <c r="A12" s="62" t="s">
        <v>35</v>
      </c>
      <c r="B12" s="62" t="s">
        <v>60</v>
      </c>
      <c r="C12" s="62" t="s">
        <v>163</v>
      </c>
      <c r="D12" s="62"/>
      <c r="E12" s="62">
        <f t="shared" si="2"/>
        <v>7</v>
      </c>
      <c r="F12" s="128">
        <v>4816</v>
      </c>
      <c r="G12" s="129">
        <v>120.13165892751665</v>
      </c>
      <c r="H12" s="129">
        <v>116.73715315426645</v>
      </c>
      <c r="I12" s="129">
        <v>123.59925820838284</v>
      </c>
      <c r="J12" s="129"/>
      <c r="K12" s="129"/>
      <c r="L12" s="129"/>
      <c r="M12" s="60">
        <f t="shared" si="0"/>
        <v>2</v>
      </c>
      <c r="N12" s="61">
        <f t="shared" si="3"/>
        <v>84.667934090288284</v>
      </c>
      <c r="O12" s="61">
        <f t="shared" si="16"/>
        <v>120.13165892751665</v>
      </c>
      <c r="P12" s="129">
        <f t="shared" si="4"/>
        <v>125.78549810659193</v>
      </c>
      <c r="Q12" s="129">
        <f t="shared" si="5"/>
        <v>124.9300748122688</v>
      </c>
      <c r="R12" s="129">
        <f t="shared" si="6"/>
        <v>126.64515902152191</v>
      </c>
      <c r="S12" s="61">
        <f t="shared" si="7"/>
        <v>130.87242308301128</v>
      </c>
      <c r="T12" s="61">
        <f t="shared" si="1"/>
        <v>163.17724756274475</v>
      </c>
      <c r="U12" s="61">
        <f t="shared" si="17"/>
        <v>124.79232994699034</v>
      </c>
      <c r="V12" s="61"/>
      <c r="Y12" s="159" t="s">
        <v>50</v>
      </c>
      <c r="Z12" s="159" t="s">
        <v>161</v>
      </c>
      <c r="AA12" s="159" t="s">
        <v>163</v>
      </c>
      <c r="AB12" s="159">
        <f t="shared" si="8"/>
        <v>1</v>
      </c>
      <c r="AC12" s="164">
        <f t="shared" si="18"/>
        <v>111.83246477129548</v>
      </c>
      <c r="AD12" s="164">
        <f t="shared" si="9"/>
        <v>131.32153885765155</v>
      </c>
      <c r="AE12" s="159"/>
      <c r="AF12" s="159">
        <f t="shared" si="10"/>
        <v>5</v>
      </c>
      <c r="AG12" s="160">
        <f t="shared" si="11"/>
        <v>1677</v>
      </c>
      <c r="AH12" s="161">
        <f t="shared" si="12"/>
        <v>111.83246477129548</v>
      </c>
      <c r="AI12" s="161">
        <f t="shared" si="13"/>
        <v>106.48135596977534</v>
      </c>
      <c r="AJ12" s="161">
        <f t="shared" si="14"/>
        <v>117.38045585139227</v>
      </c>
      <c r="AK12" s="160">
        <f t="shared" si="15"/>
        <v>2</v>
      </c>
    </row>
    <row r="13" spans="1:37" x14ac:dyDescent="0.2">
      <c r="A13" s="62" t="s">
        <v>36</v>
      </c>
      <c r="B13" s="62" t="s">
        <v>61</v>
      </c>
      <c r="C13" s="62" t="s">
        <v>201</v>
      </c>
      <c r="D13" s="62"/>
      <c r="E13" s="62">
        <f t="shared" si="2"/>
        <v>1</v>
      </c>
      <c r="F13" s="128">
        <v>1566</v>
      </c>
      <c r="G13" s="129">
        <v>84.667934090288284</v>
      </c>
      <c r="H13" s="129">
        <v>75.29132454778744</v>
      </c>
      <c r="I13" s="129">
        <v>94.40180344024796</v>
      </c>
      <c r="J13" s="129"/>
      <c r="K13" s="129"/>
      <c r="L13" s="129"/>
      <c r="M13" s="60">
        <f t="shared" si="0"/>
        <v>2</v>
      </c>
      <c r="N13" s="61">
        <f t="shared" si="3"/>
        <v>84.667934090288284</v>
      </c>
      <c r="O13" s="61">
        <f t="shared" si="16"/>
        <v>120.13165892751665</v>
      </c>
      <c r="P13" s="129">
        <f t="shared" si="4"/>
        <v>125.78549810659193</v>
      </c>
      <c r="Q13" s="129">
        <f t="shared" si="5"/>
        <v>124.9300748122688</v>
      </c>
      <c r="R13" s="129">
        <f t="shared" si="6"/>
        <v>126.64515902152191</v>
      </c>
      <c r="S13" s="61">
        <f t="shared" si="7"/>
        <v>130.87242308301128</v>
      </c>
      <c r="T13" s="61">
        <f t="shared" si="1"/>
        <v>163.17724756274475</v>
      </c>
      <c r="U13" s="61">
        <f t="shared" si="17"/>
        <v>126.36367279448002</v>
      </c>
      <c r="V13" s="61"/>
      <c r="Y13" s="159" t="s">
        <v>53</v>
      </c>
      <c r="Z13" s="159" t="s">
        <v>162</v>
      </c>
      <c r="AA13" s="159" t="s">
        <v>163</v>
      </c>
      <c r="AB13" s="159">
        <f>RANK(AH13,$AH$6:$AH$13,1)</f>
        <v>8</v>
      </c>
      <c r="AC13" s="164">
        <f t="shared" si="18"/>
        <v>111.83246477129548</v>
      </c>
      <c r="AD13" s="164">
        <f t="shared" si="9"/>
        <v>131.32153885765155</v>
      </c>
      <c r="AE13" s="159"/>
      <c r="AF13" s="159">
        <f t="shared" si="10"/>
        <v>21</v>
      </c>
      <c r="AG13" s="160">
        <f t="shared" si="11"/>
        <v>9946</v>
      </c>
      <c r="AH13" s="161">
        <f t="shared" si="12"/>
        <v>131.32153885765155</v>
      </c>
      <c r="AI13" s="161">
        <f t="shared" si="13"/>
        <v>128.6943477833135</v>
      </c>
      <c r="AJ13" s="161">
        <f t="shared" si="14"/>
        <v>133.98795336134131</v>
      </c>
      <c r="AK13" s="160">
        <f t="shared" si="15"/>
        <v>1</v>
      </c>
    </row>
    <row r="14" spans="1:37" x14ac:dyDescent="0.2">
      <c r="A14" s="62" t="s">
        <v>37</v>
      </c>
      <c r="B14" s="62" t="s">
        <v>157</v>
      </c>
      <c r="C14" s="62" t="s">
        <v>201</v>
      </c>
      <c r="D14" s="62"/>
      <c r="E14" s="62">
        <f t="shared" si="2"/>
        <v>22</v>
      </c>
      <c r="F14" s="128">
        <v>5303</v>
      </c>
      <c r="G14" s="129">
        <v>135.02733767650059</v>
      </c>
      <c r="H14" s="129">
        <v>130.49714814602379</v>
      </c>
      <c r="I14" s="129">
        <v>139.65043639207104</v>
      </c>
      <c r="J14" s="129"/>
      <c r="K14" s="129"/>
      <c r="L14" s="129"/>
      <c r="M14" s="60">
        <f t="shared" si="0"/>
        <v>1</v>
      </c>
      <c r="N14" s="61">
        <f t="shared" si="3"/>
        <v>84.667934090288284</v>
      </c>
      <c r="O14" s="61">
        <f t="shared" si="16"/>
        <v>120.13165892751665</v>
      </c>
      <c r="P14" s="129">
        <f t="shared" si="4"/>
        <v>125.78549810659193</v>
      </c>
      <c r="Q14" s="129">
        <f t="shared" si="5"/>
        <v>124.9300748122688</v>
      </c>
      <c r="R14" s="129">
        <f t="shared" si="6"/>
        <v>126.64515902152191</v>
      </c>
      <c r="S14" s="61">
        <f t="shared" si="7"/>
        <v>130.87242308301128</v>
      </c>
      <c r="T14" s="61">
        <f t="shared" si="1"/>
        <v>163.17724756274475</v>
      </c>
      <c r="U14" s="61">
        <f t="shared" si="17"/>
        <v>126.36367279448002</v>
      </c>
      <c r="V14" s="61"/>
      <c r="Y14" s="162" t="s">
        <v>29</v>
      </c>
      <c r="Z14" s="162" t="s">
        <v>55</v>
      </c>
      <c r="AA14" s="162" t="s">
        <v>201</v>
      </c>
      <c r="AB14" s="162">
        <f>RANK(AH14,$AH$14:$AH$22,1)</f>
        <v>4</v>
      </c>
      <c r="AC14" s="165">
        <f t="shared" ref="AC14:AC22" si="19">MIN($AH$14:$AH$22)</f>
        <v>84.667934090288284</v>
      </c>
      <c r="AD14" s="165">
        <f>MAX($AH$14:$AH$22)</f>
        <v>163.17724756274475</v>
      </c>
      <c r="AE14" s="162"/>
      <c r="AF14" s="162">
        <f t="shared" si="10"/>
        <v>8</v>
      </c>
      <c r="AG14" s="167">
        <f t="shared" si="11"/>
        <v>2526</v>
      </c>
      <c r="AH14" s="165">
        <f t="shared" si="12"/>
        <v>121.24014112788352</v>
      </c>
      <c r="AI14" s="165">
        <f t="shared" si="13"/>
        <v>116.08579609331993</v>
      </c>
      <c r="AJ14" s="165">
        <f t="shared" si="14"/>
        <v>126.54843137965547</v>
      </c>
      <c r="AK14" s="167">
        <f t="shared" si="15"/>
        <v>5</v>
      </c>
    </row>
    <row r="15" spans="1:37" x14ac:dyDescent="0.2">
      <c r="A15" s="62" t="s">
        <v>38</v>
      </c>
      <c r="B15" s="62" t="s">
        <v>62</v>
      </c>
      <c r="C15" s="62" t="s">
        <v>201</v>
      </c>
      <c r="D15" s="62"/>
      <c r="E15" s="62">
        <f t="shared" si="2"/>
        <v>15</v>
      </c>
      <c r="F15" s="128">
        <v>2582</v>
      </c>
      <c r="G15" s="129">
        <v>126.39875619889465</v>
      </c>
      <c r="H15" s="129">
        <v>121.52694793002723</v>
      </c>
      <c r="I15" s="129">
        <v>131.41445882817163</v>
      </c>
      <c r="J15" s="129"/>
      <c r="K15" s="129"/>
      <c r="L15" s="129"/>
      <c r="M15" s="60">
        <f t="shared" si="0"/>
        <v>5</v>
      </c>
      <c r="N15" s="61">
        <f t="shared" si="3"/>
        <v>84.667934090288284</v>
      </c>
      <c r="O15" s="61">
        <f t="shared" si="16"/>
        <v>120.13165892751665</v>
      </c>
      <c r="P15" s="129">
        <f t="shared" si="4"/>
        <v>125.78549810659193</v>
      </c>
      <c r="Q15" s="129">
        <f t="shared" si="5"/>
        <v>124.9300748122688</v>
      </c>
      <c r="R15" s="129">
        <f t="shared" si="6"/>
        <v>126.64515902152191</v>
      </c>
      <c r="S15" s="61">
        <f t="shared" si="7"/>
        <v>130.87242308301128</v>
      </c>
      <c r="T15" s="61">
        <f t="shared" si="1"/>
        <v>163.17724756274475</v>
      </c>
      <c r="U15" s="61">
        <f t="shared" si="17"/>
        <v>126.36367279448002</v>
      </c>
      <c r="V15" s="61"/>
      <c r="Y15" s="162" t="s">
        <v>32</v>
      </c>
      <c r="Z15" s="162" t="s">
        <v>156</v>
      </c>
      <c r="AA15" s="162" t="s">
        <v>201</v>
      </c>
      <c r="AB15" s="162">
        <f>RANK(AH15,$AH$14:$AH$22,1)</f>
        <v>9</v>
      </c>
      <c r="AC15" s="165">
        <f t="shared" si="19"/>
        <v>84.667934090288284</v>
      </c>
      <c r="AD15" s="165">
        <f t="shared" ref="AD15:AD22" si="20">MAX($AH$14:$AH$22)</f>
        <v>163.17724756274475</v>
      </c>
      <c r="AE15" s="162"/>
      <c r="AF15" s="162">
        <f t="shared" si="10"/>
        <v>26</v>
      </c>
      <c r="AG15" s="167">
        <f t="shared" si="11"/>
        <v>5835</v>
      </c>
      <c r="AH15" s="165">
        <f t="shared" si="12"/>
        <v>163.17724756274475</v>
      </c>
      <c r="AI15" s="165">
        <f t="shared" si="13"/>
        <v>158.4922748925899</v>
      </c>
      <c r="AJ15" s="165">
        <f t="shared" si="14"/>
        <v>167.95377067616525</v>
      </c>
      <c r="AK15" s="167">
        <f t="shared" si="15"/>
        <v>1</v>
      </c>
    </row>
    <row r="16" spans="1:37" x14ac:dyDescent="0.2">
      <c r="A16" s="62" t="s">
        <v>39</v>
      </c>
      <c r="B16" s="62" t="s">
        <v>158</v>
      </c>
      <c r="C16" s="62" t="s">
        <v>200</v>
      </c>
      <c r="D16" s="62"/>
      <c r="E16" s="62">
        <f t="shared" si="2"/>
        <v>20</v>
      </c>
      <c r="F16" s="128">
        <v>4180</v>
      </c>
      <c r="G16" s="129">
        <v>130.87242308301128</v>
      </c>
      <c r="H16" s="129">
        <v>126.82202913894191</v>
      </c>
      <c r="I16" s="129">
        <v>135.0165155952952</v>
      </c>
      <c r="J16" s="129"/>
      <c r="K16" s="129"/>
      <c r="L16" s="129"/>
      <c r="M16" s="60">
        <f t="shared" si="0"/>
        <v>1</v>
      </c>
      <c r="N16" s="61">
        <f t="shared" si="3"/>
        <v>84.667934090288284</v>
      </c>
      <c r="O16" s="61">
        <f t="shared" si="16"/>
        <v>120.13165892751665</v>
      </c>
      <c r="P16" s="129">
        <f t="shared" si="4"/>
        <v>125.78549810659193</v>
      </c>
      <c r="Q16" s="129">
        <f t="shared" si="5"/>
        <v>124.9300748122688</v>
      </c>
      <c r="R16" s="129">
        <f t="shared" si="6"/>
        <v>126.64515902152191</v>
      </c>
      <c r="S16" s="61">
        <f t="shared" si="7"/>
        <v>130.87242308301128</v>
      </c>
      <c r="T16" s="61">
        <f t="shared" si="1"/>
        <v>163.17724756274475</v>
      </c>
      <c r="U16" s="61">
        <f t="shared" si="17"/>
        <v>131.49261807699827</v>
      </c>
      <c r="V16" s="61"/>
      <c r="Y16" s="162" t="s">
        <v>36</v>
      </c>
      <c r="Z16" s="162" t="s">
        <v>61</v>
      </c>
      <c r="AA16" s="162" t="s">
        <v>201</v>
      </c>
      <c r="AB16" s="162">
        <f>RANK(AH16,$AH$14:$AH$22,1)</f>
        <v>1</v>
      </c>
      <c r="AC16" s="165">
        <f t="shared" si="19"/>
        <v>84.667934090288284</v>
      </c>
      <c r="AD16" s="165">
        <f t="shared" si="20"/>
        <v>163.17724756274475</v>
      </c>
      <c r="AE16" s="162"/>
      <c r="AF16" s="162">
        <f t="shared" si="10"/>
        <v>1</v>
      </c>
      <c r="AG16" s="167">
        <f t="shared" si="11"/>
        <v>1566</v>
      </c>
      <c r="AH16" s="165">
        <f t="shared" si="12"/>
        <v>84.667934090288284</v>
      </c>
      <c r="AI16" s="165">
        <f t="shared" si="13"/>
        <v>75.29132454778744</v>
      </c>
      <c r="AJ16" s="165">
        <f t="shared" si="14"/>
        <v>94.40180344024796</v>
      </c>
      <c r="AK16" s="167">
        <f t="shared" si="15"/>
        <v>2</v>
      </c>
    </row>
    <row r="17" spans="1:37" x14ac:dyDescent="0.2">
      <c r="A17" s="62" t="s">
        <v>40</v>
      </c>
      <c r="B17" s="62" t="s">
        <v>63</v>
      </c>
      <c r="C17" s="62" t="s">
        <v>200</v>
      </c>
      <c r="D17" s="62"/>
      <c r="E17" s="62">
        <f t="shared" si="2"/>
        <v>25</v>
      </c>
      <c r="F17" s="128">
        <v>3195</v>
      </c>
      <c r="G17" s="129">
        <v>151.23600321730905</v>
      </c>
      <c r="H17" s="129">
        <v>145.77484959800009</v>
      </c>
      <c r="I17" s="129">
        <v>156.84192358690322</v>
      </c>
      <c r="J17" s="129"/>
      <c r="K17" s="129"/>
      <c r="L17" s="129"/>
      <c r="M17" s="60">
        <f t="shared" si="0"/>
        <v>1</v>
      </c>
      <c r="N17" s="61">
        <f t="shared" si="3"/>
        <v>84.667934090288284</v>
      </c>
      <c r="O17" s="61">
        <f t="shared" si="16"/>
        <v>120.13165892751665</v>
      </c>
      <c r="P17" s="129">
        <f t="shared" si="4"/>
        <v>125.78549810659193</v>
      </c>
      <c r="Q17" s="129">
        <f t="shared" si="5"/>
        <v>124.9300748122688</v>
      </c>
      <c r="R17" s="129">
        <f t="shared" si="6"/>
        <v>126.64515902152191</v>
      </c>
      <c r="S17" s="61">
        <f t="shared" si="7"/>
        <v>130.87242308301128</v>
      </c>
      <c r="T17" s="61">
        <f t="shared" si="1"/>
        <v>163.17724756274475</v>
      </c>
      <c r="U17" s="61">
        <f t="shared" si="17"/>
        <v>131.49261807699827</v>
      </c>
      <c r="V17" s="61"/>
      <c r="Y17" s="162" t="s">
        <v>37</v>
      </c>
      <c r="Z17" s="162" t="s">
        <v>157</v>
      </c>
      <c r="AA17" s="162" t="s">
        <v>201</v>
      </c>
      <c r="AB17" s="162">
        <f t="shared" ref="AB17:AB22" si="21">RANK(AH17,$AH$14:$AH$22,1)</f>
        <v>8</v>
      </c>
      <c r="AC17" s="165">
        <f t="shared" si="19"/>
        <v>84.667934090288284</v>
      </c>
      <c r="AD17" s="165">
        <f>MAX($AH$14:$AH$22)</f>
        <v>163.17724756274475</v>
      </c>
      <c r="AE17" s="162"/>
      <c r="AF17" s="162">
        <f t="shared" si="10"/>
        <v>22</v>
      </c>
      <c r="AG17" s="167">
        <f t="shared" si="11"/>
        <v>5303</v>
      </c>
      <c r="AH17" s="165">
        <f t="shared" si="12"/>
        <v>135.02733767650059</v>
      </c>
      <c r="AI17" s="165">
        <f t="shared" si="13"/>
        <v>130.49714814602379</v>
      </c>
      <c r="AJ17" s="165">
        <f t="shared" si="14"/>
        <v>139.65043639207104</v>
      </c>
      <c r="AK17" s="167">
        <f t="shared" si="15"/>
        <v>1</v>
      </c>
    </row>
    <row r="18" spans="1:37" x14ac:dyDescent="0.2">
      <c r="A18" s="62" t="s">
        <v>41</v>
      </c>
      <c r="B18" s="62" t="s">
        <v>64</v>
      </c>
      <c r="C18" s="62" t="s">
        <v>163</v>
      </c>
      <c r="D18" s="62"/>
      <c r="E18" s="62">
        <f t="shared" si="2"/>
        <v>18</v>
      </c>
      <c r="F18" s="128">
        <v>4610</v>
      </c>
      <c r="G18" s="129">
        <v>128.21754958607173</v>
      </c>
      <c r="H18" s="129">
        <v>124.52918201010988</v>
      </c>
      <c r="I18" s="129">
        <v>131.98711475376822</v>
      </c>
      <c r="J18" s="129"/>
      <c r="K18" s="129"/>
      <c r="L18" s="129"/>
      <c r="M18" s="60">
        <f t="shared" si="0"/>
        <v>5</v>
      </c>
      <c r="N18" s="61">
        <f t="shared" si="3"/>
        <v>84.667934090288284</v>
      </c>
      <c r="O18" s="61">
        <f t="shared" si="16"/>
        <v>120.13165892751665</v>
      </c>
      <c r="P18" s="129">
        <f t="shared" si="4"/>
        <v>125.78549810659193</v>
      </c>
      <c r="Q18" s="129">
        <f t="shared" si="5"/>
        <v>124.9300748122688</v>
      </c>
      <c r="R18" s="129">
        <f t="shared" si="6"/>
        <v>126.64515902152191</v>
      </c>
      <c r="S18" s="61">
        <f t="shared" si="7"/>
        <v>130.87242308301128</v>
      </c>
      <c r="T18" s="61">
        <f t="shared" si="1"/>
        <v>163.17724756274475</v>
      </c>
      <c r="U18" s="61">
        <f t="shared" si="17"/>
        <v>124.79232994699034</v>
      </c>
      <c r="V18" s="61"/>
      <c r="Y18" s="162" t="s">
        <v>38</v>
      </c>
      <c r="Z18" s="162" t="s">
        <v>62</v>
      </c>
      <c r="AA18" s="162" t="s">
        <v>201</v>
      </c>
      <c r="AB18" s="162">
        <f t="shared" si="21"/>
        <v>7</v>
      </c>
      <c r="AC18" s="165">
        <f t="shared" si="19"/>
        <v>84.667934090288284</v>
      </c>
      <c r="AD18" s="165">
        <f t="shared" si="20"/>
        <v>163.17724756274475</v>
      </c>
      <c r="AE18" s="162"/>
      <c r="AF18" s="162">
        <f t="shared" si="10"/>
        <v>15</v>
      </c>
      <c r="AG18" s="167">
        <f t="shared" si="11"/>
        <v>2582</v>
      </c>
      <c r="AH18" s="165">
        <f t="shared" si="12"/>
        <v>126.39875619889465</v>
      </c>
      <c r="AI18" s="165">
        <f t="shared" si="13"/>
        <v>121.52694793002723</v>
      </c>
      <c r="AJ18" s="165">
        <f t="shared" si="14"/>
        <v>131.41445882817163</v>
      </c>
      <c r="AK18" s="167">
        <f t="shared" si="15"/>
        <v>5</v>
      </c>
    </row>
    <row r="19" spans="1:37" x14ac:dyDescent="0.2">
      <c r="A19" s="62" t="s">
        <v>42</v>
      </c>
      <c r="B19" s="62" t="s">
        <v>65</v>
      </c>
      <c r="C19" s="62" t="s">
        <v>200</v>
      </c>
      <c r="D19" s="62"/>
      <c r="E19" s="62">
        <f t="shared" si="2"/>
        <v>17</v>
      </c>
      <c r="F19" s="128">
        <v>1484</v>
      </c>
      <c r="G19" s="129">
        <v>127.38430814124376</v>
      </c>
      <c r="H19" s="129">
        <v>120.42696258135774</v>
      </c>
      <c r="I19" s="129">
        <v>134.61411680001808</v>
      </c>
      <c r="J19" s="129"/>
      <c r="K19" s="129"/>
      <c r="L19" s="129"/>
      <c r="M19" s="60">
        <f t="shared" si="0"/>
        <v>5</v>
      </c>
      <c r="N19" s="61">
        <f t="shared" si="3"/>
        <v>84.667934090288284</v>
      </c>
      <c r="O19" s="61">
        <f t="shared" si="16"/>
        <v>120.13165892751665</v>
      </c>
      <c r="P19" s="129">
        <f t="shared" si="4"/>
        <v>125.78549810659193</v>
      </c>
      <c r="Q19" s="129">
        <f t="shared" si="5"/>
        <v>124.9300748122688</v>
      </c>
      <c r="R19" s="129">
        <f t="shared" si="6"/>
        <v>126.64515902152191</v>
      </c>
      <c r="S19" s="61">
        <f t="shared" si="7"/>
        <v>130.87242308301128</v>
      </c>
      <c r="T19" s="61">
        <f t="shared" si="1"/>
        <v>163.17724756274475</v>
      </c>
      <c r="U19" s="61">
        <f t="shared" si="17"/>
        <v>131.49261807699827</v>
      </c>
      <c r="V19" s="61"/>
      <c r="Y19" s="162" t="s">
        <v>43</v>
      </c>
      <c r="Z19" s="162" t="s">
        <v>159</v>
      </c>
      <c r="AA19" s="162" t="s">
        <v>201</v>
      </c>
      <c r="AB19" s="162">
        <f t="shared" si="21"/>
        <v>6</v>
      </c>
      <c r="AC19" s="165">
        <f t="shared" si="19"/>
        <v>84.667934090288284</v>
      </c>
      <c r="AD19" s="165">
        <f t="shared" si="20"/>
        <v>163.17724756274475</v>
      </c>
      <c r="AE19" s="162"/>
      <c r="AF19" s="162">
        <f t="shared" si="10"/>
        <v>13</v>
      </c>
      <c r="AG19" s="167">
        <f t="shared" si="11"/>
        <v>3518</v>
      </c>
      <c r="AH19" s="165">
        <f t="shared" si="12"/>
        <v>125.47215633088049</v>
      </c>
      <c r="AI19" s="165">
        <f t="shared" si="13"/>
        <v>121.19220064400544</v>
      </c>
      <c r="AJ19" s="165">
        <f t="shared" si="14"/>
        <v>129.8601592213449</v>
      </c>
      <c r="AK19" s="167">
        <f t="shared" si="15"/>
        <v>5</v>
      </c>
    </row>
    <row r="20" spans="1:37" x14ac:dyDescent="0.2">
      <c r="A20" s="62" t="s">
        <v>43</v>
      </c>
      <c r="B20" s="62" t="s">
        <v>159</v>
      </c>
      <c r="C20" s="62" t="s">
        <v>201</v>
      </c>
      <c r="D20" s="62"/>
      <c r="E20" s="62">
        <f t="shared" si="2"/>
        <v>13</v>
      </c>
      <c r="F20" s="128">
        <v>3518</v>
      </c>
      <c r="G20" s="129">
        <v>125.47215633088049</v>
      </c>
      <c r="H20" s="129">
        <v>121.19220064400544</v>
      </c>
      <c r="I20" s="129">
        <v>129.8601592213449</v>
      </c>
      <c r="J20" s="129"/>
      <c r="K20" s="129"/>
      <c r="L20" s="129"/>
      <c r="M20" s="60">
        <f t="shared" si="0"/>
        <v>5</v>
      </c>
      <c r="N20" s="61">
        <f t="shared" si="3"/>
        <v>84.667934090288284</v>
      </c>
      <c r="O20" s="61">
        <f t="shared" si="16"/>
        <v>120.13165892751665</v>
      </c>
      <c r="P20" s="129">
        <f t="shared" si="4"/>
        <v>125.78549810659193</v>
      </c>
      <c r="Q20" s="129">
        <f t="shared" si="5"/>
        <v>124.9300748122688</v>
      </c>
      <c r="R20" s="129">
        <f t="shared" si="6"/>
        <v>126.64515902152191</v>
      </c>
      <c r="S20" s="61">
        <f t="shared" si="7"/>
        <v>130.87242308301128</v>
      </c>
      <c r="T20" s="61">
        <f t="shared" si="1"/>
        <v>163.17724756274475</v>
      </c>
      <c r="U20" s="61">
        <f t="shared" si="17"/>
        <v>126.36367279448002</v>
      </c>
      <c r="V20" s="61"/>
      <c r="Y20" s="162" t="s">
        <v>48</v>
      </c>
      <c r="Z20" s="162" t="s">
        <v>160</v>
      </c>
      <c r="AA20" s="162" t="s">
        <v>201</v>
      </c>
      <c r="AB20" s="162">
        <f t="shared" si="21"/>
        <v>2</v>
      </c>
      <c r="AC20" s="165">
        <f t="shared" si="19"/>
        <v>84.667934090288284</v>
      </c>
      <c r="AD20" s="165">
        <f t="shared" si="20"/>
        <v>163.17724756274475</v>
      </c>
      <c r="AE20" s="162"/>
      <c r="AF20" s="162">
        <f t="shared" si="10"/>
        <v>2</v>
      </c>
      <c r="AG20" s="167">
        <f t="shared" si="11"/>
        <v>1578</v>
      </c>
      <c r="AH20" s="165">
        <f t="shared" si="12"/>
        <v>87.352942251347258</v>
      </c>
      <c r="AI20" s="165">
        <f t="shared" si="13"/>
        <v>83.046577792857221</v>
      </c>
      <c r="AJ20" s="165">
        <f t="shared" si="14"/>
        <v>91.82274619651109</v>
      </c>
      <c r="AK20" s="167">
        <f t="shared" si="15"/>
        <v>2</v>
      </c>
    </row>
    <row r="21" spans="1:37" x14ac:dyDescent="0.2">
      <c r="A21" s="62" t="s">
        <v>44</v>
      </c>
      <c r="B21" s="62" t="s">
        <v>66</v>
      </c>
      <c r="C21" s="62" t="s">
        <v>200</v>
      </c>
      <c r="D21" s="62"/>
      <c r="E21" s="62">
        <f t="shared" si="2"/>
        <v>11</v>
      </c>
      <c r="F21" s="128">
        <v>1502</v>
      </c>
      <c r="G21" s="129">
        <v>124.69647172144228</v>
      </c>
      <c r="H21" s="129">
        <v>118.23573594713098</v>
      </c>
      <c r="I21" s="129">
        <v>131.40866937830404</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5</v>
      </c>
      <c r="N21" s="61">
        <f t="shared" si="3"/>
        <v>84.667934090288284</v>
      </c>
      <c r="O21" s="61">
        <f t="shared" si="16"/>
        <v>120.13165892751665</v>
      </c>
      <c r="P21" s="129">
        <f t="shared" si="4"/>
        <v>125.78549810659193</v>
      </c>
      <c r="Q21" s="129">
        <f t="shared" si="5"/>
        <v>124.9300748122688</v>
      </c>
      <c r="R21" s="129">
        <f t="shared" si="6"/>
        <v>126.64515902152191</v>
      </c>
      <c r="S21" s="61">
        <f t="shared" si="7"/>
        <v>130.87242308301128</v>
      </c>
      <c r="T21" s="61">
        <f t="shared" si="1"/>
        <v>163.17724756274475</v>
      </c>
      <c r="U21" s="61">
        <f t="shared" si="17"/>
        <v>131.49261807699827</v>
      </c>
      <c r="V21" s="61"/>
      <c r="Y21" s="162" t="s">
        <v>52</v>
      </c>
      <c r="Z21" s="162" t="s">
        <v>72</v>
      </c>
      <c r="AA21" s="162" t="s">
        <v>201</v>
      </c>
      <c r="AB21" s="162">
        <f t="shared" si="21"/>
        <v>5</v>
      </c>
      <c r="AC21" s="165">
        <f t="shared" si="19"/>
        <v>84.667934090288284</v>
      </c>
      <c r="AD21" s="165">
        <f t="shared" si="20"/>
        <v>163.17724756274475</v>
      </c>
      <c r="AE21" s="162"/>
      <c r="AF21" s="162">
        <f t="shared" si="10"/>
        <v>10</v>
      </c>
      <c r="AG21" s="167">
        <f t="shared" si="11"/>
        <v>1118</v>
      </c>
      <c r="AH21" s="165">
        <f t="shared" si="12"/>
        <v>124.41985206387471</v>
      </c>
      <c r="AI21" s="165">
        <f t="shared" si="13"/>
        <v>115.38427301047102</v>
      </c>
      <c r="AJ21" s="165">
        <f t="shared" si="14"/>
        <v>133.8644392459249</v>
      </c>
      <c r="AK21" s="167">
        <f t="shared" si="15"/>
        <v>5</v>
      </c>
    </row>
    <row r="22" spans="1:37" x14ac:dyDescent="0.2">
      <c r="A22" s="62" t="s">
        <v>45</v>
      </c>
      <c r="B22" s="62" t="s">
        <v>67</v>
      </c>
      <c r="C22" s="62" t="s">
        <v>163</v>
      </c>
      <c r="D22" s="62"/>
      <c r="E22" s="62">
        <f t="shared" si="2"/>
        <v>6</v>
      </c>
      <c r="F22" s="128">
        <v>2936</v>
      </c>
      <c r="G22" s="129">
        <v>118.10530467779955</v>
      </c>
      <c r="H22" s="129">
        <v>113.8241869360224</v>
      </c>
      <c r="I22" s="129">
        <v>122.50488261396916</v>
      </c>
      <c r="J22" s="129"/>
      <c r="K22" s="129"/>
      <c r="L22" s="129"/>
      <c r="M22" s="60">
        <f t="shared" si="0"/>
        <v>2</v>
      </c>
      <c r="N22" s="61">
        <f t="shared" si="3"/>
        <v>84.667934090288284</v>
      </c>
      <c r="O22" s="61">
        <f t="shared" si="16"/>
        <v>120.13165892751665</v>
      </c>
      <c r="P22" s="129">
        <f t="shared" si="4"/>
        <v>125.78549810659193</v>
      </c>
      <c r="Q22" s="129">
        <f t="shared" si="5"/>
        <v>124.9300748122688</v>
      </c>
      <c r="R22" s="129">
        <f t="shared" si="6"/>
        <v>126.64515902152191</v>
      </c>
      <c r="S22" s="61">
        <f t="shared" si="7"/>
        <v>130.87242308301128</v>
      </c>
      <c r="T22" s="61">
        <f t="shared" si="1"/>
        <v>163.17724756274475</v>
      </c>
      <c r="U22" s="61">
        <f>VLOOKUP(C22,$C$43:$I$46,5,FALSE)</f>
        <v>124.79232994699034</v>
      </c>
      <c r="V22" s="61"/>
      <c r="Y22" s="162" t="s">
        <v>54</v>
      </c>
      <c r="Z22" s="162" t="s">
        <v>73</v>
      </c>
      <c r="AA22" s="162" t="s">
        <v>201</v>
      </c>
      <c r="AB22" s="162">
        <f t="shared" si="21"/>
        <v>3</v>
      </c>
      <c r="AC22" s="165">
        <f t="shared" si="19"/>
        <v>84.667934090288284</v>
      </c>
      <c r="AD22" s="165">
        <f t="shared" si="20"/>
        <v>163.17724756274475</v>
      </c>
      <c r="AE22" s="162"/>
      <c r="AF22" s="162">
        <f t="shared" si="10"/>
        <v>4</v>
      </c>
      <c r="AG22" s="167">
        <f t="shared" si="11"/>
        <v>971</v>
      </c>
      <c r="AH22" s="165">
        <f t="shared" si="12"/>
        <v>108.43543773819965</v>
      </c>
      <c r="AI22" s="165">
        <f t="shared" si="13"/>
        <v>100.1172734268842</v>
      </c>
      <c r="AJ22" s="165">
        <f t="shared" si="14"/>
        <v>117.15836263163389</v>
      </c>
      <c r="AK22" s="167">
        <f t="shared" si="15"/>
        <v>2</v>
      </c>
    </row>
    <row r="23" spans="1:37" x14ac:dyDescent="0.2">
      <c r="A23" s="62" t="s">
        <v>46</v>
      </c>
      <c r="B23" s="62" t="s">
        <v>68</v>
      </c>
      <c r="C23" s="62" t="s">
        <v>163</v>
      </c>
      <c r="D23" s="62"/>
      <c r="E23" s="62">
        <f t="shared" si="2"/>
        <v>12</v>
      </c>
      <c r="F23" s="128">
        <v>4590</v>
      </c>
      <c r="G23" s="129">
        <v>124.71204296317261</v>
      </c>
      <c r="H23" s="129">
        <v>121.10098997562505</v>
      </c>
      <c r="I23" s="129">
        <v>128.40276660831182</v>
      </c>
      <c r="J23" s="129"/>
      <c r="K23" s="129"/>
      <c r="L23" s="129"/>
      <c r="M23" s="60">
        <f t="shared" si="0"/>
        <v>5</v>
      </c>
      <c r="N23" s="61">
        <f t="shared" si="3"/>
        <v>84.667934090288284</v>
      </c>
      <c r="O23" s="61">
        <f t="shared" si="16"/>
        <v>120.13165892751665</v>
      </c>
      <c r="P23" s="129">
        <f t="shared" si="4"/>
        <v>125.78549810659193</v>
      </c>
      <c r="Q23" s="129">
        <f t="shared" si="5"/>
        <v>124.9300748122688</v>
      </c>
      <c r="R23" s="129">
        <f t="shared" si="6"/>
        <v>126.64515902152191</v>
      </c>
      <c r="S23" s="61">
        <f t="shared" si="7"/>
        <v>130.87242308301128</v>
      </c>
      <c r="T23" s="61">
        <f t="shared" si="1"/>
        <v>163.17724756274475</v>
      </c>
      <c r="U23" s="61">
        <f t="shared" si="17"/>
        <v>124.79232994699034</v>
      </c>
      <c r="V23" s="61"/>
      <c r="Y23" s="163" t="s">
        <v>30</v>
      </c>
      <c r="Z23" s="163" t="s">
        <v>56</v>
      </c>
      <c r="AA23" s="163" t="s">
        <v>200</v>
      </c>
      <c r="AB23" s="163">
        <f>RANK(AH23,$AH$23:$AH$31,1)</f>
        <v>7</v>
      </c>
      <c r="AC23" s="166">
        <f>MIN($AH$23:$AH$31)</f>
        <v>107.85404169253647</v>
      </c>
      <c r="AD23" s="166">
        <f>MAX($AH$23:$AH$31)</f>
        <v>151.23600321730905</v>
      </c>
      <c r="AE23" s="163"/>
      <c r="AF23" s="163">
        <f t="shared" si="10"/>
        <v>23</v>
      </c>
      <c r="AG23" s="168">
        <f t="shared" si="11"/>
        <v>4347</v>
      </c>
      <c r="AH23" s="166">
        <f t="shared" si="12"/>
        <v>143.51512918164559</v>
      </c>
      <c r="AI23" s="166">
        <f t="shared" si="13"/>
        <v>139.20215712272389</v>
      </c>
      <c r="AJ23" s="166">
        <f t="shared" si="14"/>
        <v>147.92591462980474</v>
      </c>
      <c r="AK23" s="168">
        <f t="shared" si="15"/>
        <v>1</v>
      </c>
    </row>
    <row r="24" spans="1:37" x14ac:dyDescent="0.2">
      <c r="A24" s="62" t="s">
        <v>47</v>
      </c>
      <c r="B24" s="62" t="s">
        <v>69</v>
      </c>
      <c r="C24" s="62" t="s">
        <v>163</v>
      </c>
      <c r="D24" s="62"/>
      <c r="E24" s="62">
        <f t="shared" si="2"/>
        <v>9</v>
      </c>
      <c r="F24" s="128">
        <v>1859</v>
      </c>
      <c r="G24" s="129">
        <v>123.17425115401933</v>
      </c>
      <c r="H24" s="129">
        <v>117.4245592816342</v>
      </c>
      <c r="I24" s="129">
        <v>129.12466500403519</v>
      </c>
      <c r="J24" s="129"/>
      <c r="K24" s="129"/>
      <c r="L24" s="129"/>
      <c r="M24" s="60">
        <f t="shared" si="0"/>
        <v>5</v>
      </c>
      <c r="N24" s="61">
        <f t="shared" si="3"/>
        <v>84.667934090288284</v>
      </c>
      <c r="O24" s="61">
        <f t="shared" si="16"/>
        <v>120.13165892751665</v>
      </c>
      <c r="P24" s="129">
        <f t="shared" si="4"/>
        <v>125.78549810659193</v>
      </c>
      <c r="Q24" s="129">
        <f t="shared" si="5"/>
        <v>124.9300748122688</v>
      </c>
      <c r="R24" s="129">
        <f t="shared" si="6"/>
        <v>126.64515902152191</v>
      </c>
      <c r="S24" s="61">
        <f t="shared" si="7"/>
        <v>130.87242308301128</v>
      </c>
      <c r="T24" s="61">
        <f t="shared" si="1"/>
        <v>163.17724756274475</v>
      </c>
      <c r="U24" s="61">
        <f t="shared" si="17"/>
        <v>124.79232994699034</v>
      </c>
      <c r="V24" s="61"/>
      <c r="Y24" s="163" t="s">
        <v>31</v>
      </c>
      <c r="Z24" s="163" t="s">
        <v>57</v>
      </c>
      <c r="AA24" s="163" t="s">
        <v>200</v>
      </c>
      <c r="AB24" s="163">
        <f t="shared" ref="AB24:AB31" si="22">RANK(AH24,$AH$23:$AH$31,1)</f>
        <v>3</v>
      </c>
      <c r="AC24" s="166">
        <f t="shared" ref="AC24:AC31" si="23">MIN($AH$23:$AH$31)</f>
        <v>107.85404169253647</v>
      </c>
      <c r="AD24" s="166">
        <f t="shared" ref="AD24:AD31" si="24">MAX($AH$23:$AH$31)</f>
        <v>151.23600321730905</v>
      </c>
      <c r="AE24" s="163"/>
      <c r="AF24" s="163">
        <f t="shared" si="10"/>
        <v>16</v>
      </c>
      <c r="AG24" s="168">
        <f t="shared" si="11"/>
        <v>4733</v>
      </c>
      <c r="AH24" s="166">
        <f t="shared" si="12"/>
        <v>126.46643355469622</v>
      </c>
      <c r="AI24" s="166">
        <f t="shared" si="13"/>
        <v>122.87236253746973</v>
      </c>
      <c r="AJ24" s="166">
        <f t="shared" si="14"/>
        <v>130.13857901565626</v>
      </c>
      <c r="AK24" s="168">
        <f t="shared" si="15"/>
        <v>5</v>
      </c>
    </row>
    <row r="25" spans="1:37" x14ac:dyDescent="0.2">
      <c r="A25" s="62" t="s">
        <v>48</v>
      </c>
      <c r="B25" s="62" t="s">
        <v>160</v>
      </c>
      <c r="C25" s="62" t="s">
        <v>201</v>
      </c>
      <c r="D25" s="62"/>
      <c r="E25" s="62">
        <f t="shared" si="2"/>
        <v>2</v>
      </c>
      <c r="F25" s="128">
        <v>1578</v>
      </c>
      <c r="G25" s="129">
        <v>87.352942251347258</v>
      </c>
      <c r="H25" s="129">
        <v>83.046577792857221</v>
      </c>
      <c r="I25" s="129">
        <v>91.82274619651109</v>
      </c>
      <c r="J25" s="129"/>
      <c r="K25" s="129"/>
      <c r="L25" s="129"/>
      <c r="M25" s="60">
        <f t="shared" si="0"/>
        <v>2</v>
      </c>
      <c r="N25" s="61">
        <f t="shared" si="3"/>
        <v>84.667934090288284</v>
      </c>
      <c r="O25" s="61">
        <f t="shared" si="16"/>
        <v>120.13165892751665</v>
      </c>
      <c r="P25" s="129">
        <f t="shared" si="4"/>
        <v>125.78549810659193</v>
      </c>
      <c r="Q25" s="129">
        <f t="shared" si="5"/>
        <v>124.9300748122688</v>
      </c>
      <c r="R25" s="129">
        <f t="shared" si="6"/>
        <v>126.64515902152191</v>
      </c>
      <c r="S25" s="61">
        <f t="shared" si="7"/>
        <v>130.87242308301128</v>
      </c>
      <c r="T25" s="61">
        <f t="shared" si="1"/>
        <v>163.17724756274475</v>
      </c>
      <c r="U25" s="61">
        <f t="shared" si="17"/>
        <v>126.36367279448002</v>
      </c>
      <c r="V25" s="61"/>
      <c r="Y25" s="163" t="s">
        <v>34</v>
      </c>
      <c r="Z25" s="163" t="s">
        <v>59</v>
      </c>
      <c r="AA25" s="163" t="s">
        <v>200</v>
      </c>
      <c r="AB25" s="163">
        <f t="shared" si="22"/>
        <v>5</v>
      </c>
      <c r="AC25" s="166">
        <f t="shared" si="23"/>
        <v>107.85404169253647</v>
      </c>
      <c r="AD25" s="166">
        <f t="shared" si="24"/>
        <v>151.23600321730905</v>
      </c>
      <c r="AE25" s="163"/>
      <c r="AF25" s="163">
        <f t="shared" si="10"/>
        <v>19</v>
      </c>
      <c r="AG25" s="168">
        <f t="shared" si="11"/>
        <v>5276</v>
      </c>
      <c r="AH25" s="166">
        <f t="shared" si="12"/>
        <v>128.81452337380935</v>
      </c>
      <c r="AI25" s="166">
        <f t="shared" si="13"/>
        <v>125.20698011649</v>
      </c>
      <c r="AJ25" s="166">
        <f t="shared" si="14"/>
        <v>132.49624457644583</v>
      </c>
      <c r="AK25" s="168">
        <f t="shared" si="15"/>
        <v>5</v>
      </c>
    </row>
    <row r="26" spans="1:37" x14ac:dyDescent="0.2">
      <c r="A26" s="62" t="s">
        <v>49</v>
      </c>
      <c r="B26" s="62" t="s">
        <v>70</v>
      </c>
      <c r="C26" s="62" t="s">
        <v>200</v>
      </c>
      <c r="D26" s="62"/>
      <c r="E26" s="62">
        <f t="shared" si="2"/>
        <v>3</v>
      </c>
      <c r="F26" s="128">
        <v>2368</v>
      </c>
      <c r="G26" s="129">
        <v>107.85404169253647</v>
      </c>
      <c r="H26" s="129">
        <v>103.31260053874524</v>
      </c>
      <c r="I26" s="129">
        <v>112.53564994652672</v>
      </c>
      <c r="J26" s="129"/>
      <c r="K26" s="129"/>
      <c r="L26" s="129"/>
      <c r="M26" s="60">
        <f t="shared" si="0"/>
        <v>2</v>
      </c>
      <c r="N26" s="61">
        <f t="shared" si="3"/>
        <v>84.667934090288284</v>
      </c>
      <c r="O26" s="61">
        <f t="shared" si="16"/>
        <v>120.13165892751665</v>
      </c>
      <c r="P26" s="129">
        <f t="shared" si="4"/>
        <v>125.78549810659193</v>
      </c>
      <c r="Q26" s="129">
        <f t="shared" si="5"/>
        <v>124.9300748122688</v>
      </c>
      <c r="R26" s="129">
        <f t="shared" si="6"/>
        <v>126.64515902152191</v>
      </c>
      <c r="S26" s="61">
        <f t="shared" si="7"/>
        <v>130.87242308301128</v>
      </c>
      <c r="T26" s="61">
        <f t="shared" si="1"/>
        <v>163.17724756274475</v>
      </c>
      <c r="U26" s="61">
        <f t="shared" si="17"/>
        <v>131.49261807699827</v>
      </c>
      <c r="V26" s="61"/>
      <c r="Y26" s="163" t="s">
        <v>39</v>
      </c>
      <c r="Z26" s="163" t="s">
        <v>158</v>
      </c>
      <c r="AA26" s="163" t="s">
        <v>200</v>
      </c>
      <c r="AB26" s="163">
        <f t="shared" si="22"/>
        <v>6</v>
      </c>
      <c r="AC26" s="166">
        <f t="shared" si="23"/>
        <v>107.85404169253647</v>
      </c>
      <c r="AD26" s="166">
        <f t="shared" si="24"/>
        <v>151.23600321730905</v>
      </c>
      <c r="AE26" s="163"/>
      <c r="AF26" s="163">
        <f t="shared" si="10"/>
        <v>20</v>
      </c>
      <c r="AG26" s="168">
        <f t="shared" si="11"/>
        <v>4180</v>
      </c>
      <c r="AH26" s="166">
        <f t="shared" si="12"/>
        <v>130.87242308301128</v>
      </c>
      <c r="AI26" s="166">
        <f t="shared" si="13"/>
        <v>126.82202913894191</v>
      </c>
      <c r="AJ26" s="166">
        <f t="shared" si="14"/>
        <v>135.0165155952952</v>
      </c>
      <c r="AK26" s="168">
        <f t="shared" si="15"/>
        <v>1</v>
      </c>
    </row>
    <row r="27" spans="1:37" x14ac:dyDescent="0.2">
      <c r="A27" s="62" t="s">
        <v>50</v>
      </c>
      <c r="B27" s="62" t="s">
        <v>161</v>
      </c>
      <c r="C27" s="62" t="s">
        <v>163</v>
      </c>
      <c r="D27" s="62"/>
      <c r="E27" s="62">
        <f t="shared" si="2"/>
        <v>5</v>
      </c>
      <c r="F27" s="128">
        <v>1677</v>
      </c>
      <c r="G27" s="129">
        <v>111.83246477129548</v>
      </c>
      <c r="H27" s="129">
        <v>106.48135596977534</v>
      </c>
      <c r="I27" s="129">
        <v>117.38045585139227</v>
      </c>
      <c r="J27" s="129"/>
      <c r="K27" s="129"/>
      <c r="L27" s="129"/>
      <c r="M27" s="60">
        <f t="shared" si="0"/>
        <v>2</v>
      </c>
      <c r="N27" s="61">
        <f t="shared" si="3"/>
        <v>84.667934090288284</v>
      </c>
      <c r="O27" s="61">
        <f t="shared" si="16"/>
        <v>120.13165892751665</v>
      </c>
      <c r="P27" s="129">
        <f t="shared" si="4"/>
        <v>125.78549810659193</v>
      </c>
      <c r="Q27" s="129">
        <f t="shared" si="5"/>
        <v>124.9300748122688</v>
      </c>
      <c r="R27" s="129">
        <f t="shared" si="6"/>
        <v>126.64515902152191</v>
      </c>
      <c r="S27" s="61">
        <f t="shared" si="7"/>
        <v>130.87242308301128</v>
      </c>
      <c r="T27" s="61">
        <f t="shared" si="1"/>
        <v>163.17724756274475</v>
      </c>
      <c r="U27" s="61">
        <f t="shared" si="17"/>
        <v>124.79232994699034</v>
      </c>
      <c r="V27" s="61"/>
      <c r="Y27" s="163" t="s">
        <v>40</v>
      </c>
      <c r="Z27" s="163" t="s">
        <v>63</v>
      </c>
      <c r="AA27" s="163" t="s">
        <v>200</v>
      </c>
      <c r="AB27" s="163">
        <f t="shared" si="22"/>
        <v>9</v>
      </c>
      <c r="AC27" s="166">
        <f t="shared" si="23"/>
        <v>107.85404169253647</v>
      </c>
      <c r="AD27" s="166">
        <f t="shared" si="24"/>
        <v>151.23600321730905</v>
      </c>
      <c r="AE27" s="163"/>
      <c r="AF27" s="163">
        <f t="shared" si="10"/>
        <v>25</v>
      </c>
      <c r="AG27" s="168">
        <f t="shared" si="11"/>
        <v>3195</v>
      </c>
      <c r="AH27" s="166">
        <f t="shared" si="12"/>
        <v>151.23600321730905</v>
      </c>
      <c r="AI27" s="166">
        <f t="shared" si="13"/>
        <v>145.77484959800009</v>
      </c>
      <c r="AJ27" s="166">
        <f t="shared" si="14"/>
        <v>156.84192358690322</v>
      </c>
      <c r="AK27" s="168">
        <f t="shared" si="15"/>
        <v>1</v>
      </c>
    </row>
    <row r="28" spans="1:37" x14ac:dyDescent="0.2">
      <c r="A28" s="62" t="s">
        <v>51</v>
      </c>
      <c r="B28" s="62" t="s">
        <v>71</v>
      </c>
      <c r="C28" s="62" t="s">
        <v>200</v>
      </c>
      <c r="D28" s="62"/>
      <c r="E28" s="62">
        <f t="shared" si="2"/>
        <v>24</v>
      </c>
      <c r="F28" s="128">
        <v>1852</v>
      </c>
      <c r="G28" s="129">
        <v>148.54476174171734</v>
      </c>
      <c r="H28" s="129">
        <v>141.39538725089847</v>
      </c>
      <c r="I28" s="129">
        <v>155.94420145369202</v>
      </c>
      <c r="J28" s="129"/>
      <c r="K28" s="129"/>
      <c r="L28" s="129"/>
      <c r="M28" s="60">
        <f t="shared" si="0"/>
        <v>1</v>
      </c>
      <c r="N28" s="61">
        <f t="shared" si="3"/>
        <v>84.667934090288284</v>
      </c>
      <c r="O28" s="61">
        <f t="shared" si="16"/>
        <v>120.13165892751665</v>
      </c>
      <c r="P28" s="129">
        <f t="shared" si="4"/>
        <v>125.78549810659193</v>
      </c>
      <c r="Q28" s="129">
        <f t="shared" si="5"/>
        <v>124.9300748122688</v>
      </c>
      <c r="R28" s="129">
        <f t="shared" si="6"/>
        <v>126.64515902152191</v>
      </c>
      <c r="S28" s="61">
        <f t="shared" si="7"/>
        <v>130.87242308301128</v>
      </c>
      <c r="T28" s="61">
        <f t="shared" si="1"/>
        <v>163.17724756274475</v>
      </c>
      <c r="U28" s="61">
        <f t="shared" si="17"/>
        <v>131.49261807699827</v>
      </c>
      <c r="V28" s="61"/>
      <c r="Y28" s="163" t="s">
        <v>42</v>
      </c>
      <c r="Z28" s="163" t="s">
        <v>65</v>
      </c>
      <c r="AA28" s="163" t="s">
        <v>200</v>
      </c>
      <c r="AB28" s="163">
        <f t="shared" si="22"/>
        <v>4</v>
      </c>
      <c r="AC28" s="166">
        <f t="shared" si="23"/>
        <v>107.85404169253647</v>
      </c>
      <c r="AD28" s="166">
        <f t="shared" si="24"/>
        <v>151.23600321730905</v>
      </c>
      <c r="AE28" s="163"/>
      <c r="AF28" s="163">
        <f t="shared" si="10"/>
        <v>17</v>
      </c>
      <c r="AG28" s="168">
        <f t="shared" si="11"/>
        <v>1484</v>
      </c>
      <c r="AH28" s="166">
        <f t="shared" si="12"/>
        <v>127.38430814124376</v>
      </c>
      <c r="AI28" s="166">
        <f t="shared" si="13"/>
        <v>120.42696258135774</v>
      </c>
      <c r="AJ28" s="166">
        <f t="shared" si="14"/>
        <v>134.61411680001808</v>
      </c>
      <c r="AK28" s="168">
        <f t="shared" si="15"/>
        <v>5</v>
      </c>
    </row>
    <row r="29" spans="1:37" x14ac:dyDescent="0.2">
      <c r="A29" s="62" t="s">
        <v>52</v>
      </c>
      <c r="B29" s="62" t="s">
        <v>72</v>
      </c>
      <c r="C29" s="62" t="s">
        <v>201</v>
      </c>
      <c r="D29" s="62"/>
      <c r="E29" s="62">
        <f t="shared" si="2"/>
        <v>10</v>
      </c>
      <c r="F29" s="128">
        <v>1118</v>
      </c>
      <c r="G29" s="129">
        <v>124.41985206387471</v>
      </c>
      <c r="H29" s="129">
        <v>115.38427301047102</v>
      </c>
      <c r="I29" s="129">
        <v>133.8644392459249</v>
      </c>
      <c r="J29" s="129"/>
      <c r="K29" s="129"/>
      <c r="L29" s="129"/>
      <c r="M29" s="60">
        <f t="shared" si="0"/>
        <v>5</v>
      </c>
      <c r="N29" s="61">
        <f t="shared" si="3"/>
        <v>84.667934090288284</v>
      </c>
      <c r="O29" s="61">
        <f t="shared" si="16"/>
        <v>120.13165892751665</v>
      </c>
      <c r="P29" s="129">
        <f t="shared" si="4"/>
        <v>125.78549810659193</v>
      </c>
      <c r="Q29" s="129">
        <f t="shared" si="5"/>
        <v>124.9300748122688</v>
      </c>
      <c r="R29" s="129">
        <f t="shared" si="6"/>
        <v>126.64515902152191</v>
      </c>
      <c r="S29" s="61">
        <f t="shared" si="7"/>
        <v>130.87242308301128</v>
      </c>
      <c r="T29" s="61">
        <f t="shared" si="1"/>
        <v>163.17724756274475</v>
      </c>
      <c r="U29" s="61">
        <f t="shared" si="17"/>
        <v>126.36367279448002</v>
      </c>
      <c r="V29" s="61"/>
      <c r="Y29" s="163" t="s">
        <v>44</v>
      </c>
      <c r="Z29" s="163" t="s">
        <v>66</v>
      </c>
      <c r="AA29" s="163" t="s">
        <v>200</v>
      </c>
      <c r="AB29" s="163">
        <f t="shared" si="22"/>
        <v>2</v>
      </c>
      <c r="AC29" s="166">
        <f t="shared" si="23"/>
        <v>107.85404169253647</v>
      </c>
      <c r="AD29" s="166">
        <f t="shared" si="24"/>
        <v>151.23600321730905</v>
      </c>
      <c r="AE29" s="163"/>
      <c r="AF29" s="163">
        <f t="shared" si="10"/>
        <v>11</v>
      </c>
      <c r="AG29" s="168">
        <f t="shared" si="11"/>
        <v>1502</v>
      </c>
      <c r="AH29" s="166">
        <f t="shared" si="12"/>
        <v>124.69647172144228</v>
      </c>
      <c r="AI29" s="166">
        <f t="shared" si="13"/>
        <v>118.23573594713098</v>
      </c>
      <c r="AJ29" s="166">
        <f t="shared" si="14"/>
        <v>131.40866937830404</v>
      </c>
      <c r="AK29" s="168">
        <f t="shared" si="15"/>
        <v>5</v>
      </c>
    </row>
    <row r="30" spans="1:37" x14ac:dyDescent="0.2">
      <c r="A30" s="62" t="s">
        <v>53</v>
      </c>
      <c r="B30" s="62" t="s">
        <v>162</v>
      </c>
      <c r="C30" s="62" t="s">
        <v>163</v>
      </c>
      <c r="D30" s="62"/>
      <c r="E30" s="62">
        <f t="shared" si="2"/>
        <v>21</v>
      </c>
      <c r="F30" s="128">
        <v>9946</v>
      </c>
      <c r="G30" s="129">
        <v>131.32153885765155</v>
      </c>
      <c r="H30" s="129">
        <v>128.6943477833135</v>
      </c>
      <c r="I30" s="129">
        <v>133.98795336134131</v>
      </c>
      <c r="J30" s="129"/>
      <c r="K30" s="129"/>
      <c r="L30" s="129"/>
      <c r="M30" s="60">
        <f t="shared" si="0"/>
        <v>1</v>
      </c>
      <c r="N30" s="61">
        <f t="shared" si="3"/>
        <v>84.667934090288284</v>
      </c>
      <c r="O30" s="61">
        <f t="shared" si="16"/>
        <v>120.13165892751665</v>
      </c>
      <c r="P30" s="129">
        <f>$G$32</f>
        <v>125.78549810659193</v>
      </c>
      <c r="Q30" s="129">
        <f t="shared" si="5"/>
        <v>124.9300748122688</v>
      </c>
      <c r="R30" s="129">
        <f t="shared" si="6"/>
        <v>126.64515902152191</v>
      </c>
      <c r="S30" s="61">
        <f t="shared" si="7"/>
        <v>130.87242308301128</v>
      </c>
      <c r="T30" s="61">
        <f t="shared" si="1"/>
        <v>163.17724756274475</v>
      </c>
      <c r="U30" s="61">
        <f t="shared" si="17"/>
        <v>124.79232994699034</v>
      </c>
      <c r="V30" s="61"/>
      <c r="Y30" s="163" t="s">
        <v>49</v>
      </c>
      <c r="Z30" s="163" t="s">
        <v>70</v>
      </c>
      <c r="AA30" s="163" t="s">
        <v>200</v>
      </c>
      <c r="AB30" s="163">
        <f t="shared" si="22"/>
        <v>1</v>
      </c>
      <c r="AC30" s="166">
        <f t="shared" si="23"/>
        <v>107.85404169253647</v>
      </c>
      <c r="AD30" s="166">
        <f t="shared" si="24"/>
        <v>151.23600321730905</v>
      </c>
      <c r="AE30" s="163"/>
      <c r="AF30" s="163">
        <f t="shared" si="10"/>
        <v>3</v>
      </c>
      <c r="AG30" s="168">
        <f t="shared" si="11"/>
        <v>2368</v>
      </c>
      <c r="AH30" s="166">
        <f t="shared" si="12"/>
        <v>107.85404169253647</v>
      </c>
      <c r="AI30" s="166">
        <f t="shared" si="13"/>
        <v>103.31260053874524</v>
      </c>
      <c r="AJ30" s="166">
        <f t="shared" si="14"/>
        <v>112.53564994652672</v>
      </c>
      <c r="AK30" s="168">
        <f t="shared" si="15"/>
        <v>2</v>
      </c>
    </row>
    <row r="31" spans="1:37" x14ac:dyDescent="0.2">
      <c r="A31" s="62" t="s">
        <v>54</v>
      </c>
      <c r="B31" s="62" t="s">
        <v>73</v>
      </c>
      <c r="C31" s="62" t="s">
        <v>201</v>
      </c>
      <c r="D31" s="62"/>
      <c r="E31" s="62">
        <f t="shared" si="2"/>
        <v>4</v>
      </c>
      <c r="F31" s="128">
        <v>971</v>
      </c>
      <c r="G31" s="129">
        <v>108.43543773819965</v>
      </c>
      <c r="H31" s="129">
        <v>100.1172734268842</v>
      </c>
      <c r="I31" s="129">
        <v>117.15836263163389</v>
      </c>
      <c r="J31" s="129"/>
      <c r="K31" s="129"/>
      <c r="L31" s="129"/>
      <c r="M31" s="60">
        <f t="shared" si="0"/>
        <v>2</v>
      </c>
      <c r="N31" s="61">
        <f t="shared" si="3"/>
        <v>84.667934090288284</v>
      </c>
      <c r="O31" s="61">
        <f t="shared" si="16"/>
        <v>120.13165892751665</v>
      </c>
      <c r="P31" s="129">
        <f t="shared" si="4"/>
        <v>125.78549810659193</v>
      </c>
      <c r="Q31" s="129">
        <f t="shared" si="5"/>
        <v>124.9300748122688</v>
      </c>
      <c r="R31" s="129">
        <f t="shared" si="6"/>
        <v>126.64515902152191</v>
      </c>
      <c r="S31" s="61">
        <f t="shared" si="7"/>
        <v>130.87242308301128</v>
      </c>
      <c r="T31" s="61">
        <f t="shared" si="1"/>
        <v>163.17724756274475</v>
      </c>
      <c r="U31" s="61">
        <f t="shared" si="17"/>
        <v>126.36367279448002</v>
      </c>
      <c r="V31" s="61"/>
      <c r="Y31" s="163" t="s">
        <v>51</v>
      </c>
      <c r="Z31" s="163" t="s">
        <v>71</v>
      </c>
      <c r="AA31" s="163" t="s">
        <v>200</v>
      </c>
      <c r="AB31" s="163">
        <f t="shared" si="22"/>
        <v>8</v>
      </c>
      <c r="AC31" s="166">
        <f t="shared" si="23"/>
        <v>107.85404169253647</v>
      </c>
      <c r="AD31" s="166">
        <f t="shared" si="24"/>
        <v>151.23600321730905</v>
      </c>
      <c r="AE31" s="163"/>
      <c r="AF31" s="163">
        <f t="shared" si="10"/>
        <v>24</v>
      </c>
      <c r="AG31" s="168">
        <f t="shared" si="11"/>
        <v>1852</v>
      </c>
      <c r="AH31" s="166">
        <f t="shared" si="12"/>
        <v>148.54476174171734</v>
      </c>
      <c r="AI31" s="166">
        <f t="shared" si="13"/>
        <v>141.39538725089847</v>
      </c>
      <c r="AJ31" s="166">
        <f t="shared" si="14"/>
        <v>155.94420145369202</v>
      </c>
      <c r="AK31" s="168">
        <f t="shared" si="15"/>
        <v>1</v>
      </c>
    </row>
    <row r="32" spans="1:37" x14ac:dyDescent="0.2">
      <c r="A32" s="62"/>
      <c r="B32" s="62" t="s">
        <v>171</v>
      </c>
      <c r="C32" s="62"/>
      <c r="D32" s="62"/>
      <c r="E32" s="62"/>
      <c r="F32" s="128">
        <v>89351</v>
      </c>
      <c r="G32" s="129">
        <v>125.78549810659193</v>
      </c>
      <c r="H32" s="129">
        <v>124.9300748122688</v>
      </c>
      <c r="I32" s="129">
        <v>126.64515902152191</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34542</v>
      </c>
      <c r="G44" s="129">
        <v>124.79232994699034</v>
      </c>
      <c r="H44" s="129">
        <v>123.4650337287848</v>
      </c>
      <c r="I44" s="129">
        <v>126.13021898826079</v>
      </c>
      <c r="J44" s="129">
        <f>VLOOKUP($C44,$AA$6:$AD$13,3,FALSE)</f>
        <v>111.83246477129548</v>
      </c>
      <c r="K44" s="129">
        <f>VLOOKUP($C44,$AA$6:$AD$13,4,FALSE)</f>
        <v>131.32153885765155</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5</v>
      </c>
      <c r="N44" s="61">
        <f>MIN($G$6:$G$31)</f>
        <v>84.667934090288284</v>
      </c>
      <c r="O44" s="61">
        <f>VLOOKUP(7,$E$5:$G$39,3,FALSE)</f>
        <v>120.13165892751665</v>
      </c>
      <c r="P44" s="129">
        <f>$G$32</f>
        <v>125.78549810659193</v>
      </c>
      <c r="Q44" s="129">
        <f>$H$32</f>
        <v>124.9300748122688</v>
      </c>
      <c r="R44" s="129">
        <f>$I$32</f>
        <v>126.64515902152191</v>
      </c>
      <c r="S44" s="61">
        <f>VLOOKUP(20,$E$5:$G$39,3,FALSE)</f>
        <v>130.87242308301128</v>
      </c>
      <c r="T44" s="61">
        <f>MAX($G$6:$G$31)</f>
        <v>163.17724756274475</v>
      </c>
    </row>
    <row r="45" spans="1:22" x14ac:dyDescent="0.2">
      <c r="C45" s="62" t="s">
        <v>201</v>
      </c>
      <c r="D45" s="62"/>
      <c r="E45" s="62"/>
      <c r="F45" s="128">
        <v>25872</v>
      </c>
      <c r="G45" s="129">
        <v>126.36367279448002</v>
      </c>
      <c r="H45" s="129">
        <v>124.63694311223689</v>
      </c>
      <c r="I45" s="129">
        <v>128.10633651310553</v>
      </c>
      <c r="J45" s="129">
        <f>VLOOKUP($C45,$AA$14:$AD$22,3,FALSE)</f>
        <v>84.667934090288284</v>
      </c>
      <c r="K45" s="129">
        <f>VLOOKUP($C45,$AA$14:$AD$22,4,FALSE)</f>
        <v>163.17724756274475</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5</v>
      </c>
      <c r="N45" s="61">
        <f>MIN($G$6:$G$31)</f>
        <v>84.667934090288284</v>
      </c>
      <c r="O45" s="61">
        <f>VLOOKUP(7,$E$5:$G$39,3,FALSE)</f>
        <v>120.13165892751665</v>
      </c>
      <c r="P45" s="129">
        <f>$G$32</f>
        <v>125.78549810659193</v>
      </c>
      <c r="Q45" s="129">
        <f t="shared" ref="Q45:Q46" si="25">$H$32</f>
        <v>124.9300748122688</v>
      </c>
      <c r="R45" s="129">
        <f t="shared" ref="R45:R46" si="26">$I$32</f>
        <v>126.64515902152191</v>
      </c>
      <c r="S45" s="61">
        <f>VLOOKUP(20,$E$5:$G$39,3,FALSE)</f>
        <v>130.87242308301128</v>
      </c>
      <c r="T45" s="61">
        <f t="shared" ref="T45:T46" si="27">MAX($G$6:$G$31)</f>
        <v>163.17724756274475</v>
      </c>
    </row>
    <row r="46" spans="1:22" x14ac:dyDescent="0.2">
      <c r="C46" s="62" t="s">
        <v>200</v>
      </c>
      <c r="D46" s="62"/>
      <c r="E46" s="62"/>
      <c r="F46" s="128">
        <v>28937</v>
      </c>
      <c r="G46" s="129">
        <v>131.49261807699827</v>
      </c>
      <c r="H46" s="129">
        <v>129.94741302869323</v>
      </c>
      <c r="I46" s="129">
        <v>133.05130203900069</v>
      </c>
      <c r="J46" s="129">
        <f>VLOOKUP($C46,$AA$23:$AD$31,3,FALSE)</f>
        <v>107.85404169253647</v>
      </c>
      <c r="K46" s="129">
        <f>VLOOKUP($C46,$AA$23:$AD$31,4,FALSE)</f>
        <v>151.23600321730905</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1</v>
      </c>
      <c r="N46" s="61">
        <f>MIN($G$6:$G$31)</f>
        <v>84.667934090288284</v>
      </c>
      <c r="O46" s="61">
        <f>VLOOKUP(7,$E$5:$G$39,3,FALSE)</f>
        <v>120.13165892751665</v>
      </c>
      <c r="P46" s="129">
        <f t="shared" ref="P46" si="28">$G$32</f>
        <v>125.78549810659193</v>
      </c>
      <c r="Q46" s="129">
        <f t="shared" si="25"/>
        <v>124.9300748122688</v>
      </c>
      <c r="R46" s="129">
        <f t="shared" si="26"/>
        <v>126.64515902152191</v>
      </c>
      <c r="S46" s="61">
        <f>VLOOKUP(20,$E$5:$G$39,3,FALSE)</f>
        <v>130.87242308301128</v>
      </c>
      <c r="T46" s="61">
        <f t="shared" si="27"/>
        <v>163.17724756274475</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K2:N2" xr:uid="{00000000-0002-0000-2500-000000000000}">
      <formula1>"High = Worst,Low = Worst"</formula1>
    </dataValidation>
    <dataValidation type="list" allowBlank="1" showInputMessage="1" showErrorMessage="1" sqref="C2:D2" xr:uid="{00000000-0002-0000-2500-000001000000}">
      <formula1>"Better / Worse,Higher / Lower,Significance not measured"</formula1>
    </dataValidation>
  </dataValidations>
  <pageMargins left="0.75" right="0.75" top="1" bottom="1" header="0.5" footer="0.5"/>
  <pageSetup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4">
    <tabColor theme="6" tint="0.39997558519241921"/>
  </sheetPr>
  <dimension ref="A1:AK55"/>
  <sheetViews>
    <sheetView workbookViewId="0">
      <selection activeCell="J55" sqref="J55"/>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8" width="7.33203125" style="21" customWidth="1"/>
    <col min="9" max="9" width="6.886718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5.554687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18</v>
      </c>
      <c r="F6" s="128">
        <v>865</v>
      </c>
      <c r="G6" s="129">
        <v>11.440285676497799</v>
      </c>
      <c r="H6" s="129">
        <v>10.742325865859501</v>
      </c>
      <c r="I6" s="129">
        <v>12.177407062568401</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1</v>
      </c>
      <c r="N6" s="61">
        <f>MIN($G$6:$G$32)</f>
        <v>3.7056643726839602</v>
      </c>
      <c r="O6" s="61">
        <f>VLOOKUP(7,$E$5:$G$39,3,FALSE)</f>
        <v>6.9166853806422601</v>
      </c>
      <c r="P6" s="129">
        <f>$G$32</f>
        <v>10.0511965914753</v>
      </c>
      <c r="Q6" s="129">
        <f>$H$32</f>
        <v>9.9297207935999392</v>
      </c>
      <c r="R6" s="129">
        <f>$I$32</f>
        <v>10.1739906083903</v>
      </c>
      <c r="S6" s="61">
        <f>VLOOKUP(20,$E$5:$G$39,3,FALSE)</f>
        <v>12.953890489913499</v>
      </c>
      <c r="T6" s="61">
        <f t="shared" ref="T6:T31" si="1">MAX($G$6:$G$31)</f>
        <v>17.0999914755775</v>
      </c>
      <c r="U6" s="61">
        <f>VLOOKUP(C6,$C$43:$I$46,5,FALSE)</f>
        <v>7.1322789603988372</v>
      </c>
      <c r="V6" s="61"/>
      <c r="Y6" s="159" t="s">
        <v>33</v>
      </c>
      <c r="Z6" s="159" t="s">
        <v>58</v>
      </c>
      <c r="AA6" s="159" t="s">
        <v>163</v>
      </c>
      <c r="AB6" s="159">
        <f>RANK(AH6,$AH$6:$AH$13,1)</f>
        <v>1</v>
      </c>
      <c r="AC6" s="164">
        <f>MIN($AH$6:$AH$13)</f>
        <v>3.7056643726839602</v>
      </c>
      <c r="AD6" s="164">
        <f>MAX($AH$6:$AH$13)</f>
        <v>15.7616790792146</v>
      </c>
      <c r="AE6" s="159"/>
      <c r="AF6" s="159">
        <f>VLOOKUP($Y6,$A$6:$I$31,5,FALSE)</f>
        <v>1</v>
      </c>
      <c r="AG6" s="160">
        <f>VLOOKUP($Y6,$A$6:$I$31,6,FALSE)</f>
        <v>350</v>
      </c>
      <c r="AH6" s="161">
        <f>VLOOKUP($Y6,$A$6:$I$31,7,FALSE)</f>
        <v>3.7056643726839602</v>
      </c>
      <c r="AI6" s="161">
        <f>VLOOKUP($Y6,$A$6:$I$31,8,FALSE)</f>
        <v>3.34313720518205</v>
      </c>
      <c r="AJ6" s="161">
        <f>VLOOKUP($Y6,$A$6:$I$31,9,FALSE)</f>
        <v>4.1058337812412997</v>
      </c>
      <c r="AK6" s="160">
        <f>VLOOKUP($Y6,$A$6:$M$31,13,FALSE)</f>
        <v>2</v>
      </c>
    </row>
    <row r="7" spans="1:37" x14ac:dyDescent="0.2">
      <c r="A7" s="62" t="s">
        <v>30</v>
      </c>
      <c r="B7" s="62" t="s">
        <v>56</v>
      </c>
      <c r="C7" s="62" t="s">
        <v>200</v>
      </c>
      <c r="D7" s="62"/>
      <c r="E7" s="62">
        <f t="shared" ref="E7:E31" si="2">RANK(G7,$G$6:$G$31,1)</f>
        <v>25</v>
      </c>
      <c r="F7" s="128">
        <v>1399</v>
      </c>
      <c r="G7" s="129">
        <v>15.8544877606528</v>
      </c>
      <c r="H7" s="129">
        <v>15.107276069294199</v>
      </c>
      <c r="I7" s="129">
        <v>16.6314164739562</v>
      </c>
      <c r="J7" s="129"/>
      <c r="K7" s="129"/>
      <c r="L7" s="129"/>
      <c r="M7" s="60">
        <f t="shared" si="0"/>
        <v>1</v>
      </c>
      <c r="N7" s="61">
        <f t="shared" ref="N7:N31" si="3">MIN($G$6:$G$32)</f>
        <v>3.7056643726839602</v>
      </c>
      <c r="O7" s="61">
        <f>VLOOKUP(7,$E$5:$G$39,3,FALSE)</f>
        <v>6.9166853806422601</v>
      </c>
      <c r="P7" s="129">
        <f t="shared" ref="P7:P31" si="4">$G$32</f>
        <v>10.0511965914753</v>
      </c>
      <c r="Q7" s="129">
        <f t="shared" ref="Q7:Q31" si="5">$H$32</f>
        <v>9.9297207935999392</v>
      </c>
      <c r="R7" s="129">
        <f t="shared" ref="R7:R31" si="6">$I$32</f>
        <v>10.1739906083903</v>
      </c>
      <c r="S7" s="61">
        <f t="shared" ref="S7:S31" si="7">VLOOKUP(20,$E$5:$G$39,3,FALSE)</f>
        <v>12.953890489913499</v>
      </c>
      <c r="T7" s="61">
        <f t="shared" si="1"/>
        <v>17.0999914755775</v>
      </c>
      <c r="U7" s="61">
        <f>VLOOKUP(C7,$C$43:$I$46,5,FALSE)</f>
        <v>12.26801249981661</v>
      </c>
      <c r="V7" s="61"/>
      <c r="Y7" s="159" t="s">
        <v>35</v>
      </c>
      <c r="Z7" s="159" t="s">
        <v>60</v>
      </c>
      <c r="AA7" s="159" t="s">
        <v>163</v>
      </c>
      <c r="AB7" s="159">
        <f t="shared" ref="AB7:AB12" si="8">RANK(AH7,$AH$6:$AH$13,1)</f>
        <v>4</v>
      </c>
      <c r="AC7" s="164">
        <f>MIN($AH$6:$AH$13)</f>
        <v>3.7056643726839602</v>
      </c>
      <c r="AD7" s="164">
        <f t="shared" ref="AD7:AD13" si="9">MAX($AH$6:$AH$13)</f>
        <v>15.7616790792146</v>
      </c>
      <c r="AE7" s="159"/>
      <c r="AF7" s="159">
        <f t="shared" ref="AF7:AF31" si="10">VLOOKUP($Y7,$A$6:$I$31,5,FALSE)</f>
        <v>15</v>
      </c>
      <c r="AG7" s="160">
        <f t="shared" ref="AG7:AG31" si="11">VLOOKUP($Y7,$A$6:$I$31,6,FALSE)</f>
        <v>1100</v>
      </c>
      <c r="AH7" s="161">
        <f t="shared" ref="AH7:AH31" si="12">VLOOKUP($Y7,$A$6:$I$31,7,FALSE)</f>
        <v>9.6044704444250399</v>
      </c>
      <c r="AI7" s="161">
        <f t="shared" ref="AI7:AI31" si="13">VLOOKUP($Y7,$A$6:$I$31,8,FALSE)</f>
        <v>9.0783023026781393</v>
      </c>
      <c r="AJ7" s="161">
        <f t="shared" ref="AJ7:AJ31" si="14">VLOOKUP($Y7,$A$6:$I$31,9,FALSE)</f>
        <v>10.1577276864071</v>
      </c>
      <c r="AK7" s="160">
        <f t="shared" ref="AK7:AK31" si="15">VLOOKUP($Y7,$A$6:$M$31,13,FALSE)</f>
        <v>5</v>
      </c>
    </row>
    <row r="8" spans="1:37" x14ac:dyDescent="0.2">
      <c r="A8" s="62" t="s">
        <v>31</v>
      </c>
      <c r="B8" s="62" t="s">
        <v>57</v>
      </c>
      <c r="C8" s="62" t="s">
        <v>200</v>
      </c>
      <c r="D8" s="62"/>
      <c r="E8" s="62">
        <f t="shared" si="2"/>
        <v>16</v>
      </c>
      <c r="F8" s="128">
        <v>1019</v>
      </c>
      <c r="G8" s="129">
        <v>10.119165839126101</v>
      </c>
      <c r="H8" s="129">
        <v>9.5452570937781402</v>
      </c>
      <c r="I8" s="129">
        <v>10.7234901082423</v>
      </c>
      <c r="J8" s="129"/>
      <c r="K8" s="129"/>
      <c r="L8" s="129"/>
      <c r="M8" s="60">
        <f t="shared" si="0"/>
        <v>5</v>
      </c>
      <c r="N8" s="61">
        <f t="shared" si="3"/>
        <v>3.7056643726839602</v>
      </c>
      <c r="O8" s="61">
        <f t="shared" ref="O8:O31" si="16">VLOOKUP(7,$E$5:$G$39,3,FALSE)</f>
        <v>6.9166853806422601</v>
      </c>
      <c r="P8" s="129">
        <f t="shared" si="4"/>
        <v>10.0511965914753</v>
      </c>
      <c r="Q8" s="129">
        <f t="shared" si="5"/>
        <v>9.9297207935999392</v>
      </c>
      <c r="R8" s="129">
        <f t="shared" si="6"/>
        <v>10.1739906083903</v>
      </c>
      <c r="S8" s="61">
        <f t="shared" si="7"/>
        <v>12.953890489913499</v>
      </c>
      <c r="T8" s="61">
        <f t="shared" si="1"/>
        <v>17.0999914755775</v>
      </c>
      <c r="U8" s="61">
        <f t="shared" ref="U8:U31" si="17">VLOOKUP(C8,$C$43:$I$46,5,FALSE)</f>
        <v>12.26801249981661</v>
      </c>
      <c r="V8" s="61"/>
      <c r="Y8" s="159" t="s">
        <v>41</v>
      </c>
      <c r="Z8" s="159" t="s">
        <v>64</v>
      </c>
      <c r="AA8" s="159" t="s">
        <v>163</v>
      </c>
      <c r="AB8" s="159">
        <f t="shared" si="8"/>
        <v>7</v>
      </c>
      <c r="AC8" s="164">
        <f t="shared" ref="AC8:AC13" si="18">MIN($AH$6:$AH$13)</f>
        <v>3.7056643726839602</v>
      </c>
      <c r="AD8" s="164">
        <f>MAX($AH$6:$AH$13)</f>
        <v>15.7616790792146</v>
      </c>
      <c r="AE8" s="159"/>
      <c r="AF8" s="159">
        <f t="shared" si="10"/>
        <v>23</v>
      </c>
      <c r="AG8" s="160">
        <f t="shared" si="11"/>
        <v>1337</v>
      </c>
      <c r="AH8" s="161">
        <f t="shared" si="12"/>
        <v>15.619158878504701</v>
      </c>
      <c r="AI8" s="161">
        <f t="shared" si="13"/>
        <v>14.865535789387399</v>
      </c>
      <c r="AJ8" s="161">
        <f t="shared" si="14"/>
        <v>16.403626206395899</v>
      </c>
      <c r="AK8" s="160">
        <f t="shared" si="15"/>
        <v>1</v>
      </c>
    </row>
    <row r="9" spans="1:37" x14ac:dyDescent="0.2">
      <c r="A9" s="62" t="s">
        <v>32</v>
      </c>
      <c r="B9" s="62" t="s">
        <v>156</v>
      </c>
      <c r="C9" s="62" t="s">
        <v>201</v>
      </c>
      <c r="D9" s="62"/>
      <c r="E9" s="62">
        <f t="shared" si="2"/>
        <v>11</v>
      </c>
      <c r="F9" s="128">
        <v>1113</v>
      </c>
      <c r="G9" s="129">
        <v>8.2194815744775092</v>
      </c>
      <c r="H9" s="129">
        <v>7.76862931240482</v>
      </c>
      <c r="I9" s="129">
        <v>8.6940326212907806</v>
      </c>
      <c r="J9" s="129"/>
      <c r="K9" s="129"/>
      <c r="L9" s="129"/>
      <c r="M9" s="60">
        <f t="shared" si="0"/>
        <v>2</v>
      </c>
      <c r="N9" s="61">
        <f t="shared" si="3"/>
        <v>3.7056643726839602</v>
      </c>
      <c r="O9" s="61">
        <f t="shared" si="16"/>
        <v>6.9166853806422601</v>
      </c>
      <c r="P9" s="129">
        <f t="shared" si="4"/>
        <v>10.0511965914753</v>
      </c>
      <c r="Q9" s="129">
        <f t="shared" si="5"/>
        <v>9.9297207935999392</v>
      </c>
      <c r="R9" s="129">
        <f t="shared" si="6"/>
        <v>10.1739906083903</v>
      </c>
      <c r="S9" s="61">
        <f t="shared" si="7"/>
        <v>12.953890489913499</v>
      </c>
      <c r="T9" s="61">
        <f t="shared" si="1"/>
        <v>17.0999914755775</v>
      </c>
      <c r="U9" s="61">
        <f t="shared" si="17"/>
        <v>7.1322789603988372</v>
      </c>
      <c r="V9" s="61"/>
      <c r="X9" s="63"/>
      <c r="Y9" s="159" t="s">
        <v>45</v>
      </c>
      <c r="Z9" s="159" t="s">
        <v>67</v>
      </c>
      <c r="AA9" s="159" t="s">
        <v>163</v>
      </c>
      <c r="AB9" s="159">
        <f t="shared" si="8"/>
        <v>5</v>
      </c>
      <c r="AC9" s="164">
        <f t="shared" si="18"/>
        <v>3.7056643726839602</v>
      </c>
      <c r="AD9" s="164">
        <f t="shared" si="9"/>
        <v>15.7616790792146</v>
      </c>
      <c r="AE9" s="159"/>
      <c r="AF9" s="159">
        <f t="shared" si="10"/>
        <v>20</v>
      </c>
      <c r="AG9" s="160">
        <f t="shared" si="11"/>
        <v>899</v>
      </c>
      <c r="AH9" s="161">
        <f t="shared" si="12"/>
        <v>12.953890489913499</v>
      </c>
      <c r="AI9" s="161">
        <f t="shared" si="13"/>
        <v>12.1843085582653</v>
      </c>
      <c r="AJ9" s="161">
        <f t="shared" si="14"/>
        <v>13.764461578642599</v>
      </c>
      <c r="AK9" s="160">
        <f t="shared" si="15"/>
        <v>1</v>
      </c>
    </row>
    <row r="10" spans="1:37" x14ac:dyDescent="0.2">
      <c r="A10" s="62" t="s">
        <v>33</v>
      </c>
      <c r="B10" s="62" t="s">
        <v>58</v>
      </c>
      <c r="C10" s="62" t="s">
        <v>163</v>
      </c>
      <c r="D10" s="62"/>
      <c r="E10" s="62">
        <f t="shared" si="2"/>
        <v>1</v>
      </c>
      <c r="F10" s="128">
        <v>350</v>
      </c>
      <c r="G10" s="129">
        <v>3.7056643726839602</v>
      </c>
      <c r="H10" s="129">
        <v>3.34313720518205</v>
      </c>
      <c r="I10" s="129">
        <v>4.1058337812412997</v>
      </c>
      <c r="J10" s="129"/>
      <c r="K10" s="129"/>
      <c r="L10" s="129"/>
      <c r="M10" s="60">
        <f t="shared" si="0"/>
        <v>2</v>
      </c>
      <c r="N10" s="61">
        <f t="shared" si="3"/>
        <v>3.7056643726839602</v>
      </c>
      <c r="O10" s="61">
        <f t="shared" si="16"/>
        <v>6.9166853806422601</v>
      </c>
      <c r="P10" s="129">
        <f t="shared" si="4"/>
        <v>10.0511965914753</v>
      </c>
      <c r="Q10" s="129">
        <f t="shared" si="5"/>
        <v>9.9297207935999392</v>
      </c>
      <c r="R10" s="129">
        <f t="shared" si="6"/>
        <v>10.1739906083903</v>
      </c>
      <c r="S10" s="61">
        <f t="shared" si="7"/>
        <v>12.953890489913499</v>
      </c>
      <c r="T10" s="61">
        <f t="shared" si="1"/>
        <v>17.0999914755775</v>
      </c>
      <c r="U10" s="61">
        <f t="shared" si="17"/>
        <v>11.456501771421072</v>
      </c>
      <c r="V10" s="61"/>
      <c r="Y10" s="159" t="s">
        <v>46</v>
      </c>
      <c r="Z10" s="159" t="s">
        <v>68</v>
      </c>
      <c r="AA10" s="159" t="s">
        <v>163</v>
      </c>
      <c r="AB10" s="159">
        <f t="shared" si="8"/>
        <v>2</v>
      </c>
      <c r="AC10" s="164">
        <f t="shared" si="18"/>
        <v>3.7056643726839602</v>
      </c>
      <c r="AD10" s="164">
        <f t="shared" si="9"/>
        <v>15.7616790792146</v>
      </c>
      <c r="AE10" s="159"/>
      <c r="AF10" s="159">
        <f t="shared" si="10"/>
        <v>7</v>
      </c>
      <c r="AG10" s="160">
        <f t="shared" si="11"/>
        <v>616</v>
      </c>
      <c r="AH10" s="161">
        <f t="shared" si="12"/>
        <v>6.9166853806422601</v>
      </c>
      <c r="AI10" s="161">
        <f t="shared" si="13"/>
        <v>6.4080699078395904</v>
      </c>
      <c r="AJ10" s="161">
        <f t="shared" si="14"/>
        <v>7.4624514087570999</v>
      </c>
      <c r="AK10" s="160">
        <f t="shared" si="15"/>
        <v>2</v>
      </c>
    </row>
    <row r="11" spans="1:37" x14ac:dyDescent="0.2">
      <c r="A11" s="62" t="s">
        <v>34</v>
      </c>
      <c r="B11" s="62" t="s">
        <v>59</v>
      </c>
      <c r="C11" s="62" t="s">
        <v>200</v>
      </c>
      <c r="D11" s="62"/>
      <c r="E11" s="62">
        <f t="shared" si="2"/>
        <v>26</v>
      </c>
      <c r="F11" s="128">
        <v>2006</v>
      </c>
      <c r="G11" s="129">
        <v>17.0999914755775</v>
      </c>
      <c r="H11" s="129">
        <v>16.4294605263023</v>
      </c>
      <c r="I11" s="129">
        <v>17.792062388283998</v>
      </c>
      <c r="J11" s="129"/>
      <c r="K11" s="129"/>
      <c r="L11" s="129"/>
      <c r="M11" s="60">
        <f t="shared" si="0"/>
        <v>1</v>
      </c>
      <c r="N11" s="61">
        <f t="shared" si="3"/>
        <v>3.7056643726839602</v>
      </c>
      <c r="O11" s="61">
        <f t="shared" si="16"/>
        <v>6.9166853806422601</v>
      </c>
      <c r="P11" s="129">
        <f t="shared" si="4"/>
        <v>10.0511965914753</v>
      </c>
      <c r="Q11" s="129">
        <f t="shared" si="5"/>
        <v>9.9297207935999392</v>
      </c>
      <c r="R11" s="129">
        <f t="shared" si="6"/>
        <v>10.1739906083903</v>
      </c>
      <c r="S11" s="61">
        <f t="shared" si="7"/>
        <v>12.953890489913499</v>
      </c>
      <c r="T11" s="61">
        <f t="shared" si="1"/>
        <v>17.0999914755775</v>
      </c>
      <c r="U11" s="61">
        <f t="shared" si="17"/>
        <v>12.26801249981661</v>
      </c>
      <c r="V11" s="61"/>
      <c r="Y11" s="159" t="s">
        <v>47</v>
      </c>
      <c r="Z11" s="159" t="s">
        <v>69</v>
      </c>
      <c r="AA11" s="159" t="s">
        <v>163</v>
      </c>
      <c r="AB11" s="159">
        <f t="shared" si="8"/>
        <v>3</v>
      </c>
      <c r="AC11" s="164">
        <f t="shared" si="18"/>
        <v>3.7056643726839602</v>
      </c>
      <c r="AD11" s="164">
        <f t="shared" si="9"/>
        <v>15.7616790792146</v>
      </c>
      <c r="AE11" s="159"/>
      <c r="AF11" s="159">
        <f t="shared" si="10"/>
        <v>10</v>
      </c>
      <c r="AG11" s="160">
        <f t="shared" si="11"/>
        <v>350</v>
      </c>
      <c r="AH11" s="161">
        <f t="shared" si="12"/>
        <v>8.1225342306799693</v>
      </c>
      <c r="AI11" s="161">
        <f t="shared" si="13"/>
        <v>7.3436833230772098</v>
      </c>
      <c r="AJ11" s="161">
        <f t="shared" si="14"/>
        <v>8.9759858681281894</v>
      </c>
      <c r="AK11" s="160">
        <f t="shared" si="15"/>
        <v>2</v>
      </c>
    </row>
    <row r="12" spans="1:37" x14ac:dyDescent="0.2">
      <c r="A12" s="62" t="s">
        <v>35</v>
      </c>
      <c r="B12" s="62" t="s">
        <v>60</v>
      </c>
      <c r="C12" s="62" t="s">
        <v>163</v>
      </c>
      <c r="D12" s="62"/>
      <c r="E12" s="62">
        <f t="shared" si="2"/>
        <v>15</v>
      </c>
      <c r="F12" s="128">
        <v>1100</v>
      </c>
      <c r="G12" s="129">
        <v>9.6044704444250399</v>
      </c>
      <c r="H12" s="129">
        <v>9.0783023026781393</v>
      </c>
      <c r="I12" s="129">
        <v>10.1577276864071</v>
      </c>
      <c r="J12" s="129"/>
      <c r="K12" s="129"/>
      <c r="L12" s="129"/>
      <c r="M12" s="60">
        <f t="shared" si="0"/>
        <v>5</v>
      </c>
      <c r="N12" s="61">
        <f t="shared" si="3"/>
        <v>3.7056643726839602</v>
      </c>
      <c r="O12" s="61">
        <f t="shared" si="16"/>
        <v>6.9166853806422601</v>
      </c>
      <c r="P12" s="129">
        <f t="shared" si="4"/>
        <v>10.0511965914753</v>
      </c>
      <c r="Q12" s="129">
        <f t="shared" si="5"/>
        <v>9.9297207935999392</v>
      </c>
      <c r="R12" s="129">
        <f t="shared" si="6"/>
        <v>10.1739906083903</v>
      </c>
      <c r="S12" s="61">
        <f t="shared" si="7"/>
        <v>12.953890489913499</v>
      </c>
      <c r="T12" s="61">
        <f t="shared" si="1"/>
        <v>17.0999914755775</v>
      </c>
      <c r="U12" s="61">
        <f t="shared" si="17"/>
        <v>11.456501771421072</v>
      </c>
      <c r="V12" s="61"/>
      <c r="Y12" s="159" t="s">
        <v>50</v>
      </c>
      <c r="Z12" s="159" t="s">
        <v>161</v>
      </c>
      <c r="AA12" s="159" t="s">
        <v>163</v>
      </c>
      <c r="AB12" s="159">
        <f t="shared" si="8"/>
        <v>6</v>
      </c>
      <c r="AC12" s="164">
        <f t="shared" si="18"/>
        <v>3.7056643726839602</v>
      </c>
      <c r="AD12" s="164">
        <f t="shared" si="9"/>
        <v>15.7616790792146</v>
      </c>
      <c r="AE12" s="159"/>
      <c r="AF12" s="159">
        <f t="shared" si="10"/>
        <v>21</v>
      </c>
      <c r="AG12" s="160">
        <f t="shared" si="11"/>
        <v>587</v>
      </c>
      <c r="AH12" s="161">
        <f t="shared" si="12"/>
        <v>13.214768122467399</v>
      </c>
      <c r="AI12" s="161">
        <f t="shared" si="13"/>
        <v>12.250585391449601</v>
      </c>
      <c r="AJ12" s="161">
        <f t="shared" si="14"/>
        <v>14.2425199009989</v>
      </c>
      <c r="AK12" s="160">
        <f t="shared" si="15"/>
        <v>1</v>
      </c>
    </row>
    <row r="13" spans="1:37" x14ac:dyDescent="0.2">
      <c r="A13" s="62" t="s">
        <v>36</v>
      </c>
      <c r="B13" s="62" t="s">
        <v>61</v>
      </c>
      <c r="C13" s="62" t="s">
        <v>201</v>
      </c>
      <c r="D13" s="62"/>
      <c r="E13" s="62">
        <f t="shared" si="2"/>
        <v>4</v>
      </c>
      <c r="F13" s="128">
        <v>1085</v>
      </c>
      <c r="G13" s="129">
        <v>6.1006466123137502</v>
      </c>
      <c r="H13" s="129">
        <v>5.7582817316637103</v>
      </c>
      <c r="I13" s="129">
        <v>6.4619714189021096</v>
      </c>
      <c r="J13" s="129"/>
      <c r="K13" s="129"/>
      <c r="L13" s="129"/>
      <c r="M13" s="60">
        <f t="shared" si="0"/>
        <v>2</v>
      </c>
      <c r="N13" s="61">
        <f t="shared" si="3"/>
        <v>3.7056643726839602</v>
      </c>
      <c r="O13" s="61">
        <f t="shared" si="16"/>
        <v>6.9166853806422601</v>
      </c>
      <c r="P13" s="129">
        <f t="shared" si="4"/>
        <v>10.0511965914753</v>
      </c>
      <c r="Q13" s="129">
        <f t="shared" si="5"/>
        <v>9.9297207935999392</v>
      </c>
      <c r="R13" s="129">
        <f t="shared" si="6"/>
        <v>10.1739906083903</v>
      </c>
      <c r="S13" s="61">
        <f t="shared" si="7"/>
        <v>12.953890489913499</v>
      </c>
      <c r="T13" s="61">
        <f t="shared" si="1"/>
        <v>17.0999914755775</v>
      </c>
      <c r="U13" s="61">
        <f t="shared" si="17"/>
        <v>7.1322789603988372</v>
      </c>
      <c r="V13" s="61"/>
      <c r="Y13" s="159" t="s">
        <v>53</v>
      </c>
      <c r="Z13" s="159" t="s">
        <v>162</v>
      </c>
      <c r="AA13" s="159" t="s">
        <v>163</v>
      </c>
      <c r="AB13" s="159">
        <f>RANK(AH13,$AH$6:$AH$13,1)</f>
        <v>8</v>
      </c>
      <c r="AC13" s="164">
        <f t="shared" si="18"/>
        <v>3.7056643726839602</v>
      </c>
      <c r="AD13" s="164">
        <f t="shared" si="9"/>
        <v>15.7616790792146</v>
      </c>
      <c r="AE13" s="159"/>
      <c r="AF13" s="159">
        <f t="shared" si="10"/>
        <v>24</v>
      </c>
      <c r="AG13" s="160">
        <f t="shared" si="11"/>
        <v>3492</v>
      </c>
      <c r="AH13" s="161">
        <f t="shared" si="12"/>
        <v>15.7616790792146</v>
      </c>
      <c r="AI13" s="161">
        <f t="shared" si="13"/>
        <v>15.2878106080388</v>
      </c>
      <c r="AJ13" s="161">
        <f t="shared" si="14"/>
        <v>16.247418667402801</v>
      </c>
      <c r="AK13" s="160">
        <f t="shared" si="15"/>
        <v>1</v>
      </c>
    </row>
    <row r="14" spans="1:37" x14ac:dyDescent="0.2">
      <c r="A14" s="62" t="s">
        <v>37</v>
      </c>
      <c r="B14" s="62" t="s">
        <v>157</v>
      </c>
      <c r="C14" s="62" t="s">
        <v>201</v>
      </c>
      <c r="D14" s="62"/>
      <c r="E14" s="62">
        <f t="shared" si="2"/>
        <v>3</v>
      </c>
      <c r="F14" s="128">
        <v>1054</v>
      </c>
      <c r="G14" s="129">
        <v>5.06828236199269</v>
      </c>
      <c r="H14" s="129">
        <v>4.7783705543414001</v>
      </c>
      <c r="I14" s="129">
        <v>5.3747907714393603</v>
      </c>
      <c r="J14" s="129"/>
      <c r="K14" s="129"/>
      <c r="L14" s="129"/>
      <c r="M14" s="60">
        <f t="shared" si="0"/>
        <v>2</v>
      </c>
      <c r="N14" s="61">
        <f t="shared" si="3"/>
        <v>3.7056643726839602</v>
      </c>
      <c r="O14" s="61">
        <f t="shared" si="16"/>
        <v>6.9166853806422601</v>
      </c>
      <c r="P14" s="129">
        <f t="shared" si="4"/>
        <v>10.0511965914753</v>
      </c>
      <c r="Q14" s="129">
        <f t="shared" si="5"/>
        <v>9.9297207935999392</v>
      </c>
      <c r="R14" s="129">
        <f t="shared" si="6"/>
        <v>10.1739906083903</v>
      </c>
      <c r="S14" s="61">
        <f t="shared" si="7"/>
        <v>12.953890489913499</v>
      </c>
      <c r="T14" s="61">
        <f t="shared" si="1"/>
        <v>17.0999914755775</v>
      </c>
      <c r="U14" s="61">
        <f t="shared" si="17"/>
        <v>7.1322789603988372</v>
      </c>
      <c r="V14" s="61"/>
      <c r="Y14" s="162" t="s">
        <v>29</v>
      </c>
      <c r="Z14" s="162" t="s">
        <v>55</v>
      </c>
      <c r="AA14" s="162" t="s">
        <v>201</v>
      </c>
      <c r="AB14" s="162">
        <f>RANK(AH14,$AH$14:$AH$22,1)</f>
        <v>9</v>
      </c>
      <c r="AC14" s="165">
        <f t="shared" ref="AC14:AC22" si="19">MIN($AH$14:$AH$22)</f>
        <v>5.0199800199800197</v>
      </c>
      <c r="AD14" s="165">
        <f>MAX($AH$14:$AH$22)</f>
        <v>11.440285676497799</v>
      </c>
      <c r="AE14" s="162"/>
      <c r="AF14" s="162">
        <f t="shared" si="10"/>
        <v>18</v>
      </c>
      <c r="AG14" s="167">
        <f t="shared" si="11"/>
        <v>865</v>
      </c>
      <c r="AH14" s="165">
        <f t="shared" si="12"/>
        <v>11.440285676497799</v>
      </c>
      <c r="AI14" s="165">
        <f t="shared" si="13"/>
        <v>10.742325865859501</v>
      </c>
      <c r="AJ14" s="165">
        <f t="shared" si="14"/>
        <v>12.177407062568401</v>
      </c>
      <c r="AK14" s="167">
        <f t="shared" si="15"/>
        <v>1</v>
      </c>
    </row>
    <row r="15" spans="1:37" x14ac:dyDescent="0.2">
      <c r="A15" s="62" t="s">
        <v>38</v>
      </c>
      <c r="B15" s="62" t="s">
        <v>62</v>
      </c>
      <c r="C15" s="62" t="s">
        <v>201</v>
      </c>
      <c r="D15" s="62"/>
      <c r="E15" s="62">
        <f t="shared" si="2"/>
        <v>12</v>
      </c>
      <c r="F15" s="128">
        <v>502</v>
      </c>
      <c r="G15" s="129">
        <v>8.6417627818901703</v>
      </c>
      <c r="H15" s="129">
        <v>7.9462590209570996</v>
      </c>
      <c r="I15" s="129">
        <v>9.3919303303341799</v>
      </c>
      <c r="J15" s="129"/>
      <c r="K15" s="129"/>
      <c r="L15" s="129"/>
      <c r="M15" s="60">
        <f t="shared" si="0"/>
        <v>2</v>
      </c>
      <c r="N15" s="61">
        <f t="shared" si="3"/>
        <v>3.7056643726839602</v>
      </c>
      <c r="O15" s="61">
        <f t="shared" si="16"/>
        <v>6.9166853806422601</v>
      </c>
      <c r="P15" s="129">
        <f t="shared" si="4"/>
        <v>10.0511965914753</v>
      </c>
      <c r="Q15" s="129">
        <f t="shared" si="5"/>
        <v>9.9297207935999392</v>
      </c>
      <c r="R15" s="129">
        <f t="shared" si="6"/>
        <v>10.1739906083903</v>
      </c>
      <c r="S15" s="61">
        <f t="shared" si="7"/>
        <v>12.953890489913499</v>
      </c>
      <c r="T15" s="61">
        <f t="shared" si="1"/>
        <v>17.0999914755775</v>
      </c>
      <c r="U15" s="61">
        <f t="shared" si="17"/>
        <v>7.1322789603988372</v>
      </c>
      <c r="V15" s="61"/>
      <c r="Y15" s="162" t="s">
        <v>32</v>
      </c>
      <c r="Z15" s="162" t="s">
        <v>156</v>
      </c>
      <c r="AA15" s="162" t="s">
        <v>201</v>
      </c>
      <c r="AB15" s="162">
        <f>RANK(AH15,$AH$14:$AH$22,1)</f>
        <v>6</v>
      </c>
      <c r="AC15" s="165">
        <f t="shared" si="19"/>
        <v>5.0199800199800197</v>
      </c>
      <c r="AD15" s="165">
        <f t="shared" ref="AD15:AD22" si="20">MAX($AH$14:$AH$22)</f>
        <v>11.440285676497799</v>
      </c>
      <c r="AE15" s="162"/>
      <c r="AF15" s="162">
        <f t="shared" si="10"/>
        <v>11</v>
      </c>
      <c r="AG15" s="167">
        <f t="shared" si="11"/>
        <v>1113</v>
      </c>
      <c r="AH15" s="165">
        <f t="shared" si="12"/>
        <v>8.2194815744775092</v>
      </c>
      <c r="AI15" s="165">
        <f t="shared" si="13"/>
        <v>7.76862931240482</v>
      </c>
      <c r="AJ15" s="165">
        <f t="shared" si="14"/>
        <v>8.6940326212907806</v>
      </c>
      <c r="AK15" s="167">
        <f t="shared" si="15"/>
        <v>2</v>
      </c>
    </row>
    <row r="16" spans="1:37" x14ac:dyDescent="0.2">
      <c r="A16" s="62" t="s">
        <v>39</v>
      </c>
      <c r="B16" s="62" t="s">
        <v>158</v>
      </c>
      <c r="C16" s="62" t="s">
        <v>200</v>
      </c>
      <c r="D16" s="62"/>
      <c r="E16" s="62">
        <f t="shared" si="2"/>
        <v>19</v>
      </c>
      <c r="F16" s="128">
        <v>1446</v>
      </c>
      <c r="G16" s="129">
        <v>12.0983935742972</v>
      </c>
      <c r="H16" s="129">
        <v>11.525896538419101</v>
      </c>
      <c r="I16" s="129">
        <v>12.695246480203201</v>
      </c>
      <c r="J16" s="129"/>
      <c r="K16" s="129"/>
      <c r="L16" s="129"/>
      <c r="M16" s="60">
        <f t="shared" si="0"/>
        <v>1</v>
      </c>
      <c r="N16" s="61">
        <f t="shared" si="3"/>
        <v>3.7056643726839602</v>
      </c>
      <c r="O16" s="61">
        <f t="shared" si="16"/>
        <v>6.9166853806422601</v>
      </c>
      <c r="P16" s="129">
        <f t="shared" si="4"/>
        <v>10.0511965914753</v>
      </c>
      <c r="Q16" s="129">
        <f t="shared" si="5"/>
        <v>9.9297207935999392</v>
      </c>
      <c r="R16" s="129">
        <f t="shared" si="6"/>
        <v>10.1739906083903</v>
      </c>
      <c r="S16" s="61">
        <f t="shared" si="7"/>
        <v>12.953890489913499</v>
      </c>
      <c r="T16" s="61">
        <f t="shared" si="1"/>
        <v>17.0999914755775</v>
      </c>
      <c r="U16" s="61">
        <f t="shared" si="17"/>
        <v>12.26801249981661</v>
      </c>
      <c r="V16" s="61"/>
      <c r="Y16" s="162" t="s">
        <v>36</v>
      </c>
      <c r="Z16" s="162" t="s">
        <v>61</v>
      </c>
      <c r="AA16" s="162" t="s">
        <v>201</v>
      </c>
      <c r="AB16" s="162">
        <f>RANK(AH16,$AH$14:$AH$22,1)</f>
        <v>3</v>
      </c>
      <c r="AC16" s="165">
        <f t="shared" si="19"/>
        <v>5.0199800199800197</v>
      </c>
      <c r="AD16" s="165">
        <f t="shared" si="20"/>
        <v>11.440285676497799</v>
      </c>
      <c r="AE16" s="162"/>
      <c r="AF16" s="162">
        <f t="shared" si="10"/>
        <v>4</v>
      </c>
      <c r="AG16" s="167">
        <f t="shared" si="11"/>
        <v>1085</v>
      </c>
      <c r="AH16" s="165">
        <f t="shared" si="12"/>
        <v>6.1006466123137502</v>
      </c>
      <c r="AI16" s="165">
        <f t="shared" si="13"/>
        <v>5.7582817316637103</v>
      </c>
      <c r="AJ16" s="165">
        <f t="shared" si="14"/>
        <v>6.4619714189021096</v>
      </c>
      <c r="AK16" s="167">
        <f t="shared" si="15"/>
        <v>2</v>
      </c>
    </row>
    <row r="17" spans="1:37" x14ac:dyDescent="0.2">
      <c r="A17" s="62" t="s">
        <v>40</v>
      </c>
      <c r="B17" s="62" t="s">
        <v>63</v>
      </c>
      <c r="C17" s="62" t="s">
        <v>200</v>
      </c>
      <c r="D17" s="62"/>
      <c r="E17" s="62">
        <f t="shared" si="2"/>
        <v>17</v>
      </c>
      <c r="F17" s="128">
        <v>671</v>
      </c>
      <c r="G17" s="129">
        <v>10.686415034241101</v>
      </c>
      <c r="H17" s="129">
        <v>9.9461594741092991</v>
      </c>
      <c r="I17" s="129">
        <v>11.474744867368599</v>
      </c>
      <c r="J17" s="129"/>
      <c r="K17" s="129"/>
      <c r="L17" s="129"/>
      <c r="M17" s="60">
        <f t="shared" si="0"/>
        <v>5</v>
      </c>
      <c r="N17" s="61">
        <f t="shared" si="3"/>
        <v>3.7056643726839602</v>
      </c>
      <c r="O17" s="61">
        <f t="shared" si="16"/>
        <v>6.9166853806422601</v>
      </c>
      <c r="P17" s="129">
        <f t="shared" si="4"/>
        <v>10.0511965914753</v>
      </c>
      <c r="Q17" s="129">
        <f t="shared" si="5"/>
        <v>9.9297207935999392</v>
      </c>
      <c r="R17" s="129">
        <f t="shared" si="6"/>
        <v>10.1739906083903</v>
      </c>
      <c r="S17" s="61">
        <f t="shared" si="7"/>
        <v>12.953890489913499</v>
      </c>
      <c r="T17" s="61">
        <f t="shared" si="1"/>
        <v>17.0999914755775</v>
      </c>
      <c r="U17" s="61">
        <f t="shared" si="17"/>
        <v>12.26801249981661</v>
      </c>
      <c r="V17" s="61"/>
      <c r="Y17" s="162" t="s">
        <v>37</v>
      </c>
      <c r="Z17" s="162" t="s">
        <v>157</v>
      </c>
      <c r="AA17" s="162" t="s">
        <v>201</v>
      </c>
      <c r="AB17" s="162">
        <f t="shared" ref="AB17:AB22" si="21">RANK(AH17,$AH$14:$AH$22,1)</f>
        <v>2</v>
      </c>
      <c r="AC17" s="165">
        <f t="shared" si="19"/>
        <v>5.0199800199800197</v>
      </c>
      <c r="AD17" s="165">
        <f>MAX($AH$14:$AH$22)</f>
        <v>11.440285676497799</v>
      </c>
      <c r="AE17" s="162"/>
      <c r="AF17" s="162">
        <f t="shared" si="10"/>
        <v>3</v>
      </c>
      <c r="AG17" s="167">
        <f t="shared" si="11"/>
        <v>1054</v>
      </c>
      <c r="AH17" s="165">
        <f t="shared" si="12"/>
        <v>5.06828236199269</v>
      </c>
      <c r="AI17" s="165">
        <f t="shared" si="13"/>
        <v>4.7783705543414001</v>
      </c>
      <c r="AJ17" s="165">
        <f t="shared" si="14"/>
        <v>5.3747907714393603</v>
      </c>
      <c r="AK17" s="167">
        <f t="shared" si="15"/>
        <v>2</v>
      </c>
    </row>
    <row r="18" spans="1:37" x14ac:dyDescent="0.2">
      <c r="A18" s="62" t="s">
        <v>41</v>
      </c>
      <c r="B18" s="62" t="s">
        <v>64</v>
      </c>
      <c r="C18" s="62" t="s">
        <v>163</v>
      </c>
      <c r="D18" s="62"/>
      <c r="E18" s="62">
        <f t="shared" si="2"/>
        <v>23</v>
      </c>
      <c r="F18" s="128">
        <v>1337</v>
      </c>
      <c r="G18" s="129">
        <v>15.619158878504701</v>
      </c>
      <c r="H18" s="129">
        <v>14.865535789387399</v>
      </c>
      <c r="I18" s="129">
        <v>16.403626206395899</v>
      </c>
      <c r="J18" s="129"/>
      <c r="K18" s="129"/>
      <c r="L18" s="129"/>
      <c r="M18" s="60">
        <f t="shared" si="0"/>
        <v>1</v>
      </c>
      <c r="N18" s="61">
        <f t="shared" si="3"/>
        <v>3.7056643726839602</v>
      </c>
      <c r="O18" s="61">
        <f t="shared" si="16"/>
        <v>6.9166853806422601</v>
      </c>
      <c r="P18" s="129">
        <f t="shared" si="4"/>
        <v>10.0511965914753</v>
      </c>
      <c r="Q18" s="129">
        <f t="shared" si="5"/>
        <v>9.9297207935999392</v>
      </c>
      <c r="R18" s="129">
        <f t="shared" si="6"/>
        <v>10.1739906083903</v>
      </c>
      <c r="S18" s="61">
        <f t="shared" si="7"/>
        <v>12.953890489913499</v>
      </c>
      <c r="T18" s="61">
        <f t="shared" si="1"/>
        <v>17.0999914755775</v>
      </c>
      <c r="U18" s="61">
        <f t="shared" si="17"/>
        <v>11.456501771421072</v>
      </c>
      <c r="V18" s="61"/>
      <c r="Y18" s="162" t="s">
        <v>38</v>
      </c>
      <c r="Z18" s="162" t="s">
        <v>62</v>
      </c>
      <c r="AA18" s="162" t="s">
        <v>201</v>
      </c>
      <c r="AB18" s="162">
        <f t="shared" si="21"/>
        <v>7</v>
      </c>
      <c r="AC18" s="165">
        <f t="shared" si="19"/>
        <v>5.0199800199800197</v>
      </c>
      <c r="AD18" s="165">
        <f t="shared" si="20"/>
        <v>11.440285676497799</v>
      </c>
      <c r="AE18" s="162"/>
      <c r="AF18" s="162">
        <f t="shared" si="10"/>
        <v>12</v>
      </c>
      <c r="AG18" s="167">
        <f t="shared" si="11"/>
        <v>502</v>
      </c>
      <c r="AH18" s="165">
        <f t="shared" si="12"/>
        <v>8.6417627818901703</v>
      </c>
      <c r="AI18" s="165">
        <f t="shared" si="13"/>
        <v>7.9462590209570996</v>
      </c>
      <c r="AJ18" s="165">
        <f t="shared" si="14"/>
        <v>9.3919303303341799</v>
      </c>
      <c r="AK18" s="167">
        <f t="shared" si="15"/>
        <v>2</v>
      </c>
    </row>
    <row r="19" spans="1:37" x14ac:dyDescent="0.2">
      <c r="A19" s="62" t="s">
        <v>42</v>
      </c>
      <c r="B19" s="62" t="s">
        <v>65</v>
      </c>
      <c r="C19" s="62" t="s">
        <v>200</v>
      </c>
      <c r="D19" s="62"/>
      <c r="E19" s="62">
        <f t="shared" si="2"/>
        <v>5</v>
      </c>
      <c r="F19" s="128">
        <v>262</v>
      </c>
      <c r="G19" s="129">
        <v>6.2905162064825904</v>
      </c>
      <c r="H19" s="129">
        <v>5.5926801373218398</v>
      </c>
      <c r="I19" s="129">
        <v>7.0689061579270298</v>
      </c>
      <c r="J19" s="129"/>
      <c r="K19" s="129"/>
      <c r="L19" s="129"/>
      <c r="M19" s="60">
        <f t="shared" si="0"/>
        <v>2</v>
      </c>
      <c r="N19" s="61">
        <f t="shared" si="3"/>
        <v>3.7056643726839602</v>
      </c>
      <c r="O19" s="61">
        <f t="shared" si="16"/>
        <v>6.9166853806422601</v>
      </c>
      <c r="P19" s="129">
        <f t="shared" si="4"/>
        <v>10.0511965914753</v>
      </c>
      <c r="Q19" s="129">
        <f t="shared" si="5"/>
        <v>9.9297207935999392</v>
      </c>
      <c r="R19" s="129">
        <f t="shared" si="6"/>
        <v>10.1739906083903</v>
      </c>
      <c r="S19" s="61">
        <f t="shared" si="7"/>
        <v>12.953890489913499</v>
      </c>
      <c r="T19" s="61">
        <f t="shared" si="1"/>
        <v>17.0999914755775</v>
      </c>
      <c r="U19" s="61">
        <f t="shared" si="17"/>
        <v>12.26801249981661</v>
      </c>
      <c r="V19" s="61"/>
      <c r="Y19" s="162" t="s">
        <v>43</v>
      </c>
      <c r="Z19" s="162" t="s">
        <v>159</v>
      </c>
      <c r="AA19" s="162" t="s">
        <v>201</v>
      </c>
      <c r="AB19" s="162">
        <f t="shared" si="21"/>
        <v>1</v>
      </c>
      <c r="AC19" s="165">
        <f t="shared" si="19"/>
        <v>5.0199800199800197</v>
      </c>
      <c r="AD19" s="165">
        <f t="shared" si="20"/>
        <v>11.440285676497799</v>
      </c>
      <c r="AE19" s="162"/>
      <c r="AF19" s="162">
        <f t="shared" si="10"/>
        <v>2</v>
      </c>
      <c r="AG19" s="167">
        <f t="shared" si="11"/>
        <v>402</v>
      </c>
      <c r="AH19" s="165">
        <f t="shared" si="12"/>
        <v>5.0199800199800197</v>
      </c>
      <c r="AI19" s="165">
        <f t="shared" si="13"/>
        <v>4.5629272090065003</v>
      </c>
      <c r="AJ19" s="165">
        <f t="shared" si="14"/>
        <v>5.5201662093148904</v>
      </c>
      <c r="AK19" s="167">
        <f t="shared" si="15"/>
        <v>2</v>
      </c>
    </row>
    <row r="20" spans="1:37" x14ac:dyDescent="0.2">
      <c r="A20" s="62" t="s">
        <v>43</v>
      </c>
      <c r="B20" s="62" t="s">
        <v>159</v>
      </c>
      <c r="C20" s="62" t="s">
        <v>201</v>
      </c>
      <c r="D20" s="62"/>
      <c r="E20" s="62">
        <f t="shared" si="2"/>
        <v>2</v>
      </c>
      <c r="F20" s="128">
        <v>402</v>
      </c>
      <c r="G20" s="129">
        <v>5.0199800199800197</v>
      </c>
      <c r="H20" s="129">
        <v>4.5629272090065003</v>
      </c>
      <c r="I20" s="129">
        <v>5.5201662093148904</v>
      </c>
      <c r="J20" s="129"/>
      <c r="K20" s="129"/>
      <c r="L20" s="129"/>
      <c r="M20" s="60">
        <f t="shared" si="0"/>
        <v>2</v>
      </c>
      <c r="N20" s="61">
        <f t="shared" si="3"/>
        <v>3.7056643726839602</v>
      </c>
      <c r="O20" s="61">
        <f t="shared" si="16"/>
        <v>6.9166853806422601</v>
      </c>
      <c r="P20" s="129">
        <f t="shared" si="4"/>
        <v>10.0511965914753</v>
      </c>
      <c r="Q20" s="129">
        <f t="shared" si="5"/>
        <v>9.9297207935999392</v>
      </c>
      <c r="R20" s="129">
        <f t="shared" si="6"/>
        <v>10.1739906083903</v>
      </c>
      <c r="S20" s="61">
        <f t="shared" si="7"/>
        <v>12.953890489913499</v>
      </c>
      <c r="T20" s="61">
        <f t="shared" si="1"/>
        <v>17.0999914755775</v>
      </c>
      <c r="U20" s="61">
        <f t="shared" si="17"/>
        <v>7.1322789603988372</v>
      </c>
      <c r="V20" s="61"/>
      <c r="Y20" s="162" t="s">
        <v>48</v>
      </c>
      <c r="Z20" s="162" t="s">
        <v>160</v>
      </c>
      <c r="AA20" s="162" t="s">
        <v>201</v>
      </c>
      <c r="AB20" s="162">
        <f t="shared" si="21"/>
        <v>4</v>
      </c>
      <c r="AC20" s="165">
        <f t="shared" si="19"/>
        <v>5.0199800199800197</v>
      </c>
      <c r="AD20" s="165">
        <f t="shared" si="20"/>
        <v>11.440285676497799</v>
      </c>
      <c r="AE20" s="162"/>
      <c r="AF20" s="162">
        <f t="shared" si="10"/>
        <v>8</v>
      </c>
      <c r="AG20" s="167">
        <f t="shared" si="11"/>
        <v>366</v>
      </c>
      <c r="AH20" s="165">
        <f t="shared" si="12"/>
        <v>7.1568244035979696</v>
      </c>
      <c r="AI20" s="165">
        <f t="shared" si="13"/>
        <v>6.4820310212195302</v>
      </c>
      <c r="AJ20" s="165">
        <f t="shared" si="14"/>
        <v>7.8959340787438101</v>
      </c>
      <c r="AK20" s="167">
        <f t="shared" si="15"/>
        <v>2</v>
      </c>
    </row>
    <row r="21" spans="1:37" x14ac:dyDescent="0.2">
      <c r="A21" s="62" t="s">
        <v>44</v>
      </c>
      <c r="B21" s="62" t="s">
        <v>66</v>
      </c>
      <c r="C21" s="62" t="s">
        <v>200</v>
      </c>
      <c r="D21" s="62"/>
      <c r="E21" s="62">
        <f t="shared" si="2"/>
        <v>6</v>
      </c>
      <c r="F21" s="128">
        <v>220</v>
      </c>
      <c r="G21" s="129">
        <v>6.3109581181870302</v>
      </c>
      <c r="H21" s="129">
        <v>5.5508700573435403</v>
      </c>
      <c r="I21" s="129">
        <v>7.1672280012049203</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2</v>
      </c>
      <c r="N21" s="61">
        <f t="shared" si="3"/>
        <v>3.7056643726839602</v>
      </c>
      <c r="O21" s="61">
        <f t="shared" si="16"/>
        <v>6.9166853806422601</v>
      </c>
      <c r="P21" s="129">
        <f t="shared" si="4"/>
        <v>10.0511965914753</v>
      </c>
      <c r="Q21" s="129">
        <f t="shared" si="5"/>
        <v>9.9297207935999392</v>
      </c>
      <c r="R21" s="129">
        <f t="shared" si="6"/>
        <v>10.1739906083903</v>
      </c>
      <c r="S21" s="61">
        <f t="shared" si="7"/>
        <v>12.953890489913499</v>
      </c>
      <c r="T21" s="61">
        <f t="shared" si="1"/>
        <v>17.0999914755775</v>
      </c>
      <c r="U21" s="61">
        <f t="shared" si="17"/>
        <v>12.26801249981661</v>
      </c>
      <c r="V21" s="61"/>
      <c r="Y21" s="162" t="s">
        <v>52</v>
      </c>
      <c r="Z21" s="162" t="s">
        <v>72</v>
      </c>
      <c r="AA21" s="162" t="s">
        <v>201</v>
      </c>
      <c r="AB21" s="162">
        <f t="shared" si="21"/>
        <v>8</v>
      </c>
      <c r="AC21" s="165">
        <f t="shared" si="19"/>
        <v>5.0199800199800197</v>
      </c>
      <c r="AD21" s="165">
        <f t="shared" si="20"/>
        <v>11.440285676497799</v>
      </c>
      <c r="AE21" s="162"/>
      <c r="AF21" s="162">
        <f t="shared" si="10"/>
        <v>13</v>
      </c>
      <c r="AG21" s="167">
        <f t="shared" si="11"/>
        <v>346</v>
      </c>
      <c r="AH21" s="165">
        <f t="shared" si="12"/>
        <v>8.7951194712760596</v>
      </c>
      <c r="AI21" s="165">
        <f t="shared" si="13"/>
        <v>7.9497990530124403</v>
      </c>
      <c r="AJ21" s="165">
        <f t="shared" si="14"/>
        <v>9.7208325886455</v>
      </c>
      <c r="AK21" s="167">
        <f t="shared" si="15"/>
        <v>2</v>
      </c>
    </row>
    <row r="22" spans="1:37" x14ac:dyDescent="0.2">
      <c r="A22" s="62" t="s">
        <v>45</v>
      </c>
      <c r="B22" s="62" t="s">
        <v>67</v>
      </c>
      <c r="C22" s="62" t="s">
        <v>163</v>
      </c>
      <c r="D22" s="62"/>
      <c r="E22" s="62">
        <f t="shared" si="2"/>
        <v>20</v>
      </c>
      <c r="F22" s="128">
        <v>899</v>
      </c>
      <c r="G22" s="129">
        <v>12.953890489913499</v>
      </c>
      <c r="H22" s="129">
        <v>12.1843085582653</v>
      </c>
      <c r="I22" s="129">
        <v>13.764461578642599</v>
      </c>
      <c r="J22" s="129"/>
      <c r="K22" s="129"/>
      <c r="L22" s="129"/>
      <c r="M22" s="60">
        <f t="shared" si="0"/>
        <v>1</v>
      </c>
      <c r="N22" s="61">
        <f t="shared" si="3"/>
        <v>3.7056643726839602</v>
      </c>
      <c r="O22" s="61">
        <f t="shared" si="16"/>
        <v>6.9166853806422601</v>
      </c>
      <c r="P22" s="129">
        <f t="shared" si="4"/>
        <v>10.0511965914753</v>
      </c>
      <c r="Q22" s="129">
        <f t="shared" si="5"/>
        <v>9.9297207935999392</v>
      </c>
      <c r="R22" s="129">
        <f t="shared" si="6"/>
        <v>10.1739906083903</v>
      </c>
      <c r="S22" s="61">
        <f t="shared" si="7"/>
        <v>12.953890489913499</v>
      </c>
      <c r="T22" s="61">
        <f t="shared" si="1"/>
        <v>17.0999914755775</v>
      </c>
      <c r="U22" s="61">
        <f>VLOOKUP(C22,$C$43:$I$46,5,FALSE)</f>
        <v>11.456501771421072</v>
      </c>
      <c r="V22" s="61"/>
      <c r="Y22" s="162" t="s">
        <v>54</v>
      </c>
      <c r="Z22" s="162" t="s">
        <v>73</v>
      </c>
      <c r="AA22" s="162" t="s">
        <v>201</v>
      </c>
      <c r="AB22" s="162">
        <f t="shared" si="21"/>
        <v>5</v>
      </c>
      <c r="AC22" s="165">
        <f t="shared" si="19"/>
        <v>5.0199800199800197</v>
      </c>
      <c r="AD22" s="165">
        <f t="shared" si="20"/>
        <v>11.440285676497799</v>
      </c>
      <c r="AE22" s="162"/>
      <c r="AF22" s="162">
        <f t="shared" si="10"/>
        <v>9</v>
      </c>
      <c r="AG22" s="167">
        <f t="shared" si="11"/>
        <v>424</v>
      </c>
      <c r="AH22" s="165">
        <f t="shared" si="12"/>
        <v>7.8199926226484697</v>
      </c>
      <c r="AI22" s="165">
        <f t="shared" si="13"/>
        <v>7.1348407027504903</v>
      </c>
      <c r="AJ22" s="165">
        <f t="shared" si="14"/>
        <v>8.5648708587782902</v>
      </c>
      <c r="AK22" s="167">
        <f t="shared" si="15"/>
        <v>2</v>
      </c>
    </row>
    <row r="23" spans="1:37" x14ac:dyDescent="0.2">
      <c r="A23" s="62" t="s">
        <v>46</v>
      </c>
      <c r="B23" s="62" t="s">
        <v>68</v>
      </c>
      <c r="C23" s="62" t="s">
        <v>163</v>
      </c>
      <c r="D23" s="62"/>
      <c r="E23" s="62">
        <f t="shared" si="2"/>
        <v>7</v>
      </c>
      <c r="F23" s="128">
        <v>616</v>
      </c>
      <c r="G23" s="129">
        <v>6.9166853806422601</v>
      </c>
      <c r="H23" s="129">
        <v>6.4080699078395904</v>
      </c>
      <c r="I23" s="129">
        <v>7.4624514087570999</v>
      </c>
      <c r="J23" s="129"/>
      <c r="K23" s="129"/>
      <c r="L23" s="129"/>
      <c r="M23" s="60">
        <f t="shared" si="0"/>
        <v>2</v>
      </c>
      <c r="N23" s="61">
        <f t="shared" si="3"/>
        <v>3.7056643726839602</v>
      </c>
      <c r="O23" s="61">
        <f t="shared" si="16"/>
        <v>6.9166853806422601</v>
      </c>
      <c r="P23" s="129">
        <f t="shared" si="4"/>
        <v>10.0511965914753</v>
      </c>
      <c r="Q23" s="129">
        <f t="shared" si="5"/>
        <v>9.9297207935999392</v>
      </c>
      <c r="R23" s="129">
        <f t="shared" si="6"/>
        <v>10.1739906083903</v>
      </c>
      <c r="S23" s="61">
        <f t="shared" si="7"/>
        <v>12.953890489913499</v>
      </c>
      <c r="T23" s="61">
        <f t="shared" si="1"/>
        <v>17.0999914755775</v>
      </c>
      <c r="U23" s="61">
        <f t="shared" si="17"/>
        <v>11.456501771421072</v>
      </c>
      <c r="V23" s="61"/>
      <c r="Y23" s="163" t="s">
        <v>30</v>
      </c>
      <c r="Z23" s="163" t="s">
        <v>56</v>
      </c>
      <c r="AA23" s="163" t="s">
        <v>200</v>
      </c>
      <c r="AB23" s="163">
        <f>RANK(AH23,$AH$23:$AH$31,1)</f>
        <v>8</v>
      </c>
      <c r="AC23" s="166">
        <f>MIN($AH$23:$AH$31)</f>
        <v>6.2905162064825904</v>
      </c>
      <c r="AD23" s="166">
        <f>MAX($AH$23:$AH$31)</f>
        <v>17.0999914755775</v>
      </c>
      <c r="AE23" s="163"/>
      <c r="AF23" s="163">
        <f t="shared" si="10"/>
        <v>25</v>
      </c>
      <c r="AG23" s="168">
        <f t="shared" si="11"/>
        <v>1399</v>
      </c>
      <c r="AH23" s="166">
        <f t="shared" si="12"/>
        <v>15.8544877606528</v>
      </c>
      <c r="AI23" s="166">
        <f t="shared" si="13"/>
        <v>15.107276069294199</v>
      </c>
      <c r="AJ23" s="166">
        <f t="shared" si="14"/>
        <v>16.6314164739562</v>
      </c>
      <c r="AK23" s="168">
        <f t="shared" si="15"/>
        <v>1</v>
      </c>
    </row>
    <row r="24" spans="1:37" x14ac:dyDescent="0.2">
      <c r="A24" s="62" t="s">
        <v>47</v>
      </c>
      <c r="B24" s="62" t="s">
        <v>69</v>
      </c>
      <c r="C24" s="62" t="s">
        <v>163</v>
      </c>
      <c r="D24" s="62"/>
      <c r="E24" s="62">
        <f t="shared" si="2"/>
        <v>10</v>
      </c>
      <c r="F24" s="128">
        <v>350</v>
      </c>
      <c r="G24" s="129">
        <v>8.1225342306799693</v>
      </c>
      <c r="H24" s="129">
        <v>7.3436833230772098</v>
      </c>
      <c r="I24" s="129">
        <v>8.9759858681281894</v>
      </c>
      <c r="J24" s="129"/>
      <c r="K24" s="129"/>
      <c r="L24" s="129"/>
      <c r="M24" s="60">
        <f t="shared" si="0"/>
        <v>2</v>
      </c>
      <c r="N24" s="61">
        <f t="shared" si="3"/>
        <v>3.7056643726839602</v>
      </c>
      <c r="O24" s="61">
        <f t="shared" si="16"/>
        <v>6.9166853806422601</v>
      </c>
      <c r="P24" s="129">
        <f t="shared" si="4"/>
        <v>10.0511965914753</v>
      </c>
      <c r="Q24" s="129">
        <f t="shared" si="5"/>
        <v>9.9297207935999392</v>
      </c>
      <c r="R24" s="129">
        <f t="shared" si="6"/>
        <v>10.1739906083903</v>
      </c>
      <c r="S24" s="61">
        <f t="shared" si="7"/>
        <v>12.953890489913499</v>
      </c>
      <c r="T24" s="61">
        <f t="shared" si="1"/>
        <v>17.0999914755775</v>
      </c>
      <c r="U24" s="61">
        <f t="shared" si="17"/>
        <v>11.456501771421072</v>
      </c>
      <c r="V24" s="61"/>
      <c r="Y24" s="163" t="s">
        <v>31</v>
      </c>
      <c r="Z24" s="163" t="s">
        <v>57</v>
      </c>
      <c r="AA24" s="163" t="s">
        <v>200</v>
      </c>
      <c r="AB24" s="163">
        <f t="shared" ref="AB24:AB31" si="22">RANK(AH24,$AH$23:$AH$31,1)</f>
        <v>4</v>
      </c>
      <c r="AC24" s="166">
        <f t="shared" ref="AC24:AC31" si="23">MIN($AH$23:$AH$31)</f>
        <v>6.2905162064825904</v>
      </c>
      <c r="AD24" s="166">
        <f t="shared" ref="AD24:AD31" si="24">MAX($AH$23:$AH$31)</f>
        <v>17.0999914755775</v>
      </c>
      <c r="AE24" s="163"/>
      <c r="AF24" s="163">
        <f t="shared" si="10"/>
        <v>16</v>
      </c>
      <c r="AG24" s="168">
        <f t="shared" si="11"/>
        <v>1019</v>
      </c>
      <c r="AH24" s="166">
        <f t="shared" si="12"/>
        <v>10.119165839126101</v>
      </c>
      <c r="AI24" s="166">
        <f t="shared" si="13"/>
        <v>9.5452570937781402</v>
      </c>
      <c r="AJ24" s="166">
        <f t="shared" si="14"/>
        <v>10.7234901082423</v>
      </c>
      <c r="AK24" s="168">
        <f t="shared" si="15"/>
        <v>5</v>
      </c>
    </row>
    <row r="25" spans="1:37" x14ac:dyDescent="0.2">
      <c r="A25" s="62" t="s">
        <v>48</v>
      </c>
      <c r="B25" s="62" t="s">
        <v>160</v>
      </c>
      <c r="C25" s="62" t="s">
        <v>201</v>
      </c>
      <c r="D25" s="62"/>
      <c r="E25" s="62">
        <f t="shared" si="2"/>
        <v>8</v>
      </c>
      <c r="F25" s="128">
        <v>366</v>
      </c>
      <c r="G25" s="129">
        <v>7.1568244035979696</v>
      </c>
      <c r="H25" s="129">
        <v>6.4820310212195302</v>
      </c>
      <c r="I25" s="129">
        <v>7.8959340787438101</v>
      </c>
      <c r="J25" s="129"/>
      <c r="K25" s="129"/>
      <c r="L25" s="129"/>
      <c r="M25" s="60">
        <f t="shared" si="0"/>
        <v>2</v>
      </c>
      <c r="N25" s="61">
        <f t="shared" si="3"/>
        <v>3.7056643726839602</v>
      </c>
      <c r="O25" s="61">
        <f t="shared" si="16"/>
        <v>6.9166853806422601</v>
      </c>
      <c r="P25" s="129">
        <f t="shared" si="4"/>
        <v>10.0511965914753</v>
      </c>
      <c r="Q25" s="129">
        <f t="shared" si="5"/>
        <v>9.9297207935999392</v>
      </c>
      <c r="R25" s="129">
        <f t="shared" si="6"/>
        <v>10.1739906083903</v>
      </c>
      <c r="S25" s="61">
        <f t="shared" si="7"/>
        <v>12.953890489913499</v>
      </c>
      <c r="T25" s="61">
        <f t="shared" si="1"/>
        <v>17.0999914755775</v>
      </c>
      <c r="U25" s="61">
        <f t="shared" si="17"/>
        <v>7.1322789603988372</v>
      </c>
      <c r="V25" s="61"/>
      <c r="Y25" s="163" t="s">
        <v>34</v>
      </c>
      <c r="Z25" s="163" t="s">
        <v>59</v>
      </c>
      <c r="AA25" s="163" t="s">
        <v>200</v>
      </c>
      <c r="AB25" s="163">
        <f t="shared" si="22"/>
        <v>9</v>
      </c>
      <c r="AC25" s="166">
        <f t="shared" si="23"/>
        <v>6.2905162064825904</v>
      </c>
      <c r="AD25" s="166">
        <f t="shared" si="24"/>
        <v>17.0999914755775</v>
      </c>
      <c r="AE25" s="163"/>
      <c r="AF25" s="163">
        <f t="shared" si="10"/>
        <v>26</v>
      </c>
      <c r="AG25" s="168">
        <f t="shared" si="11"/>
        <v>2006</v>
      </c>
      <c r="AH25" s="166">
        <f t="shared" si="12"/>
        <v>17.0999914755775</v>
      </c>
      <c r="AI25" s="166">
        <f t="shared" si="13"/>
        <v>16.4294605263023</v>
      </c>
      <c r="AJ25" s="166">
        <f t="shared" si="14"/>
        <v>17.792062388283998</v>
      </c>
      <c r="AK25" s="168">
        <f t="shared" si="15"/>
        <v>1</v>
      </c>
    </row>
    <row r="26" spans="1:37" x14ac:dyDescent="0.2">
      <c r="A26" s="62" t="s">
        <v>49</v>
      </c>
      <c r="B26" s="62" t="s">
        <v>70</v>
      </c>
      <c r="C26" s="62" t="s">
        <v>200</v>
      </c>
      <c r="D26" s="62"/>
      <c r="E26" s="62">
        <f t="shared" si="2"/>
        <v>14</v>
      </c>
      <c r="F26" s="128">
        <v>725</v>
      </c>
      <c r="G26" s="129">
        <v>9.5962938451356692</v>
      </c>
      <c r="H26" s="129">
        <v>8.9525140512366495</v>
      </c>
      <c r="I26" s="129">
        <v>10.281140560266699</v>
      </c>
      <c r="J26" s="129"/>
      <c r="K26" s="129"/>
      <c r="L26" s="129"/>
      <c r="M26" s="60">
        <f t="shared" si="0"/>
        <v>5</v>
      </c>
      <c r="N26" s="61">
        <f t="shared" si="3"/>
        <v>3.7056643726839602</v>
      </c>
      <c r="O26" s="61">
        <f t="shared" si="16"/>
        <v>6.9166853806422601</v>
      </c>
      <c r="P26" s="129">
        <f t="shared" si="4"/>
        <v>10.0511965914753</v>
      </c>
      <c r="Q26" s="129">
        <f t="shared" si="5"/>
        <v>9.9297207935999392</v>
      </c>
      <c r="R26" s="129">
        <f t="shared" si="6"/>
        <v>10.1739906083903</v>
      </c>
      <c r="S26" s="61">
        <f t="shared" si="7"/>
        <v>12.953890489913499</v>
      </c>
      <c r="T26" s="61">
        <f t="shared" si="1"/>
        <v>17.0999914755775</v>
      </c>
      <c r="U26" s="61">
        <f t="shared" si="17"/>
        <v>12.26801249981661</v>
      </c>
      <c r="V26" s="61"/>
      <c r="Y26" s="163" t="s">
        <v>39</v>
      </c>
      <c r="Z26" s="163" t="s">
        <v>158</v>
      </c>
      <c r="AA26" s="163" t="s">
        <v>200</v>
      </c>
      <c r="AB26" s="163">
        <f t="shared" si="22"/>
        <v>6</v>
      </c>
      <c r="AC26" s="166">
        <f t="shared" si="23"/>
        <v>6.2905162064825904</v>
      </c>
      <c r="AD26" s="166">
        <f t="shared" si="24"/>
        <v>17.0999914755775</v>
      </c>
      <c r="AE26" s="163"/>
      <c r="AF26" s="163">
        <f t="shared" si="10"/>
        <v>19</v>
      </c>
      <c r="AG26" s="168">
        <f t="shared" si="11"/>
        <v>1446</v>
      </c>
      <c r="AH26" s="166">
        <f t="shared" si="12"/>
        <v>12.0983935742972</v>
      </c>
      <c r="AI26" s="166">
        <f t="shared" si="13"/>
        <v>11.525896538419101</v>
      </c>
      <c r="AJ26" s="166">
        <f t="shared" si="14"/>
        <v>12.695246480203201</v>
      </c>
      <c r="AK26" s="168">
        <f t="shared" si="15"/>
        <v>1</v>
      </c>
    </row>
    <row r="27" spans="1:37" x14ac:dyDescent="0.2">
      <c r="A27" s="62" t="s">
        <v>50</v>
      </c>
      <c r="B27" s="62" t="s">
        <v>161</v>
      </c>
      <c r="C27" s="62" t="s">
        <v>163</v>
      </c>
      <c r="D27" s="62"/>
      <c r="E27" s="62">
        <f t="shared" si="2"/>
        <v>21</v>
      </c>
      <c r="F27" s="128">
        <v>587</v>
      </c>
      <c r="G27" s="129">
        <v>13.214768122467399</v>
      </c>
      <c r="H27" s="129">
        <v>12.250585391449601</v>
      </c>
      <c r="I27" s="129">
        <v>14.2425199009989</v>
      </c>
      <c r="J27" s="129"/>
      <c r="K27" s="129"/>
      <c r="L27" s="129"/>
      <c r="M27" s="60">
        <f t="shared" si="0"/>
        <v>1</v>
      </c>
      <c r="N27" s="61">
        <f t="shared" si="3"/>
        <v>3.7056643726839602</v>
      </c>
      <c r="O27" s="61">
        <f t="shared" si="16"/>
        <v>6.9166853806422601</v>
      </c>
      <c r="P27" s="129">
        <f t="shared" si="4"/>
        <v>10.0511965914753</v>
      </c>
      <c r="Q27" s="129">
        <f t="shared" si="5"/>
        <v>9.9297207935999392</v>
      </c>
      <c r="R27" s="129">
        <f t="shared" si="6"/>
        <v>10.1739906083903</v>
      </c>
      <c r="S27" s="61">
        <f t="shared" si="7"/>
        <v>12.953890489913499</v>
      </c>
      <c r="T27" s="61">
        <f t="shared" si="1"/>
        <v>17.0999914755775</v>
      </c>
      <c r="U27" s="61">
        <f t="shared" si="17"/>
        <v>11.456501771421072</v>
      </c>
      <c r="V27" s="61"/>
      <c r="Y27" s="163" t="s">
        <v>40</v>
      </c>
      <c r="Z27" s="163" t="s">
        <v>63</v>
      </c>
      <c r="AA27" s="163" t="s">
        <v>200</v>
      </c>
      <c r="AB27" s="163">
        <f t="shared" si="22"/>
        <v>5</v>
      </c>
      <c r="AC27" s="166">
        <f t="shared" si="23"/>
        <v>6.2905162064825904</v>
      </c>
      <c r="AD27" s="166">
        <f t="shared" si="24"/>
        <v>17.0999914755775</v>
      </c>
      <c r="AE27" s="163"/>
      <c r="AF27" s="163">
        <f t="shared" si="10"/>
        <v>17</v>
      </c>
      <c r="AG27" s="168">
        <f t="shared" si="11"/>
        <v>671</v>
      </c>
      <c r="AH27" s="166">
        <f t="shared" si="12"/>
        <v>10.686415034241101</v>
      </c>
      <c r="AI27" s="166">
        <f t="shared" si="13"/>
        <v>9.9461594741092991</v>
      </c>
      <c r="AJ27" s="166">
        <f t="shared" si="14"/>
        <v>11.474744867368599</v>
      </c>
      <c r="AK27" s="168">
        <f t="shared" si="15"/>
        <v>5</v>
      </c>
    </row>
    <row r="28" spans="1:37" x14ac:dyDescent="0.2">
      <c r="A28" s="62" t="s">
        <v>51</v>
      </c>
      <c r="B28" s="62" t="s">
        <v>71</v>
      </c>
      <c r="C28" s="62" t="s">
        <v>200</v>
      </c>
      <c r="D28" s="62"/>
      <c r="E28" s="62">
        <f t="shared" si="2"/>
        <v>22</v>
      </c>
      <c r="F28" s="128">
        <v>614</v>
      </c>
      <c r="G28" s="129">
        <v>14.9792632349354</v>
      </c>
      <c r="H28" s="129">
        <v>13.9195839660416</v>
      </c>
      <c r="I28" s="129">
        <v>16.104521795402299</v>
      </c>
      <c r="J28" s="129"/>
      <c r="K28" s="129"/>
      <c r="L28" s="129"/>
      <c r="M28" s="60">
        <f t="shared" si="0"/>
        <v>1</v>
      </c>
      <c r="N28" s="61">
        <f t="shared" si="3"/>
        <v>3.7056643726839602</v>
      </c>
      <c r="O28" s="61">
        <f t="shared" si="16"/>
        <v>6.9166853806422601</v>
      </c>
      <c r="P28" s="129">
        <f t="shared" si="4"/>
        <v>10.0511965914753</v>
      </c>
      <c r="Q28" s="129">
        <f t="shared" si="5"/>
        <v>9.9297207935999392</v>
      </c>
      <c r="R28" s="129">
        <f t="shared" si="6"/>
        <v>10.1739906083903</v>
      </c>
      <c r="S28" s="61">
        <f t="shared" si="7"/>
        <v>12.953890489913499</v>
      </c>
      <c r="T28" s="61">
        <f t="shared" si="1"/>
        <v>17.0999914755775</v>
      </c>
      <c r="U28" s="61">
        <f t="shared" si="17"/>
        <v>12.26801249981661</v>
      </c>
      <c r="V28" s="61"/>
      <c r="Y28" s="163" t="s">
        <v>42</v>
      </c>
      <c r="Z28" s="163" t="s">
        <v>65</v>
      </c>
      <c r="AA28" s="163" t="s">
        <v>200</v>
      </c>
      <c r="AB28" s="163">
        <f t="shared" si="22"/>
        <v>1</v>
      </c>
      <c r="AC28" s="166">
        <f t="shared" si="23"/>
        <v>6.2905162064825904</v>
      </c>
      <c r="AD28" s="166">
        <f t="shared" si="24"/>
        <v>17.0999914755775</v>
      </c>
      <c r="AE28" s="163"/>
      <c r="AF28" s="163">
        <f t="shared" si="10"/>
        <v>5</v>
      </c>
      <c r="AG28" s="168">
        <f t="shared" si="11"/>
        <v>262</v>
      </c>
      <c r="AH28" s="166">
        <f t="shared" si="12"/>
        <v>6.2905162064825904</v>
      </c>
      <c r="AI28" s="166">
        <f t="shared" si="13"/>
        <v>5.5926801373218398</v>
      </c>
      <c r="AJ28" s="166">
        <f t="shared" si="14"/>
        <v>7.0689061579270298</v>
      </c>
      <c r="AK28" s="168">
        <f t="shared" si="15"/>
        <v>2</v>
      </c>
    </row>
    <row r="29" spans="1:37" x14ac:dyDescent="0.2">
      <c r="A29" s="62" t="s">
        <v>52</v>
      </c>
      <c r="B29" s="62" t="s">
        <v>72</v>
      </c>
      <c r="C29" s="62" t="s">
        <v>201</v>
      </c>
      <c r="D29" s="62"/>
      <c r="E29" s="62">
        <f t="shared" si="2"/>
        <v>13</v>
      </c>
      <c r="F29" s="128">
        <v>346</v>
      </c>
      <c r="G29" s="129">
        <v>8.7951194712760596</v>
      </c>
      <c r="H29" s="129">
        <v>7.9497990530124403</v>
      </c>
      <c r="I29" s="129">
        <v>9.7208325886455</v>
      </c>
      <c r="J29" s="129"/>
      <c r="K29" s="129"/>
      <c r="L29" s="129"/>
      <c r="M29" s="60">
        <f t="shared" si="0"/>
        <v>2</v>
      </c>
      <c r="N29" s="61">
        <f t="shared" si="3"/>
        <v>3.7056643726839602</v>
      </c>
      <c r="O29" s="61">
        <f t="shared" si="16"/>
        <v>6.9166853806422601</v>
      </c>
      <c r="P29" s="129">
        <f t="shared" si="4"/>
        <v>10.0511965914753</v>
      </c>
      <c r="Q29" s="129">
        <f t="shared" si="5"/>
        <v>9.9297207935999392</v>
      </c>
      <c r="R29" s="129">
        <f t="shared" si="6"/>
        <v>10.1739906083903</v>
      </c>
      <c r="S29" s="61">
        <f t="shared" si="7"/>
        <v>12.953890489913499</v>
      </c>
      <c r="T29" s="61">
        <f t="shared" si="1"/>
        <v>17.0999914755775</v>
      </c>
      <c r="U29" s="61">
        <f t="shared" si="17"/>
        <v>7.1322789603988372</v>
      </c>
      <c r="V29" s="61"/>
      <c r="Y29" s="163" t="s">
        <v>44</v>
      </c>
      <c r="Z29" s="163" t="s">
        <v>66</v>
      </c>
      <c r="AA29" s="163" t="s">
        <v>200</v>
      </c>
      <c r="AB29" s="163">
        <f t="shared" si="22"/>
        <v>2</v>
      </c>
      <c r="AC29" s="166">
        <f t="shared" si="23"/>
        <v>6.2905162064825904</v>
      </c>
      <c r="AD29" s="166">
        <f t="shared" si="24"/>
        <v>17.0999914755775</v>
      </c>
      <c r="AE29" s="163"/>
      <c r="AF29" s="163">
        <f t="shared" si="10"/>
        <v>6</v>
      </c>
      <c r="AG29" s="168">
        <f t="shared" si="11"/>
        <v>220</v>
      </c>
      <c r="AH29" s="166">
        <f t="shared" si="12"/>
        <v>6.3109581181870302</v>
      </c>
      <c r="AI29" s="166">
        <f t="shared" si="13"/>
        <v>5.5508700573435403</v>
      </c>
      <c r="AJ29" s="166">
        <f t="shared" si="14"/>
        <v>7.1672280012049203</v>
      </c>
      <c r="AK29" s="168">
        <f t="shared" si="15"/>
        <v>2</v>
      </c>
    </row>
    <row r="30" spans="1:37" x14ac:dyDescent="0.2">
      <c r="A30" s="62" t="s">
        <v>53</v>
      </c>
      <c r="B30" s="62" t="s">
        <v>162</v>
      </c>
      <c r="C30" s="62" t="s">
        <v>163</v>
      </c>
      <c r="D30" s="62"/>
      <c r="E30" s="62">
        <f t="shared" si="2"/>
        <v>24</v>
      </c>
      <c r="F30" s="128">
        <v>3492</v>
      </c>
      <c r="G30" s="129">
        <v>15.7616790792146</v>
      </c>
      <c r="H30" s="129">
        <v>15.2878106080388</v>
      </c>
      <c r="I30" s="129">
        <v>16.247418667402801</v>
      </c>
      <c r="J30" s="129"/>
      <c r="K30" s="129"/>
      <c r="L30" s="129"/>
      <c r="M30" s="60">
        <f t="shared" si="0"/>
        <v>1</v>
      </c>
      <c r="N30" s="61">
        <f t="shared" si="3"/>
        <v>3.7056643726839602</v>
      </c>
      <c r="O30" s="61">
        <f t="shared" si="16"/>
        <v>6.9166853806422601</v>
      </c>
      <c r="P30" s="129">
        <f>$G$32</f>
        <v>10.0511965914753</v>
      </c>
      <c r="Q30" s="129">
        <f t="shared" si="5"/>
        <v>9.9297207935999392</v>
      </c>
      <c r="R30" s="129">
        <f t="shared" si="6"/>
        <v>10.1739906083903</v>
      </c>
      <c r="S30" s="61">
        <f t="shared" si="7"/>
        <v>12.953890489913499</v>
      </c>
      <c r="T30" s="61">
        <f t="shared" si="1"/>
        <v>17.0999914755775</v>
      </c>
      <c r="U30" s="61">
        <f t="shared" si="17"/>
        <v>11.456501771421072</v>
      </c>
      <c r="V30" s="61"/>
      <c r="Y30" s="163" t="s">
        <v>49</v>
      </c>
      <c r="Z30" s="163" t="s">
        <v>70</v>
      </c>
      <c r="AA30" s="163" t="s">
        <v>200</v>
      </c>
      <c r="AB30" s="163">
        <f t="shared" si="22"/>
        <v>3</v>
      </c>
      <c r="AC30" s="166">
        <f t="shared" si="23"/>
        <v>6.2905162064825904</v>
      </c>
      <c r="AD30" s="166">
        <f t="shared" si="24"/>
        <v>17.0999914755775</v>
      </c>
      <c r="AE30" s="163"/>
      <c r="AF30" s="163">
        <f t="shared" si="10"/>
        <v>14</v>
      </c>
      <c r="AG30" s="168">
        <f t="shared" si="11"/>
        <v>725</v>
      </c>
      <c r="AH30" s="166">
        <f t="shared" si="12"/>
        <v>9.5962938451356692</v>
      </c>
      <c r="AI30" s="166">
        <f t="shared" si="13"/>
        <v>8.9525140512366495</v>
      </c>
      <c r="AJ30" s="166">
        <f t="shared" si="14"/>
        <v>10.281140560266699</v>
      </c>
      <c r="AK30" s="168">
        <f t="shared" si="15"/>
        <v>5</v>
      </c>
    </row>
    <row r="31" spans="1:37" x14ac:dyDescent="0.2">
      <c r="A31" s="62" t="s">
        <v>54</v>
      </c>
      <c r="B31" s="62" t="s">
        <v>73</v>
      </c>
      <c r="C31" s="62" t="s">
        <v>201</v>
      </c>
      <c r="D31" s="62"/>
      <c r="E31" s="62">
        <f t="shared" si="2"/>
        <v>9</v>
      </c>
      <c r="F31" s="128">
        <v>424</v>
      </c>
      <c r="G31" s="129">
        <v>7.8199926226484697</v>
      </c>
      <c r="H31" s="129">
        <v>7.1348407027504903</v>
      </c>
      <c r="I31" s="129">
        <v>8.5648708587782902</v>
      </c>
      <c r="J31" s="129"/>
      <c r="K31" s="129"/>
      <c r="L31" s="129"/>
      <c r="M31" s="60">
        <f t="shared" si="0"/>
        <v>2</v>
      </c>
      <c r="N31" s="61">
        <f t="shared" si="3"/>
        <v>3.7056643726839602</v>
      </c>
      <c r="O31" s="61">
        <f t="shared" si="16"/>
        <v>6.9166853806422601</v>
      </c>
      <c r="P31" s="129">
        <f t="shared" si="4"/>
        <v>10.0511965914753</v>
      </c>
      <c r="Q31" s="129">
        <f t="shared" si="5"/>
        <v>9.9297207935999392</v>
      </c>
      <c r="R31" s="129">
        <f t="shared" si="6"/>
        <v>10.1739906083903</v>
      </c>
      <c r="S31" s="61">
        <f t="shared" si="7"/>
        <v>12.953890489913499</v>
      </c>
      <c r="T31" s="61">
        <f t="shared" si="1"/>
        <v>17.0999914755775</v>
      </c>
      <c r="U31" s="61">
        <f t="shared" si="17"/>
        <v>7.1322789603988372</v>
      </c>
      <c r="V31" s="61"/>
      <c r="Y31" s="163" t="s">
        <v>51</v>
      </c>
      <c r="Z31" s="163" t="s">
        <v>71</v>
      </c>
      <c r="AA31" s="163" t="s">
        <v>200</v>
      </c>
      <c r="AB31" s="163">
        <f t="shared" si="22"/>
        <v>7</v>
      </c>
      <c r="AC31" s="166">
        <f t="shared" si="23"/>
        <v>6.2905162064825904</v>
      </c>
      <c r="AD31" s="166">
        <f t="shared" si="24"/>
        <v>17.0999914755775</v>
      </c>
      <c r="AE31" s="163"/>
      <c r="AF31" s="163">
        <f t="shared" si="10"/>
        <v>22</v>
      </c>
      <c r="AG31" s="168">
        <f t="shared" si="11"/>
        <v>614</v>
      </c>
      <c r="AH31" s="166">
        <f t="shared" si="12"/>
        <v>14.9792632349354</v>
      </c>
      <c r="AI31" s="166">
        <f t="shared" si="13"/>
        <v>13.9195839660416</v>
      </c>
      <c r="AJ31" s="166">
        <f t="shared" si="14"/>
        <v>16.104521795402299</v>
      </c>
      <c r="AK31" s="168">
        <f t="shared" si="15"/>
        <v>1</v>
      </c>
    </row>
    <row r="32" spans="1:37" x14ac:dyDescent="0.2">
      <c r="A32" s="62"/>
      <c r="B32" s="62" t="s">
        <v>171</v>
      </c>
      <c r="C32" s="62"/>
      <c r="D32" s="62"/>
      <c r="E32" s="62"/>
      <c r="F32" s="128">
        <v>23402</v>
      </c>
      <c r="G32" s="129">
        <v>10.0511965914753</v>
      </c>
      <c r="H32" s="129">
        <v>9.9297207935999392</v>
      </c>
      <c r="I32" s="129">
        <v>10.1739906083903</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8731</v>
      </c>
      <c r="G44" s="254">
        <v>11.456501771421072</v>
      </c>
      <c r="H44" s="254">
        <v>11.232317962120707</v>
      </c>
      <c r="I44" s="254">
        <v>11.684571049775787</v>
      </c>
      <c r="J44" s="254">
        <f>VLOOKUP($C44,$AA$6:$AD$13,3,FALSE)</f>
        <v>3.7056643726839602</v>
      </c>
      <c r="K44" s="254">
        <f>VLOOKUP($C44,$AA$6:$AD$13,4,FALSE)</f>
        <v>15.7616790792146</v>
      </c>
      <c r="L44" s="254"/>
      <c r="M44" s="343">
        <f>IF($C$2="Significance not measured",6,IF(AND($C$2="Better / Worse",$K$2="Low = Worst",I44&lt;Q44),1,IF(AND($C$2="Better / Worse",$K$2="Low = Worst",H44&gt;R44),2,IF(AND($C$2="Better / Worse",$K$2="High = Worst",I44&lt;Q44),2,IF(AND($C$2="Better / Worse",$K$2="High = Worst",H44&gt;R44),1,IF(AND($C$2="Higher / Lower",I44&lt;Q44),3,IF(AND($C$2="Higher / Lower",H44&gt;R44),4,5)))))))</f>
        <v>1</v>
      </c>
      <c r="N44" s="343">
        <f>MIN($G$6:$G$31)</f>
        <v>3.7056643726839602</v>
      </c>
      <c r="O44" s="343">
        <f>VLOOKUP(7,$E$5:$G$39,3,FALSE)</f>
        <v>6.9166853806422601</v>
      </c>
      <c r="P44" s="254">
        <f>$G$32</f>
        <v>10.0511965914753</v>
      </c>
      <c r="Q44" s="254">
        <f>$H$32</f>
        <v>9.9297207935999392</v>
      </c>
      <c r="R44" s="254">
        <f>$I$32</f>
        <v>10.1739906083903</v>
      </c>
      <c r="S44" s="343">
        <f>VLOOKUP(20,$E$5:$G$39,3,FALSE)</f>
        <v>12.953890489913499</v>
      </c>
      <c r="T44" s="343">
        <f>MAX($G$6:$G$31)</f>
        <v>17.0999914755775</v>
      </c>
    </row>
    <row r="45" spans="1:22" x14ac:dyDescent="0.2">
      <c r="C45" s="62" t="s">
        <v>201</v>
      </c>
      <c r="D45" s="62"/>
      <c r="E45" s="62"/>
      <c r="F45" s="128">
        <v>6309</v>
      </c>
      <c r="G45" s="254">
        <v>7.1322789603988372</v>
      </c>
      <c r="H45" s="254">
        <v>6.9645329279209331</v>
      </c>
      <c r="I45" s="254">
        <v>7.303748099788117</v>
      </c>
      <c r="J45" s="254">
        <f>VLOOKUP($C45,$AA$14:$AD$22,3,FALSE)</f>
        <v>5.0199800199800197</v>
      </c>
      <c r="K45" s="254">
        <f>VLOOKUP($C45,$AA$14:$AD$22,4,FALSE)</f>
        <v>11.440285676497799</v>
      </c>
      <c r="L45" s="254"/>
      <c r="M45" s="343">
        <f>IF($C$2="Significance not measured",6,IF(AND($C$2="Better / Worse",$K$2="Low = Worst",I45&lt;Q45),1,IF(AND($C$2="Better / Worse",$K$2="Low = Worst",H45&gt;R45),2,IF(AND($C$2="Better / Worse",$K$2="High = Worst",I45&lt;Q45),2,IF(AND($C$2="Better / Worse",$K$2="High = Worst",H45&gt;R45),1,IF(AND($C$2="Higher / Lower",I45&lt;Q45),3,IF(AND($C$2="Higher / Lower",H45&gt;R45),4,5)))))))</f>
        <v>2</v>
      </c>
      <c r="N45" s="343">
        <f>MIN($G$6:$G$31)</f>
        <v>3.7056643726839602</v>
      </c>
      <c r="O45" s="343">
        <f>VLOOKUP(7,$E$5:$G$39,3,FALSE)</f>
        <v>6.9166853806422601</v>
      </c>
      <c r="P45" s="254">
        <f>$G$32</f>
        <v>10.0511965914753</v>
      </c>
      <c r="Q45" s="254">
        <f t="shared" ref="Q45:Q46" si="25">$H$32</f>
        <v>9.9297207935999392</v>
      </c>
      <c r="R45" s="254">
        <f t="shared" ref="R45:R46" si="26">$I$32</f>
        <v>10.1739906083903</v>
      </c>
      <c r="S45" s="343">
        <f>VLOOKUP(20,$E$5:$G$39,3,FALSE)</f>
        <v>12.953890489913499</v>
      </c>
      <c r="T45" s="343">
        <f t="shared" ref="T45:T46" si="27">MAX($G$6:$G$31)</f>
        <v>17.0999914755775</v>
      </c>
    </row>
    <row r="46" spans="1:22" x14ac:dyDescent="0.2">
      <c r="C46" s="62" t="s">
        <v>200</v>
      </c>
      <c r="D46" s="62"/>
      <c r="E46" s="62"/>
      <c r="F46" s="128">
        <v>8362</v>
      </c>
      <c r="G46" s="254">
        <v>12.26801249981661</v>
      </c>
      <c r="H46" s="254">
        <v>12.023846988961054</v>
      </c>
      <c r="I46" s="254">
        <v>12.516430815288238</v>
      </c>
      <c r="J46" s="254">
        <f>VLOOKUP($C46,$AA$23:$AD$31,3,FALSE)</f>
        <v>6.2905162064825904</v>
      </c>
      <c r="K46" s="254">
        <f>VLOOKUP($C46,$AA$23:$AD$31,4,FALSE)</f>
        <v>17.0999914755775</v>
      </c>
      <c r="L46" s="254"/>
      <c r="M46" s="343">
        <f>IF($C$2="Significance not measured",6,IF(AND($C$2="Better / Worse",$K$2="Low = Worst",I46&lt;Q46),1,IF(AND($C$2="Better / Worse",$K$2="Low = Worst",H46&gt;R46),2,IF(AND($C$2="Better / Worse",$K$2="High = Worst",I46&lt;Q46),2,IF(AND($C$2="Better / Worse",$K$2="High = Worst",H46&gt;R46),1,IF(AND($C$2="Higher / Lower",I46&lt;Q46),3,IF(AND($C$2="Higher / Lower",H46&gt;R46),4,5)))))))</f>
        <v>1</v>
      </c>
      <c r="N46" s="343">
        <f>MIN($G$6:$G$31)</f>
        <v>3.7056643726839602</v>
      </c>
      <c r="O46" s="343">
        <f>VLOOKUP(7,$E$5:$G$39,3,FALSE)</f>
        <v>6.9166853806422601</v>
      </c>
      <c r="P46" s="254">
        <f t="shared" ref="P46" si="28">$G$32</f>
        <v>10.0511965914753</v>
      </c>
      <c r="Q46" s="254">
        <f t="shared" si="25"/>
        <v>9.9297207935999392</v>
      </c>
      <c r="R46" s="254">
        <f t="shared" si="26"/>
        <v>10.1739906083903</v>
      </c>
      <c r="S46" s="343">
        <f>VLOOKUP(20,$E$5:$G$39,3,FALSE)</f>
        <v>12.953890489913499</v>
      </c>
      <c r="T46" s="343">
        <f t="shared" si="27"/>
        <v>17.0999914755775</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C2:D2" xr:uid="{00000000-0002-0000-2600-000000000000}">
      <formula1>"Better / Worse,Higher / Lower,Significance not measured"</formula1>
    </dataValidation>
    <dataValidation type="list" allowBlank="1" showInputMessage="1" showErrorMessage="1" sqref="K2:N2" xr:uid="{00000000-0002-0000-2600-000001000000}">
      <formula1>"High = Worst,Low = Worst"</formula1>
    </dataValidation>
  </dataValidations>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42:K52"/>
  <sheetViews>
    <sheetView showGridLines="0" zoomScaleNormal="100" workbookViewId="0"/>
  </sheetViews>
  <sheetFormatPr defaultRowHeight="13.2" x14ac:dyDescent="0.25"/>
  <cols>
    <col min="2" max="2" width="9.33203125" bestFit="1" customWidth="1"/>
    <col min="3" max="3" width="37" customWidth="1"/>
    <col min="4" max="4" width="4.5546875" customWidth="1"/>
    <col min="5" max="5" width="3" customWidth="1"/>
    <col min="7" max="7" width="36.6640625" customWidth="1"/>
    <col min="8" max="8" width="3.6640625" customWidth="1"/>
    <col min="9" max="9" width="2.6640625" customWidth="1"/>
    <col min="11" max="11" width="31.5546875" customWidth="1"/>
  </cols>
  <sheetData>
    <row r="42" spans="2:11" ht="21.6" thickBot="1" x14ac:dyDescent="0.45">
      <c r="B42" s="438" t="s">
        <v>154</v>
      </c>
      <c r="C42" s="438"/>
      <c r="F42" s="438" t="s">
        <v>155</v>
      </c>
      <c r="G42" s="438"/>
      <c r="J42" s="438" t="s">
        <v>414</v>
      </c>
      <c r="K42" s="438"/>
    </row>
    <row r="43" spans="2:11" ht="22.5" customHeight="1" thickBot="1" x14ac:dyDescent="0.3">
      <c r="B43" s="334" t="s">
        <v>30</v>
      </c>
      <c r="C43" s="334" t="s">
        <v>56</v>
      </c>
      <c r="D43" s="335"/>
      <c r="E43" s="335"/>
      <c r="F43" s="336" t="s">
        <v>29</v>
      </c>
      <c r="G43" s="336" t="s">
        <v>55</v>
      </c>
      <c r="J43" s="337" t="s">
        <v>33</v>
      </c>
      <c r="K43" s="337" t="s">
        <v>58</v>
      </c>
    </row>
    <row r="44" spans="2:11" ht="22.5" customHeight="1" thickBot="1" x14ac:dyDescent="0.3">
      <c r="B44" s="334" t="s">
        <v>31</v>
      </c>
      <c r="C44" s="334" t="s">
        <v>57</v>
      </c>
      <c r="D44" s="335"/>
      <c r="E44" s="335"/>
      <c r="F44" s="336" t="s">
        <v>32</v>
      </c>
      <c r="G44" s="336" t="s">
        <v>156</v>
      </c>
      <c r="J44" s="337" t="s">
        <v>35</v>
      </c>
      <c r="K44" s="337" t="s">
        <v>60</v>
      </c>
    </row>
    <row r="45" spans="2:11" ht="22.5" customHeight="1" thickBot="1" x14ac:dyDescent="0.3">
      <c r="B45" s="334" t="s">
        <v>34</v>
      </c>
      <c r="C45" s="334" t="s">
        <v>59</v>
      </c>
      <c r="D45" s="335"/>
      <c r="E45" s="335"/>
      <c r="F45" s="336" t="s">
        <v>36</v>
      </c>
      <c r="G45" s="336" t="s">
        <v>61</v>
      </c>
      <c r="J45" s="337" t="s">
        <v>41</v>
      </c>
      <c r="K45" s="337" t="s">
        <v>64</v>
      </c>
    </row>
    <row r="46" spans="2:11" ht="22.5" customHeight="1" thickBot="1" x14ac:dyDescent="0.3">
      <c r="B46" s="334" t="s">
        <v>39</v>
      </c>
      <c r="C46" s="334" t="s">
        <v>158</v>
      </c>
      <c r="D46" s="335"/>
      <c r="E46" s="335"/>
      <c r="F46" s="336" t="s">
        <v>37</v>
      </c>
      <c r="G46" s="336" t="s">
        <v>157</v>
      </c>
      <c r="J46" s="337" t="s">
        <v>45</v>
      </c>
      <c r="K46" s="337" t="s">
        <v>67</v>
      </c>
    </row>
    <row r="47" spans="2:11" ht="22.5" customHeight="1" thickBot="1" x14ac:dyDescent="0.3">
      <c r="B47" s="334" t="s">
        <v>40</v>
      </c>
      <c r="C47" s="334" t="s">
        <v>63</v>
      </c>
      <c r="D47" s="335"/>
      <c r="E47" s="335"/>
      <c r="F47" s="336" t="s">
        <v>38</v>
      </c>
      <c r="G47" s="336" t="s">
        <v>62</v>
      </c>
      <c r="J47" s="337" t="s">
        <v>46</v>
      </c>
      <c r="K47" s="337" t="s">
        <v>68</v>
      </c>
    </row>
    <row r="48" spans="2:11" ht="22.5" customHeight="1" thickBot="1" x14ac:dyDescent="0.3">
      <c r="B48" s="334" t="s">
        <v>42</v>
      </c>
      <c r="C48" s="334" t="s">
        <v>65</v>
      </c>
      <c r="D48" s="335"/>
      <c r="E48" s="335"/>
      <c r="F48" s="336" t="s">
        <v>43</v>
      </c>
      <c r="G48" s="336" t="s">
        <v>159</v>
      </c>
      <c r="J48" s="337" t="s">
        <v>47</v>
      </c>
      <c r="K48" s="337" t="s">
        <v>69</v>
      </c>
    </row>
    <row r="49" spans="2:11" ht="22.5" customHeight="1" thickBot="1" x14ac:dyDescent="0.3">
      <c r="B49" s="334" t="s">
        <v>44</v>
      </c>
      <c r="C49" s="334" t="s">
        <v>66</v>
      </c>
      <c r="D49" s="335"/>
      <c r="E49" s="335"/>
      <c r="F49" s="336" t="s">
        <v>48</v>
      </c>
      <c r="G49" s="336" t="s">
        <v>160</v>
      </c>
      <c r="J49" s="337" t="s">
        <v>50</v>
      </c>
      <c r="K49" s="337" t="s">
        <v>161</v>
      </c>
    </row>
    <row r="50" spans="2:11" ht="22.5" customHeight="1" thickBot="1" x14ac:dyDescent="0.3">
      <c r="B50" s="334" t="s">
        <v>49</v>
      </c>
      <c r="C50" s="334" t="s">
        <v>70</v>
      </c>
      <c r="D50" s="335"/>
      <c r="E50" s="335"/>
      <c r="F50" s="336" t="s">
        <v>412</v>
      </c>
      <c r="G50" s="336" t="s">
        <v>413</v>
      </c>
      <c r="J50" s="337" t="s">
        <v>53</v>
      </c>
      <c r="K50" s="337" t="s">
        <v>162</v>
      </c>
    </row>
    <row r="51" spans="2:11" ht="22.5" customHeight="1" thickBot="1" x14ac:dyDescent="0.3">
      <c r="B51" s="334" t="s">
        <v>51</v>
      </c>
      <c r="C51" s="334" t="s">
        <v>71</v>
      </c>
      <c r="D51" s="335"/>
      <c r="E51" s="335"/>
      <c r="F51" s="336" t="s">
        <v>52</v>
      </c>
      <c r="G51" s="336" t="s">
        <v>72</v>
      </c>
    </row>
    <row r="52" spans="2:11" ht="22.5" customHeight="1" thickBot="1" x14ac:dyDescent="0.3">
      <c r="B52" s="335"/>
      <c r="C52" s="335"/>
      <c r="D52" s="335"/>
      <c r="E52" s="335"/>
      <c r="F52" s="336" t="s">
        <v>54</v>
      </c>
      <c r="G52" s="336" t="s">
        <v>73</v>
      </c>
    </row>
  </sheetData>
  <sheetProtection algorithmName="SHA-512" hashValue="x/0lfBFc25FgtxhT4j+Z0sawYoT0xPw+ImkZ+4Jbzwbhx1qFWEQ9hrm9AuDfaWAWvZh2I8EbIhE73tN2FbT9NA==" saltValue="nPyyCeL633VPXN2fEoqtTQ==" spinCount="100000" sheet="1" objects="1" scenarios="1"/>
  <mergeCells count="3">
    <mergeCell ref="B42:C42"/>
    <mergeCell ref="F42:G42"/>
    <mergeCell ref="J42:K42"/>
  </mergeCells>
  <pageMargins left="0.25" right="0.25" top="0.75" bottom="0.75" header="0.3" footer="0.3"/>
  <pageSetup paperSize="9" scale="61"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5">
    <tabColor theme="6" tint="0.39997558519241921"/>
  </sheetPr>
  <dimension ref="A1:AK55"/>
  <sheetViews>
    <sheetView workbookViewId="0">
      <selection activeCell="A46" sqref="A46:XFD46"/>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8" width="7.33203125" style="21" customWidth="1"/>
    <col min="9" max="9" width="6.886718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5.554687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16</v>
      </c>
      <c r="F6" s="128">
        <v>108</v>
      </c>
      <c r="G6" s="129">
        <v>1.12770178552783</v>
      </c>
      <c r="H6" s="129">
        <v>0.93495428393875302</v>
      </c>
      <c r="I6" s="129">
        <v>1.35964019156313</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5</v>
      </c>
      <c r="N6" s="61">
        <f>MIN($G$6:$G$32)</f>
        <v>0.35664108937641797</v>
      </c>
      <c r="O6" s="61">
        <f>VLOOKUP(7,$E$5:$G$39,3,FALSE)</f>
        <v>0.87161794080261501</v>
      </c>
      <c r="P6" s="129">
        <f>$G$32</f>
        <v>1.1283556900717999</v>
      </c>
      <c r="Q6" s="129">
        <f>$H$32</f>
        <v>1.09034823463302</v>
      </c>
      <c r="R6" s="129">
        <f>$I$32</f>
        <v>1.16767237211582</v>
      </c>
      <c r="S6" s="61">
        <f>VLOOKUP(20,$E$5:$G$39,3,FALSE)</f>
        <v>1.2448422966641</v>
      </c>
      <c r="T6" s="61">
        <f t="shared" ref="T6:T31" si="1">MAX($G$6:$G$31)</f>
        <v>2.2130725681935099</v>
      </c>
      <c r="U6" s="61">
        <f>VLOOKUP(C6,$C$43:$I$46,5,FALSE)</f>
        <v>1.2008173305056022</v>
      </c>
      <c r="V6" s="61"/>
      <c r="Y6" s="159" t="s">
        <v>33</v>
      </c>
      <c r="Z6" s="159" t="s">
        <v>58</v>
      </c>
      <c r="AA6" s="159" t="s">
        <v>163</v>
      </c>
      <c r="AB6" s="159">
        <f>RANK(AH6,$AH$6:$AH$13,1)</f>
        <v>2</v>
      </c>
      <c r="AC6" s="164">
        <f>MIN($AH$6:$AH$13)</f>
        <v>0.77901248711192606</v>
      </c>
      <c r="AD6" s="164">
        <f>MAX($AH$6:$AH$13)</f>
        <v>1.2646730016769201</v>
      </c>
      <c r="AE6" s="159"/>
      <c r="AF6" s="159">
        <f>VLOOKUP($Y6,$A$6:$I$31,5,FALSE)</f>
        <v>5</v>
      </c>
      <c r="AG6" s="160">
        <f>VLOOKUP($Y6,$A$6:$I$31,6,FALSE)</f>
        <v>105</v>
      </c>
      <c r="AH6" s="161">
        <f>VLOOKUP($Y6,$A$6:$I$31,7,FALSE)</f>
        <v>0.8203125</v>
      </c>
      <c r="AI6" s="161">
        <f>VLOOKUP($Y6,$A$6:$I$31,8,FALSE)</f>
        <v>0.67813715096660199</v>
      </c>
      <c r="AJ6" s="161">
        <f>VLOOKUP($Y6,$A$6:$I$31,9,FALSE)</f>
        <v>0.99199801517431097</v>
      </c>
      <c r="AK6" s="160">
        <f>VLOOKUP($Y6,$A$6:$M$31,13,FALSE)</f>
        <v>2</v>
      </c>
    </row>
    <row r="7" spans="1:37" x14ac:dyDescent="0.2">
      <c r="A7" s="62" t="s">
        <v>30</v>
      </c>
      <c r="B7" s="62" t="s">
        <v>56</v>
      </c>
      <c r="C7" s="62" t="s">
        <v>200</v>
      </c>
      <c r="D7" s="62"/>
      <c r="E7" s="62">
        <f t="shared" ref="E7:E31" si="2">RANK(G7,$G$6:$G$31,1)</f>
        <v>14</v>
      </c>
      <c r="F7" s="128">
        <v>124</v>
      </c>
      <c r="G7" s="129">
        <v>1.10271231658515</v>
      </c>
      <c r="H7" s="129">
        <v>0.92570725510444896</v>
      </c>
      <c r="I7" s="129">
        <v>1.31311404700586</v>
      </c>
      <c r="J7" s="129"/>
      <c r="K7" s="129"/>
      <c r="L7" s="129"/>
      <c r="M7" s="60">
        <f t="shared" si="0"/>
        <v>5</v>
      </c>
      <c r="N7" s="61">
        <f t="shared" ref="N7:N31" si="3">MIN($G$6:$G$32)</f>
        <v>0.35664108937641797</v>
      </c>
      <c r="O7" s="61">
        <f>VLOOKUP(7,$E$5:$G$39,3,FALSE)</f>
        <v>0.87161794080261501</v>
      </c>
      <c r="P7" s="129">
        <f t="shared" ref="P7:P31" si="4">$G$32</f>
        <v>1.1283556900717999</v>
      </c>
      <c r="Q7" s="129">
        <f t="shared" ref="Q7:Q31" si="5">$H$32</f>
        <v>1.09034823463302</v>
      </c>
      <c r="R7" s="129">
        <f t="shared" ref="R7:R31" si="6">$I$32</f>
        <v>1.16767237211582</v>
      </c>
      <c r="S7" s="61">
        <f t="shared" ref="S7:S31" si="7">VLOOKUP(20,$E$5:$G$39,3,FALSE)</f>
        <v>1.2448422966641</v>
      </c>
      <c r="T7" s="61">
        <f t="shared" si="1"/>
        <v>2.2130725681935099</v>
      </c>
      <c r="U7" s="61">
        <f>VLOOKUP(C7,$C$43:$I$46,5,FALSE)</f>
        <v>1.102254400315593</v>
      </c>
      <c r="V7" s="61"/>
      <c r="Y7" s="159" t="s">
        <v>35</v>
      </c>
      <c r="Z7" s="159" t="s">
        <v>60</v>
      </c>
      <c r="AA7" s="159" t="s">
        <v>163</v>
      </c>
      <c r="AB7" s="159">
        <f t="shared" ref="AB7:AB12" si="8">RANK(AH7,$AH$6:$AH$13,1)</f>
        <v>8</v>
      </c>
      <c r="AC7" s="164">
        <f>MIN($AH$6:$AH$13)</f>
        <v>0.77901248711192606</v>
      </c>
      <c r="AD7" s="164">
        <f t="shared" ref="AD7:AD13" si="9">MAX($AH$6:$AH$13)</f>
        <v>1.2646730016769201</v>
      </c>
      <c r="AE7" s="159"/>
      <c r="AF7" s="159">
        <f t="shared" ref="AF7:AF31" si="10">VLOOKUP($Y7,$A$6:$I$31,5,FALSE)</f>
        <v>21</v>
      </c>
      <c r="AG7" s="160">
        <f t="shared" ref="AG7:AG31" si="11">VLOOKUP($Y7,$A$6:$I$31,6,FALSE)</f>
        <v>181</v>
      </c>
      <c r="AH7" s="161">
        <f t="shared" ref="AH7:AH31" si="12">VLOOKUP($Y7,$A$6:$I$31,7,FALSE)</f>
        <v>1.2646730016769201</v>
      </c>
      <c r="AI7" s="161">
        <f t="shared" ref="AI7:AI31" si="13">VLOOKUP($Y7,$A$6:$I$31,8,FALSE)</f>
        <v>1.09423587532314</v>
      </c>
      <c r="AJ7" s="161">
        <f t="shared" ref="AJ7:AJ31" si="14">VLOOKUP($Y7,$A$6:$I$31,9,FALSE)</f>
        <v>1.4612650351405001</v>
      </c>
      <c r="AK7" s="160">
        <f t="shared" ref="AK7:AK31" si="15">VLOOKUP($Y7,$A$6:$M$31,13,FALSE)</f>
        <v>5</v>
      </c>
    </row>
    <row r="8" spans="1:37" x14ac:dyDescent="0.2">
      <c r="A8" s="62" t="s">
        <v>31</v>
      </c>
      <c r="B8" s="62" t="s">
        <v>57</v>
      </c>
      <c r="C8" s="62" t="s">
        <v>200</v>
      </c>
      <c r="D8" s="62"/>
      <c r="E8" s="62">
        <f t="shared" si="2"/>
        <v>9</v>
      </c>
      <c r="F8" s="128">
        <v>114</v>
      </c>
      <c r="G8" s="129">
        <v>0.91950314566865599</v>
      </c>
      <c r="H8" s="129">
        <v>0.76603226528405</v>
      </c>
      <c r="I8" s="129">
        <v>1.1033793022682801</v>
      </c>
      <c r="J8" s="129"/>
      <c r="K8" s="129"/>
      <c r="L8" s="129"/>
      <c r="M8" s="60">
        <f t="shared" si="0"/>
        <v>5</v>
      </c>
      <c r="N8" s="61">
        <f t="shared" si="3"/>
        <v>0.35664108937641797</v>
      </c>
      <c r="O8" s="61">
        <f t="shared" ref="O8:O31" si="16">VLOOKUP(7,$E$5:$G$39,3,FALSE)</f>
        <v>0.87161794080261501</v>
      </c>
      <c r="P8" s="129">
        <f t="shared" si="4"/>
        <v>1.1283556900717999</v>
      </c>
      <c r="Q8" s="129">
        <f t="shared" si="5"/>
        <v>1.09034823463302</v>
      </c>
      <c r="R8" s="129">
        <f t="shared" si="6"/>
        <v>1.16767237211582</v>
      </c>
      <c r="S8" s="61">
        <f t="shared" si="7"/>
        <v>1.2448422966641</v>
      </c>
      <c r="T8" s="61">
        <f t="shared" si="1"/>
        <v>2.2130725681935099</v>
      </c>
      <c r="U8" s="61">
        <f t="shared" ref="U8:U31" si="17">VLOOKUP(C8,$C$43:$I$46,5,FALSE)</f>
        <v>1.102254400315593</v>
      </c>
      <c r="V8" s="61"/>
      <c r="Y8" s="159" t="s">
        <v>41</v>
      </c>
      <c r="Z8" s="159" t="s">
        <v>64</v>
      </c>
      <c r="AA8" s="159" t="s">
        <v>163</v>
      </c>
      <c r="AB8" s="159">
        <f t="shared" si="8"/>
        <v>5</v>
      </c>
      <c r="AC8" s="164">
        <f t="shared" ref="AC8:AC13" si="18">MIN($AH$6:$AH$13)</f>
        <v>0.77901248711192606</v>
      </c>
      <c r="AD8" s="164">
        <f>MAX($AH$6:$AH$13)</f>
        <v>1.2646730016769201</v>
      </c>
      <c r="AE8" s="159"/>
      <c r="AF8" s="159">
        <f t="shared" si="10"/>
        <v>13</v>
      </c>
      <c r="AG8" s="160">
        <f t="shared" si="11"/>
        <v>112</v>
      </c>
      <c r="AH8" s="161">
        <f t="shared" si="12"/>
        <v>1.0339734121122599</v>
      </c>
      <c r="AI8" s="161">
        <f t="shared" si="13"/>
        <v>0.86007841957548004</v>
      </c>
      <c r="AJ8" s="161">
        <f t="shared" si="14"/>
        <v>1.2425867004944</v>
      </c>
      <c r="AK8" s="160">
        <f t="shared" si="15"/>
        <v>5</v>
      </c>
    </row>
    <row r="9" spans="1:37" x14ac:dyDescent="0.2">
      <c r="A9" s="62" t="s">
        <v>32</v>
      </c>
      <c r="B9" s="62" t="s">
        <v>156</v>
      </c>
      <c r="C9" s="62" t="s">
        <v>201</v>
      </c>
      <c r="D9" s="62"/>
      <c r="E9" s="62">
        <f t="shared" si="2"/>
        <v>24</v>
      </c>
      <c r="F9" s="128">
        <v>258</v>
      </c>
      <c r="G9" s="129">
        <v>1.4878034715414299</v>
      </c>
      <c r="H9" s="129">
        <v>1.31805839346312</v>
      </c>
      <c r="I9" s="129">
        <v>1.6790370833383099</v>
      </c>
      <c r="J9" s="129"/>
      <c r="K9" s="129"/>
      <c r="L9" s="129"/>
      <c r="M9" s="60">
        <f t="shared" si="0"/>
        <v>1</v>
      </c>
      <c r="N9" s="61">
        <f t="shared" si="3"/>
        <v>0.35664108937641797</v>
      </c>
      <c r="O9" s="61">
        <f t="shared" si="16"/>
        <v>0.87161794080261501</v>
      </c>
      <c r="P9" s="129">
        <f t="shared" si="4"/>
        <v>1.1283556900717999</v>
      </c>
      <c r="Q9" s="129">
        <f t="shared" si="5"/>
        <v>1.09034823463302</v>
      </c>
      <c r="R9" s="129">
        <f t="shared" si="6"/>
        <v>1.16767237211582</v>
      </c>
      <c r="S9" s="61">
        <f t="shared" si="7"/>
        <v>1.2448422966641</v>
      </c>
      <c r="T9" s="61">
        <f t="shared" si="1"/>
        <v>2.2130725681935099</v>
      </c>
      <c r="U9" s="61">
        <f t="shared" si="17"/>
        <v>1.2008173305056022</v>
      </c>
      <c r="V9" s="61"/>
      <c r="X9" s="63"/>
      <c r="Y9" s="159" t="s">
        <v>45</v>
      </c>
      <c r="Z9" s="159" t="s">
        <v>67</v>
      </c>
      <c r="AA9" s="159" t="s">
        <v>163</v>
      </c>
      <c r="AB9" s="159">
        <f t="shared" si="8"/>
        <v>1</v>
      </c>
      <c r="AC9" s="164">
        <f t="shared" si="18"/>
        <v>0.77901248711192606</v>
      </c>
      <c r="AD9" s="164">
        <f t="shared" si="9"/>
        <v>1.2646730016769201</v>
      </c>
      <c r="AE9" s="159"/>
      <c r="AF9" s="159">
        <f t="shared" si="10"/>
        <v>3</v>
      </c>
      <c r="AG9" s="160">
        <f t="shared" si="11"/>
        <v>68</v>
      </c>
      <c r="AH9" s="161">
        <f t="shared" si="12"/>
        <v>0.77901248711192606</v>
      </c>
      <c r="AI9" s="161">
        <f t="shared" si="13"/>
        <v>0.61500436537303405</v>
      </c>
      <c r="AJ9" s="161">
        <f t="shared" si="14"/>
        <v>0.98632390195106701</v>
      </c>
      <c r="AK9" s="160">
        <f t="shared" si="15"/>
        <v>2</v>
      </c>
    </row>
    <row r="10" spans="1:37" x14ac:dyDescent="0.2">
      <c r="A10" s="62" t="s">
        <v>33</v>
      </c>
      <c r="B10" s="62" t="s">
        <v>58</v>
      </c>
      <c r="C10" s="62" t="s">
        <v>163</v>
      </c>
      <c r="D10" s="62"/>
      <c r="E10" s="62">
        <f t="shared" si="2"/>
        <v>5</v>
      </c>
      <c r="F10" s="128">
        <v>105</v>
      </c>
      <c r="G10" s="129">
        <v>0.8203125</v>
      </c>
      <c r="H10" s="129">
        <v>0.67813715096660199</v>
      </c>
      <c r="I10" s="129">
        <v>0.99199801517431097</v>
      </c>
      <c r="J10" s="129"/>
      <c r="K10" s="129"/>
      <c r="L10" s="129"/>
      <c r="M10" s="60">
        <f t="shared" si="0"/>
        <v>2</v>
      </c>
      <c r="N10" s="61">
        <f t="shared" si="3"/>
        <v>0.35664108937641797</v>
      </c>
      <c r="O10" s="61">
        <f t="shared" si="16"/>
        <v>0.87161794080261501</v>
      </c>
      <c r="P10" s="129">
        <f t="shared" si="4"/>
        <v>1.1283556900717999</v>
      </c>
      <c r="Q10" s="129">
        <f t="shared" si="5"/>
        <v>1.09034823463302</v>
      </c>
      <c r="R10" s="129">
        <f t="shared" si="6"/>
        <v>1.16767237211582</v>
      </c>
      <c r="S10" s="61">
        <f t="shared" si="7"/>
        <v>1.2448422966641</v>
      </c>
      <c r="T10" s="61">
        <f t="shared" si="1"/>
        <v>2.2130725681935099</v>
      </c>
      <c r="U10" s="61">
        <f t="shared" si="17"/>
        <v>1.0745949722105221</v>
      </c>
      <c r="V10" s="61"/>
      <c r="Y10" s="159" t="s">
        <v>46</v>
      </c>
      <c r="Z10" s="159" t="s">
        <v>68</v>
      </c>
      <c r="AA10" s="159" t="s">
        <v>163</v>
      </c>
      <c r="AB10" s="159">
        <f t="shared" si="8"/>
        <v>6</v>
      </c>
      <c r="AC10" s="164">
        <f t="shared" si="18"/>
        <v>0.77901248711192606</v>
      </c>
      <c r="AD10" s="164">
        <f t="shared" si="9"/>
        <v>1.2646730016769201</v>
      </c>
      <c r="AE10" s="159"/>
      <c r="AF10" s="159">
        <f t="shared" si="10"/>
        <v>17</v>
      </c>
      <c r="AG10" s="160">
        <f t="shared" si="11"/>
        <v>126</v>
      </c>
      <c r="AH10" s="161">
        <f t="shared" si="12"/>
        <v>1.1531069827034</v>
      </c>
      <c r="AI10" s="161">
        <f t="shared" si="13"/>
        <v>0.96939684119853098</v>
      </c>
      <c r="AJ10" s="161">
        <f t="shared" si="14"/>
        <v>1.3711499482185101</v>
      </c>
      <c r="AK10" s="160">
        <f t="shared" si="15"/>
        <v>5</v>
      </c>
    </row>
    <row r="11" spans="1:37" x14ac:dyDescent="0.2">
      <c r="A11" s="62" t="s">
        <v>34</v>
      </c>
      <c r="B11" s="62" t="s">
        <v>59</v>
      </c>
      <c r="C11" s="62" t="s">
        <v>200</v>
      </c>
      <c r="D11" s="62"/>
      <c r="E11" s="62">
        <f t="shared" si="2"/>
        <v>15</v>
      </c>
      <c r="F11" s="128">
        <v>171</v>
      </c>
      <c r="G11" s="129">
        <v>1.10830254715147</v>
      </c>
      <c r="H11" s="129">
        <v>0.95485350752301101</v>
      </c>
      <c r="I11" s="129">
        <v>1.28609129673419</v>
      </c>
      <c r="J11" s="129"/>
      <c r="K11" s="129"/>
      <c r="L11" s="129"/>
      <c r="M11" s="60">
        <f t="shared" si="0"/>
        <v>5</v>
      </c>
      <c r="N11" s="61">
        <f t="shared" si="3"/>
        <v>0.35664108937641797</v>
      </c>
      <c r="O11" s="61">
        <f t="shared" si="16"/>
        <v>0.87161794080261501</v>
      </c>
      <c r="P11" s="129">
        <f t="shared" si="4"/>
        <v>1.1283556900717999</v>
      </c>
      <c r="Q11" s="129">
        <f t="shared" si="5"/>
        <v>1.09034823463302</v>
      </c>
      <c r="R11" s="129">
        <f t="shared" si="6"/>
        <v>1.16767237211582</v>
      </c>
      <c r="S11" s="61">
        <f t="shared" si="7"/>
        <v>1.2448422966641</v>
      </c>
      <c r="T11" s="61">
        <f t="shared" si="1"/>
        <v>2.2130725681935099</v>
      </c>
      <c r="U11" s="61">
        <f t="shared" si="17"/>
        <v>1.102254400315593</v>
      </c>
      <c r="V11" s="61"/>
      <c r="Y11" s="159" t="s">
        <v>47</v>
      </c>
      <c r="Z11" s="159" t="s">
        <v>69</v>
      </c>
      <c r="AA11" s="159" t="s">
        <v>163</v>
      </c>
      <c r="AB11" s="159">
        <f t="shared" si="8"/>
        <v>3</v>
      </c>
      <c r="AC11" s="164">
        <f t="shared" si="18"/>
        <v>0.77901248711192606</v>
      </c>
      <c r="AD11" s="164">
        <f t="shared" si="9"/>
        <v>1.2646730016769201</v>
      </c>
      <c r="AE11" s="159"/>
      <c r="AF11" s="159">
        <f t="shared" si="10"/>
        <v>7</v>
      </c>
      <c r="AG11" s="160">
        <f t="shared" si="11"/>
        <v>48</v>
      </c>
      <c r="AH11" s="161">
        <f t="shared" si="12"/>
        <v>0.87161794080261501</v>
      </c>
      <c r="AI11" s="161">
        <f t="shared" si="13"/>
        <v>0.65807105537440302</v>
      </c>
      <c r="AJ11" s="161">
        <f t="shared" si="14"/>
        <v>1.1536569641440499</v>
      </c>
      <c r="AK11" s="160">
        <f t="shared" si="15"/>
        <v>5</v>
      </c>
    </row>
    <row r="12" spans="1:37" x14ac:dyDescent="0.2">
      <c r="A12" s="62" t="s">
        <v>35</v>
      </c>
      <c r="B12" s="62" t="s">
        <v>60</v>
      </c>
      <c r="C12" s="62" t="s">
        <v>163</v>
      </c>
      <c r="D12" s="62"/>
      <c r="E12" s="62">
        <f t="shared" si="2"/>
        <v>21</v>
      </c>
      <c r="F12" s="128">
        <v>181</v>
      </c>
      <c r="G12" s="129">
        <v>1.2646730016769201</v>
      </c>
      <c r="H12" s="129">
        <v>1.09423587532314</v>
      </c>
      <c r="I12" s="129">
        <v>1.4612650351405001</v>
      </c>
      <c r="J12" s="129"/>
      <c r="K12" s="129"/>
      <c r="L12" s="129"/>
      <c r="M12" s="60">
        <f t="shared" si="0"/>
        <v>5</v>
      </c>
      <c r="N12" s="61">
        <f t="shared" si="3"/>
        <v>0.35664108937641797</v>
      </c>
      <c r="O12" s="61">
        <f t="shared" si="16"/>
        <v>0.87161794080261501</v>
      </c>
      <c r="P12" s="129">
        <f t="shared" si="4"/>
        <v>1.1283556900717999</v>
      </c>
      <c r="Q12" s="129">
        <f t="shared" si="5"/>
        <v>1.09034823463302</v>
      </c>
      <c r="R12" s="129">
        <f t="shared" si="6"/>
        <v>1.16767237211582</v>
      </c>
      <c r="S12" s="61">
        <f t="shared" si="7"/>
        <v>1.2448422966641</v>
      </c>
      <c r="T12" s="61">
        <f t="shared" si="1"/>
        <v>2.2130725681935099</v>
      </c>
      <c r="U12" s="61">
        <f t="shared" si="17"/>
        <v>1.0745949722105221</v>
      </c>
      <c r="V12" s="61"/>
      <c r="Y12" s="159" t="s">
        <v>50</v>
      </c>
      <c r="Z12" s="159" t="s">
        <v>161</v>
      </c>
      <c r="AA12" s="159" t="s">
        <v>163</v>
      </c>
      <c r="AB12" s="159">
        <f t="shared" si="8"/>
        <v>4</v>
      </c>
      <c r="AC12" s="164">
        <f t="shared" si="18"/>
        <v>0.77901248711192606</v>
      </c>
      <c r="AD12" s="164">
        <f t="shared" si="9"/>
        <v>1.2646730016769201</v>
      </c>
      <c r="AE12" s="159"/>
      <c r="AF12" s="159">
        <f t="shared" si="10"/>
        <v>8</v>
      </c>
      <c r="AG12" s="160">
        <f t="shared" si="11"/>
        <v>50</v>
      </c>
      <c r="AH12" s="161">
        <f t="shared" si="12"/>
        <v>0.88746893858714904</v>
      </c>
      <c r="AI12" s="161">
        <f t="shared" si="13"/>
        <v>0.67384433327089399</v>
      </c>
      <c r="AJ12" s="161">
        <f t="shared" si="14"/>
        <v>1.1680212030192201</v>
      </c>
      <c r="AK12" s="160">
        <f t="shared" si="15"/>
        <v>5</v>
      </c>
    </row>
    <row r="13" spans="1:37" x14ac:dyDescent="0.2">
      <c r="A13" s="62" t="s">
        <v>36</v>
      </c>
      <c r="B13" s="62" t="s">
        <v>61</v>
      </c>
      <c r="C13" s="62" t="s">
        <v>201</v>
      </c>
      <c r="D13" s="62"/>
      <c r="E13" s="62">
        <f t="shared" si="2"/>
        <v>1</v>
      </c>
      <c r="F13" s="128">
        <v>66</v>
      </c>
      <c r="G13" s="129">
        <v>0.35664108937641797</v>
      </c>
      <c r="H13" s="129">
        <v>0.28044914925448799</v>
      </c>
      <c r="I13" s="129">
        <v>0.453438599718965</v>
      </c>
      <c r="J13" s="129"/>
      <c r="K13" s="129"/>
      <c r="L13" s="129"/>
      <c r="M13" s="60">
        <f t="shared" si="0"/>
        <v>2</v>
      </c>
      <c r="N13" s="61">
        <f t="shared" si="3"/>
        <v>0.35664108937641797</v>
      </c>
      <c r="O13" s="61">
        <f t="shared" si="16"/>
        <v>0.87161794080261501</v>
      </c>
      <c r="P13" s="129">
        <f t="shared" si="4"/>
        <v>1.1283556900717999</v>
      </c>
      <c r="Q13" s="129">
        <f t="shared" si="5"/>
        <v>1.09034823463302</v>
      </c>
      <c r="R13" s="129">
        <f t="shared" si="6"/>
        <v>1.16767237211582</v>
      </c>
      <c r="S13" s="61">
        <f t="shared" si="7"/>
        <v>1.2448422966641</v>
      </c>
      <c r="T13" s="61">
        <f t="shared" si="1"/>
        <v>2.2130725681935099</v>
      </c>
      <c r="U13" s="61">
        <f t="shared" si="17"/>
        <v>1.2008173305056022</v>
      </c>
      <c r="V13" s="61"/>
      <c r="Y13" s="159" t="s">
        <v>53</v>
      </c>
      <c r="Z13" s="159" t="s">
        <v>162</v>
      </c>
      <c r="AA13" s="159" t="s">
        <v>163</v>
      </c>
      <c r="AB13" s="159">
        <f>RANK(AH13,$AH$6:$AH$13,1)</f>
        <v>7</v>
      </c>
      <c r="AC13" s="164">
        <f t="shared" si="18"/>
        <v>0.77901248711192606</v>
      </c>
      <c r="AD13" s="164">
        <f t="shared" si="9"/>
        <v>1.2646730016769201</v>
      </c>
      <c r="AE13" s="159"/>
      <c r="AF13" s="159">
        <f t="shared" si="10"/>
        <v>20</v>
      </c>
      <c r="AG13" s="160">
        <f t="shared" si="11"/>
        <v>356</v>
      </c>
      <c r="AH13" s="161">
        <f t="shared" si="12"/>
        <v>1.2448422966641</v>
      </c>
      <c r="AI13" s="161">
        <f t="shared" si="13"/>
        <v>1.1227281967928799</v>
      </c>
      <c r="AJ13" s="161">
        <f t="shared" si="14"/>
        <v>1.3800528211752201</v>
      </c>
      <c r="AK13" s="160">
        <f t="shared" si="15"/>
        <v>5</v>
      </c>
    </row>
    <row r="14" spans="1:37" x14ac:dyDescent="0.2">
      <c r="A14" s="62" t="s">
        <v>37</v>
      </c>
      <c r="B14" s="62" t="s">
        <v>157</v>
      </c>
      <c r="C14" s="62" t="s">
        <v>201</v>
      </c>
      <c r="D14" s="62"/>
      <c r="E14" s="62">
        <f t="shared" si="2"/>
        <v>22</v>
      </c>
      <c r="F14" s="128">
        <v>312</v>
      </c>
      <c r="G14" s="129">
        <v>1.2974051896207599</v>
      </c>
      <c r="H14" s="129">
        <v>1.1619592111400601</v>
      </c>
      <c r="I14" s="129">
        <v>1.44840831475447</v>
      </c>
      <c r="J14" s="129"/>
      <c r="K14" s="129"/>
      <c r="L14" s="129"/>
      <c r="M14" s="60">
        <f t="shared" si="0"/>
        <v>5</v>
      </c>
      <c r="N14" s="61">
        <f t="shared" si="3"/>
        <v>0.35664108937641797</v>
      </c>
      <c r="O14" s="61">
        <f t="shared" si="16"/>
        <v>0.87161794080261501</v>
      </c>
      <c r="P14" s="129">
        <f t="shared" si="4"/>
        <v>1.1283556900717999</v>
      </c>
      <c r="Q14" s="129">
        <f t="shared" si="5"/>
        <v>1.09034823463302</v>
      </c>
      <c r="R14" s="129">
        <f t="shared" si="6"/>
        <v>1.16767237211582</v>
      </c>
      <c r="S14" s="61">
        <f t="shared" si="7"/>
        <v>1.2448422966641</v>
      </c>
      <c r="T14" s="61">
        <f t="shared" si="1"/>
        <v>2.2130725681935099</v>
      </c>
      <c r="U14" s="61">
        <f t="shared" si="17"/>
        <v>1.2008173305056022</v>
      </c>
      <c r="V14" s="61"/>
      <c r="Y14" s="162" t="s">
        <v>29</v>
      </c>
      <c r="Z14" s="162" t="s">
        <v>55</v>
      </c>
      <c r="AA14" s="162" t="s">
        <v>201</v>
      </c>
      <c r="AB14" s="162">
        <f>RANK(AH14,$AH$14:$AH$22,1)</f>
        <v>5</v>
      </c>
      <c r="AC14" s="165">
        <f t="shared" ref="AC14:AC22" si="19">MIN($AH$14:$AH$22)</f>
        <v>0.35664108937641797</v>
      </c>
      <c r="AD14" s="165">
        <f>MAX($AH$14:$AH$22)</f>
        <v>2.2130725681935099</v>
      </c>
      <c r="AE14" s="162"/>
      <c r="AF14" s="162">
        <f t="shared" si="10"/>
        <v>16</v>
      </c>
      <c r="AG14" s="167">
        <f t="shared" si="11"/>
        <v>108</v>
      </c>
      <c r="AH14" s="165">
        <f t="shared" si="12"/>
        <v>1.12770178552783</v>
      </c>
      <c r="AI14" s="165">
        <f t="shared" si="13"/>
        <v>0.93495428393875302</v>
      </c>
      <c r="AJ14" s="165">
        <f t="shared" si="14"/>
        <v>1.35964019156313</v>
      </c>
      <c r="AK14" s="167">
        <f t="shared" si="15"/>
        <v>5</v>
      </c>
    </row>
    <row r="15" spans="1:37" x14ac:dyDescent="0.2">
      <c r="A15" s="62" t="s">
        <v>38</v>
      </c>
      <c r="B15" s="62" t="s">
        <v>62</v>
      </c>
      <c r="C15" s="62" t="s">
        <v>201</v>
      </c>
      <c r="D15" s="62"/>
      <c r="E15" s="62">
        <f t="shared" si="2"/>
        <v>23</v>
      </c>
      <c r="F15" s="128">
        <v>103</v>
      </c>
      <c r="G15" s="129">
        <v>1.44197116057679</v>
      </c>
      <c r="H15" s="129">
        <v>1.1904561471156501</v>
      </c>
      <c r="I15" s="129">
        <v>1.7456864835804</v>
      </c>
      <c r="J15" s="129"/>
      <c r="K15" s="129"/>
      <c r="L15" s="129"/>
      <c r="M15" s="60">
        <f t="shared" si="0"/>
        <v>1</v>
      </c>
      <c r="N15" s="61">
        <f t="shared" si="3"/>
        <v>0.35664108937641797</v>
      </c>
      <c r="O15" s="61">
        <f t="shared" si="16"/>
        <v>0.87161794080261501</v>
      </c>
      <c r="P15" s="129">
        <f t="shared" si="4"/>
        <v>1.1283556900717999</v>
      </c>
      <c r="Q15" s="129">
        <f t="shared" si="5"/>
        <v>1.09034823463302</v>
      </c>
      <c r="R15" s="129">
        <f t="shared" si="6"/>
        <v>1.16767237211582</v>
      </c>
      <c r="S15" s="61">
        <f t="shared" si="7"/>
        <v>1.2448422966641</v>
      </c>
      <c r="T15" s="61">
        <f t="shared" si="1"/>
        <v>2.2130725681935099</v>
      </c>
      <c r="U15" s="61">
        <f t="shared" si="17"/>
        <v>1.2008173305056022</v>
      </c>
      <c r="V15" s="61"/>
      <c r="Y15" s="162" t="s">
        <v>32</v>
      </c>
      <c r="Z15" s="162" t="s">
        <v>156</v>
      </c>
      <c r="AA15" s="162" t="s">
        <v>201</v>
      </c>
      <c r="AB15" s="162">
        <f>RANK(AH15,$AH$14:$AH$22,1)</f>
        <v>8</v>
      </c>
      <c r="AC15" s="165">
        <f t="shared" si="19"/>
        <v>0.35664108937641797</v>
      </c>
      <c r="AD15" s="165">
        <f t="shared" ref="AD15:AD22" si="20">MAX($AH$14:$AH$22)</f>
        <v>2.2130725681935099</v>
      </c>
      <c r="AE15" s="162"/>
      <c r="AF15" s="162">
        <f t="shared" si="10"/>
        <v>24</v>
      </c>
      <c r="AG15" s="167">
        <f t="shared" si="11"/>
        <v>258</v>
      </c>
      <c r="AH15" s="165">
        <f t="shared" si="12"/>
        <v>1.4878034715414299</v>
      </c>
      <c r="AI15" s="165">
        <f t="shared" si="13"/>
        <v>1.31805839346312</v>
      </c>
      <c r="AJ15" s="165">
        <f t="shared" si="14"/>
        <v>1.6790370833383099</v>
      </c>
      <c r="AK15" s="167">
        <f t="shared" si="15"/>
        <v>1</v>
      </c>
    </row>
    <row r="16" spans="1:37" x14ac:dyDescent="0.2">
      <c r="A16" s="62" t="s">
        <v>39</v>
      </c>
      <c r="B16" s="62" t="s">
        <v>158</v>
      </c>
      <c r="C16" s="62" t="s">
        <v>200</v>
      </c>
      <c r="D16" s="62"/>
      <c r="E16" s="62">
        <f t="shared" si="2"/>
        <v>18</v>
      </c>
      <c r="F16" s="128">
        <v>176</v>
      </c>
      <c r="G16" s="129">
        <v>1.1709134455458701</v>
      </c>
      <c r="H16" s="129">
        <v>1.01098694833444</v>
      </c>
      <c r="I16" s="129">
        <v>1.3557919751102601</v>
      </c>
      <c r="J16" s="129"/>
      <c r="K16" s="129"/>
      <c r="L16" s="129"/>
      <c r="M16" s="60">
        <f t="shared" si="0"/>
        <v>5</v>
      </c>
      <c r="N16" s="61">
        <f t="shared" si="3"/>
        <v>0.35664108937641797</v>
      </c>
      <c r="O16" s="61">
        <f t="shared" si="16"/>
        <v>0.87161794080261501</v>
      </c>
      <c r="P16" s="129">
        <f t="shared" si="4"/>
        <v>1.1283556900717999</v>
      </c>
      <c r="Q16" s="129">
        <f t="shared" si="5"/>
        <v>1.09034823463302</v>
      </c>
      <c r="R16" s="129">
        <f t="shared" si="6"/>
        <v>1.16767237211582</v>
      </c>
      <c r="S16" s="61">
        <f t="shared" si="7"/>
        <v>1.2448422966641</v>
      </c>
      <c r="T16" s="61">
        <f t="shared" si="1"/>
        <v>2.2130725681935099</v>
      </c>
      <c r="U16" s="61">
        <f t="shared" si="17"/>
        <v>1.102254400315593</v>
      </c>
      <c r="V16" s="61"/>
      <c r="Y16" s="162" t="s">
        <v>36</v>
      </c>
      <c r="Z16" s="162" t="s">
        <v>61</v>
      </c>
      <c r="AA16" s="162" t="s">
        <v>201</v>
      </c>
      <c r="AB16" s="162">
        <f>RANK(AH16,$AH$14:$AH$22,1)</f>
        <v>1</v>
      </c>
      <c r="AC16" s="165">
        <f t="shared" si="19"/>
        <v>0.35664108937641797</v>
      </c>
      <c r="AD16" s="165">
        <f t="shared" si="20"/>
        <v>2.2130725681935099</v>
      </c>
      <c r="AE16" s="162"/>
      <c r="AF16" s="162">
        <f t="shared" si="10"/>
        <v>1</v>
      </c>
      <c r="AG16" s="167">
        <f t="shared" si="11"/>
        <v>66</v>
      </c>
      <c r="AH16" s="165">
        <f t="shared" si="12"/>
        <v>0.35664108937641797</v>
      </c>
      <c r="AI16" s="165">
        <f t="shared" si="13"/>
        <v>0.28044914925448799</v>
      </c>
      <c r="AJ16" s="165">
        <f t="shared" si="14"/>
        <v>0.453438599718965</v>
      </c>
      <c r="AK16" s="167">
        <f t="shared" si="15"/>
        <v>2</v>
      </c>
    </row>
    <row r="17" spans="1:37" x14ac:dyDescent="0.2">
      <c r="A17" s="62" t="s">
        <v>40</v>
      </c>
      <c r="B17" s="62" t="s">
        <v>63</v>
      </c>
      <c r="C17" s="62" t="s">
        <v>200</v>
      </c>
      <c r="D17" s="62"/>
      <c r="E17" s="62">
        <f t="shared" si="2"/>
        <v>6</v>
      </c>
      <c r="F17" s="128">
        <v>69</v>
      </c>
      <c r="G17" s="129">
        <v>0.84383025559496205</v>
      </c>
      <c r="H17" s="129">
        <v>0.66735796971527395</v>
      </c>
      <c r="I17" s="129">
        <v>1.0664668395622501</v>
      </c>
      <c r="J17" s="129"/>
      <c r="K17" s="129"/>
      <c r="L17" s="129"/>
      <c r="M17" s="60">
        <f t="shared" si="0"/>
        <v>2</v>
      </c>
      <c r="N17" s="61">
        <f t="shared" si="3"/>
        <v>0.35664108937641797</v>
      </c>
      <c r="O17" s="61">
        <f t="shared" si="16"/>
        <v>0.87161794080261501</v>
      </c>
      <c r="P17" s="129">
        <f t="shared" si="4"/>
        <v>1.1283556900717999</v>
      </c>
      <c r="Q17" s="129">
        <f t="shared" si="5"/>
        <v>1.09034823463302</v>
      </c>
      <c r="R17" s="129">
        <f t="shared" si="6"/>
        <v>1.16767237211582</v>
      </c>
      <c r="S17" s="61">
        <f t="shared" si="7"/>
        <v>1.2448422966641</v>
      </c>
      <c r="T17" s="61">
        <f t="shared" si="1"/>
        <v>2.2130725681935099</v>
      </c>
      <c r="U17" s="61">
        <f t="shared" si="17"/>
        <v>1.102254400315593</v>
      </c>
      <c r="V17" s="61"/>
      <c r="Y17" s="162" t="s">
        <v>37</v>
      </c>
      <c r="Z17" s="162" t="s">
        <v>157</v>
      </c>
      <c r="AA17" s="162" t="s">
        <v>201</v>
      </c>
      <c r="AB17" s="162">
        <f t="shared" ref="AB17:AB22" si="21">RANK(AH17,$AH$14:$AH$22,1)</f>
        <v>6</v>
      </c>
      <c r="AC17" s="165">
        <f t="shared" si="19"/>
        <v>0.35664108937641797</v>
      </c>
      <c r="AD17" s="165">
        <f>MAX($AH$14:$AH$22)</f>
        <v>2.2130725681935099</v>
      </c>
      <c r="AE17" s="162"/>
      <c r="AF17" s="162">
        <f t="shared" si="10"/>
        <v>22</v>
      </c>
      <c r="AG17" s="167">
        <f t="shared" si="11"/>
        <v>312</v>
      </c>
      <c r="AH17" s="165">
        <f t="shared" si="12"/>
        <v>1.2974051896207599</v>
      </c>
      <c r="AI17" s="165">
        <f t="shared" si="13"/>
        <v>1.1619592111400601</v>
      </c>
      <c r="AJ17" s="165">
        <f t="shared" si="14"/>
        <v>1.44840831475447</v>
      </c>
      <c r="AK17" s="167">
        <f t="shared" si="15"/>
        <v>5</v>
      </c>
    </row>
    <row r="18" spans="1:37" x14ac:dyDescent="0.2">
      <c r="A18" s="62" t="s">
        <v>41</v>
      </c>
      <c r="B18" s="62" t="s">
        <v>64</v>
      </c>
      <c r="C18" s="62" t="s">
        <v>163</v>
      </c>
      <c r="D18" s="62"/>
      <c r="E18" s="62">
        <f t="shared" si="2"/>
        <v>13</v>
      </c>
      <c r="F18" s="128">
        <v>112</v>
      </c>
      <c r="G18" s="129">
        <v>1.0339734121122599</v>
      </c>
      <c r="H18" s="129">
        <v>0.86007841957548004</v>
      </c>
      <c r="I18" s="129">
        <v>1.2425867004944</v>
      </c>
      <c r="J18" s="129"/>
      <c r="K18" s="129"/>
      <c r="L18" s="129"/>
      <c r="M18" s="60">
        <f t="shared" si="0"/>
        <v>5</v>
      </c>
      <c r="N18" s="61">
        <f t="shared" si="3"/>
        <v>0.35664108937641797</v>
      </c>
      <c r="O18" s="61">
        <f t="shared" si="16"/>
        <v>0.87161794080261501</v>
      </c>
      <c r="P18" s="129">
        <f t="shared" si="4"/>
        <v>1.1283556900717999</v>
      </c>
      <c r="Q18" s="129">
        <f t="shared" si="5"/>
        <v>1.09034823463302</v>
      </c>
      <c r="R18" s="129">
        <f t="shared" si="6"/>
        <v>1.16767237211582</v>
      </c>
      <c r="S18" s="61">
        <f t="shared" si="7"/>
        <v>1.2448422966641</v>
      </c>
      <c r="T18" s="61">
        <f t="shared" si="1"/>
        <v>2.2130725681935099</v>
      </c>
      <c r="U18" s="61">
        <f t="shared" si="17"/>
        <v>1.0745949722105221</v>
      </c>
      <c r="V18" s="61"/>
      <c r="Y18" s="162" t="s">
        <v>38</v>
      </c>
      <c r="Z18" s="162" t="s">
        <v>62</v>
      </c>
      <c r="AA18" s="162" t="s">
        <v>201</v>
      </c>
      <c r="AB18" s="162">
        <f t="shared" si="21"/>
        <v>7</v>
      </c>
      <c r="AC18" s="165">
        <f t="shared" si="19"/>
        <v>0.35664108937641797</v>
      </c>
      <c r="AD18" s="165">
        <f t="shared" si="20"/>
        <v>2.2130725681935099</v>
      </c>
      <c r="AE18" s="162"/>
      <c r="AF18" s="162">
        <f t="shared" si="10"/>
        <v>23</v>
      </c>
      <c r="AG18" s="167">
        <f t="shared" si="11"/>
        <v>103</v>
      </c>
      <c r="AH18" s="165">
        <f t="shared" si="12"/>
        <v>1.44197116057679</v>
      </c>
      <c r="AI18" s="165">
        <f t="shared" si="13"/>
        <v>1.1904561471156501</v>
      </c>
      <c r="AJ18" s="165">
        <f t="shared" si="14"/>
        <v>1.7456864835804</v>
      </c>
      <c r="AK18" s="167">
        <f t="shared" si="15"/>
        <v>1</v>
      </c>
    </row>
    <row r="19" spans="1:37" x14ac:dyDescent="0.2">
      <c r="A19" s="62" t="s">
        <v>42</v>
      </c>
      <c r="B19" s="62" t="s">
        <v>65</v>
      </c>
      <c r="C19" s="62" t="s">
        <v>200</v>
      </c>
      <c r="D19" s="62"/>
      <c r="E19" s="62">
        <f t="shared" si="2"/>
        <v>25</v>
      </c>
      <c r="F19" s="128">
        <v>95</v>
      </c>
      <c r="G19" s="129">
        <v>1.8551064245264599</v>
      </c>
      <c r="H19" s="129">
        <v>1.52001130185961</v>
      </c>
      <c r="I19" s="129">
        <v>2.26237807307532</v>
      </c>
      <c r="J19" s="129"/>
      <c r="K19" s="129"/>
      <c r="L19" s="129"/>
      <c r="M19" s="60">
        <f t="shared" si="0"/>
        <v>1</v>
      </c>
      <c r="N19" s="61">
        <f t="shared" si="3"/>
        <v>0.35664108937641797</v>
      </c>
      <c r="O19" s="61">
        <f t="shared" si="16"/>
        <v>0.87161794080261501</v>
      </c>
      <c r="P19" s="129">
        <f t="shared" si="4"/>
        <v>1.1283556900717999</v>
      </c>
      <c r="Q19" s="129">
        <f t="shared" si="5"/>
        <v>1.09034823463302</v>
      </c>
      <c r="R19" s="129">
        <f t="shared" si="6"/>
        <v>1.16767237211582</v>
      </c>
      <c r="S19" s="61">
        <f t="shared" si="7"/>
        <v>1.2448422966641</v>
      </c>
      <c r="T19" s="61">
        <f t="shared" si="1"/>
        <v>2.2130725681935099</v>
      </c>
      <c r="U19" s="61">
        <f t="shared" si="17"/>
        <v>1.102254400315593</v>
      </c>
      <c r="V19" s="61"/>
      <c r="Y19" s="162" t="s">
        <v>43</v>
      </c>
      <c r="Z19" s="162" t="s">
        <v>159</v>
      </c>
      <c r="AA19" s="162" t="s">
        <v>201</v>
      </c>
      <c r="AB19" s="162">
        <f t="shared" si="21"/>
        <v>9</v>
      </c>
      <c r="AC19" s="165">
        <f t="shared" si="19"/>
        <v>0.35664108937641797</v>
      </c>
      <c r="AD19" s="165">
        <f t="shared" si="20"/>
        <v>2.2130725681935099</v>
      </c>
      <c r="AE19" s="162"/>
      <c r="AF19" s="162">
        <f t="shared" si="10"/>
        <v>26</v>
      </c>
      <c r="AG19" s="167">
        <f t="shared" si="11"/>
        <v>215</v>
      </c>
      <c r="AH19" s="165">
        <f t="shared" si="12"/>
        <v>2.2130725681935099</v>
      </c>
      <c r="AI19" s="165">
        <f t="shared" si="13"/>
        <v>1.9388830116340801</v>
      </c>
      <c r="AJ19" s="165">
        <f t="shared" si="14"/>
        <v>2.5250385438198899</v>
      </c>
      <c r="AK19" s="167">
        <f t="shared" si="15"/>
        <v>1</v>
      </c>
    </row>
    <row r="20" spans="1:37" x14ac:dyDescent="0.2">
      <c r="A20" s="62" t="s">
        <v>43</v>
      </c>
      <c r="B20" s="62" t="s">
        <v>159</v>
      </c>
      <c r="C20" s="62" t="s">
        <v>201</v>
      </c>
      <c r="D20" s="62"/>
      <c r="E20" s="62">
        <f t="shared" si="2"/>
        <v>26</v>
      </c>
      <c r="F20" s="128">
        <v>215</v>
      </c>
      <c r="G20" s="129">
        <v>2.2130725681935099</v>
      </c>
      <c r="H20" s="129">
        <v>1.9388830116340801</v>
      </c>
      <c r="I20" s="129">
        <v>2.5250385438198899</v>
      </c>
      <c r="J20" s="129"/>
      <c r="K20" s="129"/>
      <c r="L20" s="129"/>
      <c r="M20" s="60">
        <f t="shared" si="0"/>
        <v>1</v>
      </c>
      <c r="N20" s="61">
        <f t="shared" si="3"/>
        <v>0.35664108937641797</v>
      </c>
      <c r="O20" s="61">
        <f t="shared" si="16"/>
        <v>0.87161794080261501</v>
      </c>
      <c r="P20" s="129">
        <f t="shared" si="4"/>
        <v>1.1283556900717999</v>
      </c>
      <c r="Q20" s="129">
        <f t="shared" si="5"/>
        <v>1.09034823463302</v>
      </c>
      <c r="R20" s="129">
        <f t="shared" si="6"/>
        <v>1.16767237211582</v>
      </c>
      <c r="S20" s="61">
        <f t="shared" si="7"/>
        <v>1.2448422966641</v>
      </c>
      <c r="T20" s="61">
        <f t="shared" si="1"/>
        <v>2.2130725681935099</v>
      </c>
      <c r="U20" s="61">
        <f t="shared" si="17"/>
        <v>1.2008173305056022</v>
      </c>
      <c r="V20" s="61"/>
      <c r="Y20" s="162" t="s">
        <v>48</v>
      </c>
      <c r="Z20" s="162" t="s">
        <v>160</v>
      </c>
      <c r="AA20" s="162" t="s">
        <v>201</v>
      </c>
      <c r="AB20" s="162">
        <f t="shared" si="21"/>
        <v>4</v>
      </c>
      <c r="AC20" s="165">
        <f t="shared" si="19"/>
        <v>0.35664108937641797</v>
      </c>
      <c r="AD20" s="165">
        <f t="shared" si="20"/>
        <v>2.2130725681935099</v>
      </c>
      <c r="AE20" s="162"/>
      <c r="AF20" s="162">
        <f t="shared" si="10"/>
        <v>10</v>
      </c>
      <c r="AG20" s="167">
        <f t="shared" si="11"/>
        <v>58</v>
      </c>
      <c r="AH20" s="165">
        <f t="shared" si="12"/>
        <v>0.94416408920722805</v>
      </c>
      <c r="AI20" s="165">
        <f t="shared" si="13"/>
        <v>0.73112461263165296</v>
      </c>
      <c r="AJ20" s="165">
        <f t="shared" si="14"/>
        <v>1.2185182994809101</v>
      </c>
      <c r="AK20" s="167">
        <f t="shared" si="15"/>
        <v>5</v>
      </c>
    </row>
    <row r="21" spans="1:37" x14ac:dyDescent="0.2">
      <c r="A21" s="62" t="s">
        <v>44</v>
      </c>
      <c r="B21" s="62" t="s">
        <v>66</v>
      </c>
      <c r="C21" s="62" t="s">
        <v>200</v>
      </c>
      <c r="D21" s="62"/>
      <c r="E21" s="62">
        <f t="shared" si="2"/>
        <v>11</v>
      </c>
      <c r="F21" s="128">
        <v>41</v>
      </c>
      <c r="G21" s="129">
        <v>0.94973361130414602</v>
      </c>
      <c r="H21" s="129">
        <v>0.70087627205979697</v>
      </c>
      <c r="I21" s="129">
        <v>1.28580756345689</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5</v>
      </c>
      <c r="N21" s="61">
        <f t="shared" si="3"/>
        <v>0.35664108937641797</v>
      </c>
      <c r="O21" s="61">
        <f t="shared" si="16"/>
        <v>0.87161794080261501</v>
      </c>
      <c r="P21" s="129">
        <f t="shared" si="4"/>
        <v>1.1283556900717999</v>
      </c>
      <c r="Q21" s="129">
        <f t="shared" si="5"/>
        <v>1.09034823463302</v>
      </c>
      <c r="R21" s="129">
        <f t="shared" si="6"/>
        <v>1.16767237211582</v>
      </c>
      <c r="S21" s="61">
        <f t="shared" si="7"/>
        <v>1.2448422966641</v>
      </c>
      <c r="T21" s="61">
        <f t="shared" si="1"/>
        <v>2.2130725681935099</v>
      </c>
      <c r="U21" s="61">
        <f t="shared" si="17"/>
        <v>1.102254400315593</v>
      </c>
      <c r="V21" s="61"/>
      <c r="Y21" s="162" t="s">
        <v>52</v>
      </c>
      <c r="Z21" s="162" t="s">
        <v>72</v>
      </c>
      <c r="AA21" s="162" t="s">
        <v>201</v>
      </c>
      <c r="AB21" s="162">
        <f t="shared" si="21"/>
        <v>3</v>
      </c>
      <c r="AC21" s="165">
        <f t="shared" si="19"/>
        <v>0.35664108937641797</v>
      </c>
      <c r="AD21" s="165">
        <f t="shared" si="20"/>
        <v>2.2130725681935099</v>
      </c>
      <c r="AE21" s="162"/>
      <c r="AF21" s="162">
        <f t="shared" si="10"/>
        <v>4</v>
      </c>
      <c r="AG21" s="167">
        <f t="shared" si="11"/>
        <v>35</v>
      </c>
      <c r="AH21" s="165">
        <f t="shared" si="12"/>
        <v>0.80238422741861504</v>
      </c>
      <c r="AI21" s="165">
        <f t="shared" si="13"/>
        <v>0.57751535836227397</v>
      </c>
      <c r="AJ21" s="165">
        <f t="shared" si="14"/>
        <v>1.11383004474451</v>
      </c>
      <c r="AK21" s="167">
        <f t="shared" si="15"/>
        <v>5</v>
      </c>
    </row>
    <row r="22" spans="1:37" x14ac:dyDescent="0.2">
      <c r="A22" s="62" t="s">
        <v>45</v>
      </c>
      <c r="B22" s="62" t="s">
        <v>67</v>
      </c>
      <c r="C22" s="62" t="s">
        <v>163</v>
      </c>
      <c r="D22" s="62"/>
      <c r="E22" s="62">
        <f t="shared" si="2"/>
        <v>3</v>
      </c>
      <c r="F22" s="128">
        <v>68</v>
      </c>
      <c r="G22" s="129">
        <v>0.77901248711192606</v>
      </c>
      <c r="H22" s="129">
        <v>0.61500436537303405</v>
      </c>
      <c r="I22" s="129">
        <v>0.98632390195106701</v>
      </c>
      <c r="J22" s="129"/>
      <c r="K22" s="129"/>
      <c r="L22" s="129"/>
      <c r="M22" s="60">
        <f t="shared" si="0"/>
        <v>2</v>
      </c>
      <c r="N22" s="61">
        <f t="shared" si="3"/>
        <v>0.35664108937641797</v>
      </c>
      <c r="O22" s="61">
        <f t="shared" si="16"/>
        <v>0.87161794080261501</v>
      </c>
      <c r="P22" s="129">
        <f t="shared" si="4"/>
        <v>1.1283556900717999</v>
      </c>
      <c r="Q22" s="129">
        <f t="shared" si="5"/>
        <v>1.09034823463302</v>
      </c>
      <c r="R22" s="129">
        <f t="shared" si="6"/>
        <v>1.16767237211582</v>
      </c>
      <c r="S22" s="61">
        <f t="shared" si="7"/>
        <v>1.2448422966641</v>
      </c>
      <c r="T22" s="61">
        <f t="shared" si="1"/>
        <v>2.2130725681935099</v>
      </c>
      <c r="U22" s="61">
        <f>VLOOKUP(C22,$C$43:$I$46,5,FALSE)</f>
        <v>1.0745949722105221</v>
      </c>
      <c r="V22" s="61"/>
      <c r="Y22" s="162" t="s">
        <v>54</v>
      </c>
      <c r="Z22" s="162" t="s">
        <v>73</v>
      </c>
      <c r="AA22" s="162" t="s">
        <v>201</v>
      </c>
      <c r="AB22" s="162">
        <f t="shared" si="21"/>
        <v>2</v>
      </c>
      <c r="AC22" s="165">
        <f t="shared" si="19"/>
        <v>0.35664108937641797</v>
      </c>
      <c r="AD22" s="165">
        <f t="shared" si="20"/>
        <v>2.2130725681935099</v>
      </c>
      <c r="AE22" s="162"/>
      <c r="AF22" s="162">
        <f t="shared" si="10"/>
        <v>2</v>
      </c>
      <c r="AG22" s="167">
        <f t="shared" si="11"/>
        <v>40</v>
      </c>
      <c r="AH22" s="165">
        <f t="shared" si="12"/>
        <v>0.67328732536610003</v>
      </c>
      <c r="AI22" s="165">
        <f t="shared" si="13"/>
        <v>0.49485272542189201</v>
      </c>
      <c r="AJ22" s="165">
        <f t="shared" si="14"/>
        <v>0.91547014696175799</v>
      </c>
      <c r="AK22" s="167">
        <f t="shared" si="15"/>
        <v>2</v>
      </c>
    </row>
    <row r="23" spans="1:37" x14ac:dyDescent="0.2">
      <c r="A23" s="62" t="s">
        <v>46</v>
      </c>
      <c r="B23" s="62" t="s">
        <v>68</v>
      </c>
      <c r="C23" s="62" t="s">
        <v>163</v>
      </c>
      <c r="D23" s="62"/>
      <c r="E23" s="62">
        <f t="shared" si="2"/>
        <v>17</v>
      </c>
      <c r="F23" s="128">
        <v>126</v>
      </c>
      <c r="G23" s="129">
        <v>1.1531069827034</v>
      </c>
      <c r="H23" s="129">
        <v>0.96939684119853098</v>
      </c>
      <c r="I23" s="129">
        <v>1.3711499482185101</v>
      </c>
      <c r="J23" s="129"/>
      <c r="K23" s="129"/>
      <c r="L23" s="129"/>
      <c r="M23" s="60">
        <f t="shared" si="0"/>
        <v>5</v>
      </c>
      <c r="N23" s="61">
        <f t="shared" si="3"/>
        <v>0.35664108937641797</v>
      </c>
      <c r="O23" s="61">
        <f t="shared" si="16"/>
        <v>0.87161794080261501</v>
      </c>
      <c r="P23" s="129">
        <f t="shared" si="4"/>
        <v>1.1283556900717999</v>
      </c>
      <c r="Q23" s="129">
        <f t="shared" si="5"/>
        <v>1.09034823463302</v>
      </c>
      <c r="R23" s="129">
        <f t="shared" si="6"/>
        <v>1.16767237211582</v>
      </c>
      <c r="S23" s="61">
        <f t="shared" si="7"/>
        <v>1.2448422966641</v>
      </c>
      <c r="T23" s="61">
        <f t="shared" si="1"/>
        <v>2.2130725681935099</v>
      </c>
      <c r="U23" s="61">
        <f t="shared" si="17"/>
        <v>1.0745949722105221</v>
      </c>
      <c r="V23" s="61"/>
      <c r="Y23" s="163" t="s">
        <v>30</v>
      </c>
      <c r="Z23" s="163" t="s">
        <v>56</v>
      </c>
      <c r="AA23" s="163" t="s">
        <v>200</v>
      </c>
      <c r="AB23" s="163">
        <f>RANK(AH23,$AH$23:$AH$31,1)</f>
        <v>5</v>
      </c>
      <c r="AC23" s="166">
        <f>MIN($AH$23:$AH$31)</f>
        <v>0.84383025559496205</v>
      </c>
      <c r="AD23" s="166">
        <f>MAX($AH$23:$AH$31)</f>
        <v>1.8551064245264599</v>
      </c>
      <c r="AE23" s="163"/>
      <c r="AF23" s="163">
        <f t="shared" si="10"/>
        <v>14</v>
      </c>
      <c r="AG23" s="168">
        <f t="shared" si="11"/>
        <v>124</v>
      </c>
      <c r="AH23" s="166">
        <f t="shared" si="12"/>
        <v>1.10271231658515</v>
      </c>
      <c r="AI23" s="166">
        <f t="shared" si="13"/>
        <v>0.92570725510444896</v>
      </c>
      <c r="AJ23" s="166">
        <f t="shared" si="14"/>
        <v>1.31311404700586</v>
      </c>
      <c r="AK23" s="168">
        <f t="shared" si="15"/>
        <v>5</v>
      </c>
    </row>
    <row r="24" spans="1:37" x14ac:dyDescent="0.2">
      <c r="A24" s="62" t="s">
        <v>47</v>
      </c>
      <c r="B24" s="62" t="s">
        <v>69</v>
      </c>
      <c r="C24" s="62" t="s">
        <v>163</v>
      </c>
      <c r="D24" s="62"/>
      <c r="E24" s="62">
        <f t="shared" si="2"/>
        <v>7</v>
      </c>
      <c r="F24" s="128">
        <v>48</v>
      </c>
      <c r="G24" s="129">
        <v>0.87161794080261501</v>
      </c>
      <c r="H24" s="129">
        <v>0.65807105537440302</v>
      </c>
      <c r="I24" s="129">
        <v>1.1536569641440499</v>
      </c>
      <c r="J24" s="129"/>
      <c r="K24" s="129"/>
      <c r="L24" s="129"/>
      <c r="M24" s="60">
        <f t="shared" si="0"/>
        <v>5</v>
      </c>
      <c r="N24" s="61">
        <f t="shared" si="3"/>
        <v>0.35664108937641797</v>
      </c>
      <c r="O24" s="61">
        <f t="shared" si="16"/>
        <v>0.87161794080261501</v>
      </c>
      <c r="P24" s="129">
        <f t="shared" si="4"/>
        <v>1.1283556900717999</v>
      </c>
      <c r="Q24" s="129">
        <f t="shared" si="5"/>
        <v>1.09034823463302</v>
      </c>
      <c r="R24" s="129">
        <f t="shared" si="6"/>
        <v>1.16767237211582</v>
      </c>
      <c r="S24" s="61">
        <f t="shared" si="7"/>
        <v>1.2448422966641</v>
      </c>
      <c r="T24" s="61">
        <f t="shared" si="1"/>
        <v>2.2130725681935099</v>
      </c>
      <c r="U24" s="61">
        <f t="shared" si="17"/>
        <v>1.0745949722105221</v>
      </c>
      <c r="V24" s="61"/>
      <c r="Y24" s="163" t="s">
        <v>31</v>
      </c>
      <c r="Z24" s="163" t="s">
        <v>57</v>
      </c>
      <c r="AA24" s="163" t="s">
        <v>200</v>
      </c>
      <c r="AB24" s="163">
        <f t="shared" ref="AB24:AB31" si="22">RANK(AH24,$AH$23:$AH$31,1)</f>
        <v>2</v>
      </c>
      <c r="AC24" s="166">
        <f t="shared" ref="AC24:AC31" si="23">MIN($AH$23:$AH$31)</f>
        <v>0.84383025559496205</v>
      </c>
      <c r="AD24" s="166">
        <f t="shared" ref="AD24:AD31" si="24">MAX($AH$23:$AH$31)</f>
        <v>1.8551064245264599</v>
      </c>
      <c r="AE24" s="163"/>
      <c r="AF24" s="163">
        <f t="shared" si="10"/>
        <v>9</v>
      </c>
      <c r="AG24" s="168">
        <f t="shared" si="11"/>
        <v>114</v>
      </c>
      <c r="AH24" s="166">
        <f t="shared" si="12"/>
        <v>0.91950314566865599</v>
      </c>
      <c r="AI24" s="166">
        <f t="shared" si="13"/>
        <v>0.76603226528405</v>
      </c>
      <c r="AJ24" s="166">
        <f t="shared" si="14"/>
        <v>1.1033793022682801</v>
      </c>
      <c r="AK24" s="168">
        <f t="shared" si="15"/>
        <v>5</v>
      </c>
    </row>
    <row r="25" spans="1:37" x14ac:dyDescent="0.2">
      <c r="A25" s="62" t="s">
        <v>48</v>
      </c>
      <c r="B25" s="62" t="s">
        <v>160</v>
      </c>
      <c r="C25" s="62" t="s">
        <v>201</v>
      </c>
      <c r="D25" s="62"/>
      <c r="E25" s="62">
        <f t="shared" si="2"/>
        <v>10</v>
      </c>
      <c r="F25" s="128">
        <v>58</v>
      </c>
      <c r="G25" s="129">
        <v>0.94416408920722805</v>
      </c>
      <c r="H25" s="129">
        <v>0.73112461263165296</v>
      </c>
      <c r="I25" s="129">
        <v>1.2185182994809101</v>
      </c>
      <c r="J25" s="129"/>
      <c r="K25" s="129"/>
      <c r="L25" s="129"/>
      <c r="M25" s="60">
        <f t="shared" si="0"/>
        <v>5</v>
      </c>
      <c r="N25" s="61">
        <f t="shared" si="3"/>
        <v>0.35664108937641797</v>
      </c>
      <c r="O25" s="61">
        <f t="shared" si="16"/>
        <v>0.87161794080261501</v>
      </c>
      <c r="P25" s="129">
        <f t="shared" si="4"/>
        <v>1.1283556900717999</v>
      </c>
      <c r="Q25" s="129">
        <f t="shared" si="5"/>
        <v>1.09034823463302</v>
      </c>
      <c r="R25" s="129">
        <f t="shared" si="6"/>
        <v>1.16767237211582</v>
      </c>
      <c r="S25" s="61">
        <f t="shared" si="7"/>
        <v>1.2448422966641</v>
      </c>
      <c r="T25" s="61">
        <f t="shared" si="1"/>
        <v>2.2130725681935099</v>
      </c>
      <c r="U25" s="61">
        <f t="shared" si="17"/>
        <v>1.2008173305056022</v>
      </c>
      <c r="V25" s="61"/>
      <c r="Y25" s="163" t="s">
        <v>34</v>
      </c>
      <c r="Z25" s="163" t="s">
        <v>59</v>
      </c>
      <c r="AA25" s="163" t="s">
        <v>200</v>
      </c>
      <c r="AB25" s="163">
        <f t="shared" si="22"/>
        <v>6</v>
      </c>
      <c r="AC25" s="166">
        <f t="shared" si="23"/>
        <v>0.84383025559496205</v>
      </c>
      <c r="AD25" s="166">
        <f t="shared" si="24"/>
        <v>1.8551064245264599</v>
      </c>
      <c r="AE25" s="163"/>
      <c r="AF25" s="163">
        <f t="shared" si="10"/>
        <v>15</v>
      </c>
      <c r="AG25" s="168">
        <f t="shared" si="11"/>
        <v>171</v>
      </c>
      <c r="AH25" s="166">
        <f t="shared" si="12"/>
        <v>1.10830254715147</v>
      </c>
      <c r="AI25" s="166">
        <f t="shared" si="13"/>
        <v>0.95485350752301101</v>
      </c>
      <c r="AJ25" s="166">
        <f t="shared" si="14"/>
        <v>1.28609129673419</v>
      </c>
      <c r="AK25" s="168">
        <f t="shared" si="15"/>
        <v>5</v>
      </c>
    </row>
    <row r="26" spans="1:37" x14ac:dyDescent="0.2">
      <c r="A26" s="62" t="s">
        <v>49</v>
      </c>
      <c r="B26" s="62" t="s">
        <v>70</v>
      </c>
      <c r="C26" s="62" t="s">
        <v>200</v>
      </c>
      <c r="D26" s="62"/>
      <c r="E26" s="62">
        <f t="shared" si="2"/>
        <v>12</v>
      </c>
      <c r="F26" s="128">
        <v>93</v>
      </c>
      <c r="G26" s="129">
        <v>1.0295582862836301</v>
      </c>
      <c r="H26" s="129">
        <v>0.84121459230541096</v>
      </c>
      <c r="I26" s="129">
        <v>1.2595355390957901</v>
      </c>
      <c r="J26" s="129"/>
      <c r="K26" s="129"/>
      <c r="L26" s="129"/>
      <c r="M26" s="60">
        <f t="shared" si="0"/>
        <v>5</v>
      </c>
      <c r="N26" s="61">
        <f t="shared" si="3"/>
        <v>0.35664108937641797</v>
      </c>
      <c r="O26" s="61">
        <f t="shared" si="16"/>
        <v>0.87161794080261501</v>
      </c>
      <c r="P26" s="129">
        <f t="shared" si="4"/>
        <v>1.1283556900717999</v>
      </c>
      <c r="Q26" s="129">
        <f t="shared" si="5"/>
        <v>1.09034823463302</v>
      </c>
      <c r="R26" s="129">
        <f t="shared" si="6"/>
        <v>1.16767237211582</v>
      </c>
      <c r="S26" s="61">
        <f t="shared" si="7"/>
        <v>1.2448422966641</v>
      </c>
      <c r="T26" s="61">
        <f t="shared" si="1"/>
        <v>2.2130725681935099</v>
      </c>
      <c r="U26" s="61">
        <f t="shared" si="17"/>
        <v>1.102254400315593</v>
      </c>
      <c r="V26" s="61"/>
      <c r="Y26" s="163" t="s">
        <v>39</v>
      </c>
      <c r="Z26" s="163" t="s">
        <v>158</v>
      </c>
      <c r="AA26" s="163" t="s">
        <v>200</v>
      </c>
      <c r="AB26" s="163">
        <f t="shared" si="22"/>
        <v>7</v>
      </c>
      <c r="AC26" s="166">
        <f t="shared" si="23"/>
        <v>0.84383025559496205</v>
      </c>
      <c r="AD26" s="166">
        <f t="shared" si="24"/>
        <v>1.8551064245264599</v>
      </c>
      <c r="AE26" s="163"/>
      <c r="AF26" s="163">
        <f t="shared" si="10"/>
        <v>18</v>
      </c>
      <c r="AG26" s="168">
        <f t="shared" si="11"/>
        <v>176</v>
      </c>
      <c r="AH26" s="166">
        <f t="shared" si="12"/>
        <v>1.1709134455458701</v>
      </c>
      <c r="AI26" s="166">
        <f t="shared" si="13"/>
        <v>1.01098694833444</v>
      </c>
      <c r="AJ26" s="166">
        <f t="shared" si="14"/>
        <v>1.3557919751102601</v>
      </c>
      <c r="AK26" s="168">
        <f t="shared" si="15"/>
        <v>5</v>
      </c>
    </row>
    <row r="27" spans="1:37" x14ac:dyDescent="0.2">
      <c r="A27" s="62" t="s">
        <v>50</v>
      </c>
      <c r="B27" s="62" t="s">
        <v>161</v>
      </c>
      <c r="C27" s="62" t="s">
        <v>163</v>
      </c>
      <c r="D27" s="62"/>
      <c r="E27" s="62">
        <f t="shared" si="2"/>
        <v>8</v>
      </c>
      <c r="F27" s="128">
        <v>50</v>
      </c>
      <c r="G27" s="129">
        <v>0.88746893858714904</v>
      </c>
      <c r="H27" s="129">
        <v>0.67384433327089399</v>
      </c>
      <c r="I27" s="129">
        <v>1.1680212030192201</v>
      </c>
      <c r="J27" s="129"/>
      <c r="K27" s="129"/>
      <c r="L27" s="129"/>
      <c r="M27" s="60">
        <f t="shared" si="0"/>
        <v>5</v>
      </c>
      <c r="N27" s="61">
        <f t="shared" si="3"/>
        <v>0.35664108937641797</v>
      </c>
      <c r="O27" s="61">
        <f t="shared" si="16"/>
        <v>0.87161794080261501</v>
      </c>
      <c r="P27" s="129">
        <f t="shared" si="4"/>
        <v>1.1283556900717999</v>
      </c>
      <c r="Q27" s="129">
        <f t="shared" si="5"/>
        <v>1.09034823463302</v>
      </c>
      <c r="R27" s="129">
        <f t="shared" si="6"/>
        <v>1.16767237211582</v>
      </c>
      <c r="S27" s="61">
        <f t="shared" si="7"/>
        <v>1.2448422966641</v>
      </c>
      <c r="T27" s="61">
        <f t="shared" si="1"/>
        <v>2.2130725681935099</v>
      </c>
      <c r="U27" s="61">
        <f t="shared" si="17"/>
        <v>1.0745949722105221</v>
      </c>
      <c r="V27" s="61"/>
      <c r="Y27" s="163" t="s">
        <v>40</v>
      </c>
      <c r="Z27" s="163" t="s">
        <v>63</v>
      </c>
      <c r="AA27" s="163" t="s">
        <v>200</v>
      </c>
      <c r="AB27" s="163">
        <f t="shared" si="22"/>
        <v>1</v>
      </c>
      <c r="AC27" s="166">
        <f t="shared" si="23"/>
        <v>0.84383025559496205</v>
      </c>
      <c r="AD27" s="166">
        <f t="shared" si="24"/>
        <v>1.8551064245264599</v>
      </c>
      <c r="AE27" s="163"/>
      <c r="AF27" s="163">
        <f t="shared" si="10"/>
        <v>6</v>
      </c>
      <c r="AG27" s="168">
        <f t="shared" si="11"/>
        <v>69</v>
      </c>
      <c r="AH27" s="166">
        <f t="shared" si="12"/>
        <v>0.84383025559496205</v>
      </c>
      <c r="AI27" s="166">
        <f t="shared" si="13"/>
        <v>0.66735796971527395</v>
      </c>
      <c r="AJ27" s="166">
        <f t="shared" si="14"/>
        <v>1.0664668395622501</v>
      </c>
      <c r="AK27" s="168">
        <f t="shared" si="15"/>
        <v>2</v>
      </c>
    </row>
    <row r="28" spans="1:37" x14ac:dyDescent="0.2">
      <c r="A28" s="62" t="s">
        <v>51</v>
      </c>
      <c r="B28" s="62" t="s">
        <v>71</v>
      </c>
      <c r="C28" s="62" t="s">
        <v>200</v>
      </c>
      <c r="D28" s="62"/>
      <c r="E28" s="62">
        <f t="shared" si="2"/>
        <v>19</v>
      </c>
      <c r="F28" s="128">
        <v>67</v>
      </c>
      <c r="G28" s="129">
        <v>1.2325239146431199</v>
      </c>
      <c r="H28" s="129">
        <v>0.97174944488727799</v>
      </c>
      <c r="I28" s="129">
        <v>1.5621747487523101</v>
      </c>
      <c r="J28" s="129"/>
      <c r="K28" s="129"/>
      <c r="L28" s="129"/>
      <c r="M28" s="60">
        <f t="shared" si="0"/>
        <v>5</v>
      </c>
      <c r="N28" s="61">
        <f t="shared" si="3"/>
        <v>0.35664108937641797</v>
      </c>
      <c r="O28" s="61">
        <f t="shared" si="16"/>
        <v>0.87161794080261501</v>
      </c>
      <c r="P28" s="129">
        <f t="shared" si="4"/>
        <v>1.1283556900717999</v>
      </c>
      <c r="Q28" s="129">
        <f t="shared" si="5"/>
        <v>1.09034823463302</v>
      </c>
      <c r="R28" s="129">
        <f t="shared" si="6"/>
        <v>1.16767237211582</v>
      </c>
      <c r="S28" s="61">
        <f t="shared" si="7"/>
        <v>1.2448422966641</v>
      </c>
      <c r="T28" s="61">
        <f t="shared" si="1"/>
        <v>2.2130725681935099</v>
      </c>
      <c r="U28" s="61">
        <f t="shared" si="17"/>
        <v>1.102254400315593</v>
      </c>
      <c r="V28" s="61"/>
      <c r="Y28" s="163" t="s">
        <v>42</v>
      </c>
      <c r="Z28" s="163" t="s">
        <v>65</v>
      </c>
      <c r="AA28" s="163" t="s">
        <v>200</v>
      </c>
      <c r="AB28" s="163">
        <f t="shared" si="22"/>
        <v>9</v>
      </c>
      <c r="AC28" s="166">
        <f t="shared" si="23"/>
        <v>0.84383025559496205</v>
      </c>
      <c r="AD28" s="166">
        <f t="shared" si="24"/>
        <v>1.8551064245264599</v>
      </c>
      <c r="AE28" s="163"/>
      <c r="AF28" s="163">
        <f t="shared" si="10"/>
        <v>25</v>
      </c>
      <c r="AG28" s="168">
        <f t="shared" si="11"/>
        <v>95</v>
      </c>
      <c r="AH28" s="166">
        <f t="shared" si="12"/>
        <v>1.8551064245264599</v>
      </c>
      <c r="AI28" s="166">
        <f t="shared" si="13"/>
        <v>1.52001130185961</v>
      </c>
      <c r="AJ28" s="166">
        <f t="shared" si="14"/>
        <v>2.26237807307532</v>
      </c>
      <c r="AK28" s="168">
        <f t="shared" si="15"/>
        <v>1</v>
      </c>
    </row>
    <row r="29" spans="1:37" x14ac:dyDescent="0.2">
      <c r="A29" s="62" t="s">
        <v>52</v>
      </c>
      <c r="B29" s="62" t="s">
        <v>72</v>
      </c>
      <c r="C29" s="62" t="s">
        <v>201</v>
      </c>
      <c r="D29" s="62"/>
      <c r="E29" s="62">
        <f t="shared" si="2"/>
        <v>4</v>
      </c>
      <c r="F29" s="128">
        <v>35</v>
      </c>
      <c r="G29" s="129">
        <v>0.80238422741861504</v>
      </c>
      <c r="H29" s="129">
        <v>0.57751535836227397</v>
      </c>
      <c r="I29" s="129">
        <v>1.11383004474451</v>
      </c>
      <c r="J29" s="129"/>
      <c r="K29" s="129"/>
      <c r="L29" s="129"/>
      <c r="M29" s="60">
        <f t="shared" si="0"/>
        <v>5</v>
      </c>
      <c r="N29" s="61">
        <f t="shared" si="3"/>
        <v>0.35664108937641797</v>
      </c>
      <c r="O29" s="61">
        <f t="shared" si="16"/>
        <v>0.87161794080261501</v>
      </c>
      <c r="P29" s="129">
        <f t="shared" si="4"/>
        <v>1.1283556900717999</v>
      </c>
      <c r="Q29" s="129">
        <f t="shared" si="5"/>
        <v>1.09034823463302</v>
      </c>
      <c r="R29" s="129">
        <f t="shared" si="6"/>
        <v>1.16767237211582</v>
      </c>
      <c r="S29" s="61">
        <f t="shared" si="7"/>
        <v>1.2448422966641</v>
      </c>
      <c r="T29" s="61">
        <f t="shared" si="1"/>
        <v>2.2130725681935099</v>
      </c>
      <c r="U29" s="61">
        <f t="shared" si="17"/>
        <v>1.2008173305056022</v>
      </c>
      <c r="V29" s="61"/>
      <c r="Y29" s="163" t="s">
        <v>44</v>
      </c>
      <c r="Z29" s="163" t="s">
        <v>66</v>
      </c>
      <c r="AA29" s="163" t="s">
        <v>200</v>
      </c>
      <c r="AB29" s="163">
        <f t="shared" si="22"/>
        <v>3</v>
      </c>
      <c r="AC29" s="166">
        <f t="shared" si="23"/>
        <v>0.84383025559496205</v>
      </c>
      <c r="AD29" s="166">
        <f t="shared" si="24"/>
        <v>1.8551064245264599</v>
      </c>
      <c r="AE29" s="163"/>
      <c r="AF29" s="163">
        <f t="shared" si="10"/>
        <v>11</v>
      </c>
      <c r="AG29" s="168">
        <f t="shared" si="11"/>
        <v>41</v>
      </c>
      <c r="AH29" s="166">
        <f t="shared" si="12"/>
        <v>0.94973361130414602</v>
      </c>
      <c r="AI29" s="166">
        <f t="shared" si="13"/>
        <v>0.70087627205979697</v>
      </c>
      <c r="AJ29" s="166">
        <f t="shared" si="14"/>
        <v>1.28580756345689</v>
      </c>
      <c r="AK29" s="168">
        <f t="shared" si="15"/>
        <v>5</v>
      </c>
    </row>
    <row r="30" spans="1:37" x14ac:dyDescent="0.2">
      <c r="A30" s="62" t="s">
        <v>53</v>
      </c>
      <c r="B30" s="62" t="s">
        <v>162</v>
      </c>
      <c r="C30" s="62" t="s">
        <v>163</v>
      </c>
      <c r="D30" s="62"/>
      <c r="E30" s="62">
        <f t="shared" si="2"/>
        <v>20</v>
      </c>
      <c r="F30" s="128">
        <v>356</v>
      </c>
      <c r="G30" s="129">
        <v>1.2448422966641</v>
      </c>
      <c r="H30" s="129">
        <v>1.1227281967928799</v>
      </c>
      <c r="I30" s="129">
        <v>1.3800528211752201</v>
      </c>
      <c r="J30" s="129"/>
      <c r="K30" s="129"/>
      <c r="L30" s="129"/>
      <c r="M30" s="60">
        <f t="shared" si="0"/>
        <v>5</v>
      </c>
      <c r="N30" s="61">
        <f t="shared" si="3"/>
        <v>0.35664108937641797</v>
      </c>
      <c r="O30" s="61">
        <f t="shared" si="16"/>
        <v>0.87161794080261501</v>
      </c>
      <c r="P30" s="129">
        <f>$G$32</f>
        <v>1.1283556900717999</v>
      </c>
      <c r="Q30" s="129">
        <f t="shared" si="5"/>
        <v>1.09034823463302</v>
      </c>
      <c r="R30" s="129">
        <f t="shared" si="6"/>
        <v>1.16767237211582</v>
      </c>
      <c r="S30" s="61">
        <f t="shared" si="7"/>
        <v>1.2448422966641</v>
      </c>
      <c r="T30" s="61">
        <f t="shared" si="1"/>
        <v>2.2130725681935099</v>
      </c>
      <c r="U30" s="61">
        <f t="shared" si="17"/>
        <v>1.0745949722105221</v>
      </c>
      <c r="V30" s="61"/>
      <c r="Y30" s="163" t="s">
        <v>49</v>
      </c>
      <c r="Z30" s="163" t="s">
        <v>70</v>
      </c>
      <c r="AA30" s="163" t="s">
        <v>200</v>
      </c>
      <c r="AB30" s="163">
        <f t="shared" si="22"/>
        <v>4</v>
      </c>
      <c r="AC30" s="166">
        <f t="shared" si="23"/>
        <v>0.84383025559496205</v>
      </c>
      <c r="AD30" s="166">
        <f t="shared" si="24"/>
        <v>1.8551064245264599</v>
      </c>
      <c r="AE30" s="163"/>
      <c r="AF30" s="163">
        <f t="shared" si="10"/>
        <v>12</v>
      </c>
      <c r="AG30" s="168">
        <f t="shared" si="11"/>
        <v>93</v>
      </c>
      <c r="AH30" s="166">
        <f t="shared" si="12"/>
        <v>1.0295582862836301</v>
      </c>
      <c r="AI30" s="166">
        <f t="shared" si="13"/>
        <v>0.84121459230541096</v>
      </c>
      <c r="AJ30" s="166">
        <f t="shared" si="14"/>
        <v>1.2595355390957901</v>
      </c>
      <c r="AK30" s="168">
        <f t="shared" si="15"/>
        <v>5</v>
      </c>
    </row>
    <row r="31" spans="1:37" x14ac:dyDescent="0.2">
      <c r="A31" s="62" t="s">
        <v>54</v>
      </c>
      <c r="B31" s="62" t="s">
        <v>73</v>
      </c>
      <c r="C31" s="62" t="s">
        <v>201</v>
      </c>
      <c r="D31" s="62"/>
      <c r="E31" s="62">
        <f t="shared" si="2"/>
        <v>2</v>
      </c>
      <c r="F31" s="128">
        <v>40</v>
      </c>
      <c r="G31" s="129">
        <v>0.67328732536610003</v>
      </c>
      <c r="H31" s="129">
        <v>0.49485272542189201</v>
      </c>
      <c r="I31" s="129">
        <v>0.91547014696175799</v>
      </c>
      <c r="J31" s="129"/>
      <c r="K31" s="129"/>
      <c r="L31" s="129"/>
      <c r="M31" s="60">
        <f t="shared" si="0"/>
        <v>2</v>
      </c>
      <c r="N31" s="61">
        <f t="shared" si="3"/>
        <v>0.35664108937641797</v>
      </c>
      <c r="O31" s="61">
        <f t="shared" si="16"/>
        <v>0.87161794080261501</v>
      </c>
      <c r="P31" s="129">
        <f t="shared" si="4"/>
        <v>1.1283556900717999</v>
      </c>
      <c r="Q31" s="129">
        <f t="shared" si="5"/>
        <v>1.09034823463302</v>
      </c>
      <c r="R31" s="129">
        <f t="shared" si="6"/>
        <v>1.16767237211582</v>
      </c>
      <c r="S31" s="61">
        <f t="shared" si="7"/>
        <v>1.2448422966641</v>
      </c>
      <c r="T31" s="61">
        <f t="shared" si="1"/>
        <v>2.2130725681935099</v>
      </c>
      <c r="U31" s="61">
        <f t="shared" si="17"/>
        <v>1.2008173305056022</v>
      </c>
      <c r="V31" s="61"/>
      <c r="Y31" s="163" t="s">
        <v>51</v>
      </c>
      <c r="Z31" s="163" t="s">
        <v>71</v>
      </c>
      <c r="AA31" s="163" t="s">
        <v>200</v>
      </c>
      <c r="AB31" s="163">
        <f t="shared" si="22"/>
        <v>8</v>
      </c>
      <c r="AC31" s="166">
        <f t="shared" si="23"/>
        <v>0.84383025559496205</v>
      </c>
      <c r="AD31" s="166">
        <f t="shared" si="24"/>
        <v>1.8551064245264599</v>
      </c>
      <c r="AE31" s="163"/>
      <c r="AF31" s="163">
        <f t="shared" si="10"/>
        <v>19</v>
      </c>
      <c r="AG31" s="168">
        <f t="shared" si="11"/>
        <v>67</v>
      </c>
      <c r="AH31" s="166">
        <f t="shared" si="12"/>
        <v>1.2325239146431199</v>
      </c>
      <c r="AI31" s="166">
        <f t="shared" si="13"/>
        <v>0.97174944488727799</v>
      </c>
      <c r="AJ31" s="166">
        <f t="shared" si="14"/>
        <v>1.5621747487523101</v>
      </c>
      <c r="AK31" s="168">
        <f t="shared" si="15"/>
        <v>5</v>
      </c>
    </row>
    <row r="32" spans="1:37" x14ac:dyDescent="0.2">
      <c r="A32" s="62"/>
      <c r="B32" s="62" t="s">
        <v>171</v>
      </c>
      <c r="C32" s="62"/>
      <c r="D32" s="62"/>
      <c r="E32" s="62"/>
      <c r="F32" s="128">
        <v>3236</v>
      </c>
      <c r="G32" s="129">
        <v>1.1283556900717999</v>
      </c>
      <c r="H32" s="129">
        <v>1.09034823463302</v>
      </c>
      <c r="I32" s="129">
        <v>1.16767237211582</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75"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1046</v>
      </c>
      <c r="G44" s="129">
        <v>1.0745949722105221</v>
      </c>
      <c r="H44" s="129">
        <v>1.0117271766516613</v>
      </c>
      <c r="I44" s="129">
        <v>1.1413242726501405</v>
      </c>
      <c r="J44" s="129">
        <f>VLOOKUP($C44,$AA$6:$AD$13,3,FALSE)</f>
        <v>0.77901248711192606</v>
      </c>
      <c r="K44" s="129">
        <f>VLOOKUP($C44,$AA$6:$AD$13,4,FALSE)</f>
        <v>1.2646730016769201</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5</v>
      </c>
      <c r="N44" s="61">
        <f>MIN($G$6:$G$31)</f>
        <v>0.35664108937641797</v>
      </c>
      <c r="O44" s="61">
        <f>VLOOKUP(7,$E$5:$G$39,3,FALSE)</f>
        <v>0.87161794080261501</v>
      </c>
      <c r="P44" s="129">
        <f>$G$32</f>
        <v>1.1283556900717999</v>
      </c>
      <c r="Q44" s="129">
        <f>$H$32</f>
        <v>1.09034823463302</v>
      </c>
      <c r="R44" s="129">
        <f>$I$32</f>
        <v>1.16767237211582</v>
      </c>
      <c r="S44" s="61">
        <f>VLOOKUP(20,$E$5:$G$39,3,FALSE)</f>
        <v>1.2448422966641</v>
      </c>
      <c r="T44" s="61">
        <f>MAX($G$6:$G$31)</f>
        <v>2.2130725681935099</v>
      </c>
    </row>
    <row r="45" spans="1:22" x14ac:dyDescent="0.2">
      <c r="C45" s="62" t="s">
        <v>201</v>
      </c>
      <c r="D45" s="62"/>
      <c r="E45" s="62"/>
      <c r="F45" s="128">
        <v>1240</v>
      </c>
      <c r="G45" s="129">
        <v>1.2008173305056022</v>
      </c>
      <c r="H45" s="129">
        <v>1.1361749948336319</v>
      </c>
      <c r="I45" s="129">
        <v>1.2690902614017552</v>
      </c>
      <c r="J45" s="129">
        <f>VLOOKUP($C45,$AA$14:$AD$22,3,FALSE)</f>
        <v>0.35664108937641797</v>
      </c>
      <c r="K45" s="129">
        <f>VLOOKUP($C45,$AA$14:$AD$22,4,FALSE)</f>
        <v>2.2130725681935099</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5</v>
      </c>
      <c r="N45" s="61">
        <f>MIN($G$6:$G$31)</f>
        <v>0.35664108937641797</v>
      </c>
      <c r="O45" s="61">
        <f>VLOOKUP(7,$E$5:$G$39,3,FALSE)</f>
        <v>0.87161794080261501</v>
      </c>
      <c r="P45" s="129">
        <f>$G$32</f>
        <v>1.1283556900717999</v>
      </c>
      <c r="Q45" s="129">
        <f t="shared" ref="Q45:Q46" si="25">$H$32</f>
        <v>1.09034823463302</v>
      </c>
      <c r="R45" s="129">
        <f t="shared" ref="R45:R46" si="26">$I$32</f>
        <v>1.16767237211582</v>
      </c>
      <c r="S45" s="61">
        <f>VLOOKUP(20,$E$5:$G$39,3,FALSE)</f>
        <v>1.2448422966641</v>
      </c>
      <c r="T45" s="61">
        <f t="shared" ref="T45:T46" si="27">MAX($G$6:$G$31)</f>
        <v>2.2130725681935099</v>
      </c>
    </row>
    <row r="46" spans="1:22" x14ac:dyDescent="0.2">
      <c r="C46" s="62" t="s">
        <v>200</v>
      </c>
      <c r="D46" s="62"/>
      <c r="E46" s="62"/>
      <c r="F46" s="128">
        <v>950</v>
      </c>
      <c r="G46" s="129">
        <v>1.102254400315593</v>
      </c>
      <c r="H46" s="129">
        <v>1.0346966452475219</v>
      </c>
      <c r="I46" s="129">
        <v>1.1741708244247522</v>
      </c>
      <c r="J46" s="129">
        <f>VLOOKUP($C46,$AA$23:$AD$31,3,FALSE)</f>
        <v>0.84383025559496205</v>
      </c>
      <c r="K46" s="129">
        <f>VLOOKUP($C46,$AA$23:$AD$31,4,FALSE)</f>
        <v>1.8551064245264599</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5</v>
      </c>
      <c r="N46" s="61">
        <f>MIN($G$6:$G$31)</f>
        <v>0.35664108937641797</v>
      </c>
      <c r="O46" s="61">
        <f>VLOOKUP(7,$E$5:$G$39,3,FALSE)</f>
        <v>0.87161794080261501</v>
      </c>
      <c r="P46" s="129">
        <f t="shared" ref="P46" si="28">$G$32</f>
        <v>1.1283556900717999</v>
      </c>
      <c r="Q46" s="129">
        <f t="shared" si="25"/>
        <v>1.09034823463302</v>
      </c>
      <c r="R46" s="129">
        <f t="shared" si="26"/>
        <v>1.16767237211582</v>
      </c>
      <c r="S46" s="61">
        <f>VLOOKUP(20,$E$5:$G$39,3,FALSE)</f>
        <v>1.2448422966641</v>
      </c>
      <c r="T46" s="61">
        <f t="shared" si="27"/>
        <v>2.2130725681935099</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K2:N2" xr:uid="{00000000-0002-0000-2700-000000000000}">
      <formula1>"High = Worst,Low = Worst"</formula1>
    </dataValidation>
    <dataValidation type="list" allowBlank="1" showInputMessage="1" showErrorMessage="1" sqref="C2:D2" xr:uid="{00000000-0002-0000-2700-000001000000}">
      <formula1>"Better / Worse,Higher / Lower,Significance not measured"</formula1>
    </dataValidation>
  </dataValidations>
  <pageMargins left="0.75" right="0.75" top="1" bottom="1" header="0.5" footer="0.5"/>
  <pageSetup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6">
    <tabColor theme="6" tint="0.39997558519241921"/>
  </sheetPr>
  <dimension ref="A1:AK55"/>
  <sheetViews>
    <sheetView workbookViewId="0">
      <selection activeCell="A46" sqref="A46:XFD46"/>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8" width="7.33203125" style="21" customWidth="1"/>
    <col min="9" max="9" width="6.886718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5.554687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18</v>
      </c>
      <c r="F6" s="128">
        <v>54</v>
      </c>
      <c r="G6" s="129">
        <v>0.56385089276391398</v>
      </c>
      <c r="H6" s="129">
        <v>0.43243373332684099</v>
      </c>
      <c r="I6" s="129">
        <v>0.73491111108373297</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5</v>
      </c>
      <c r="N6" s="61">
        <f>MIN($G$6:$G$32)</f>
        <v>3.2421917216038001E-2</v>
      </c>
      <c r="O6" s="61">
        <f>VLOOKUP(7,$E$5:$G$39,3,FALSE)</f>
        <v>0.26348951769962198</v>
      </c>
      <c r="P6" s="129">
        <f>$G$32</f>
        <v>0.46026869928762998</v>
      </c>
      <c r="Q6" s="129">
        <f>$H$32</f>
        <v>0.436150986738368</v>
      </c>
      <c r="R6" s="129">
        <f>$I$32</f>
        <v>0.48571353588093602</v>
      </c>
      <c r="S6" s="61">
        <f>VLOOKUP(20,$E$5:$G$39,3,FALSE)</f>
        <v>0.62884292901062</v>
      </c>
      <c r="T6" s="61">
        <f t="shared" ref="T6:T31" si="1">MAX($G$6:$G$31)</f>
        <v>0.93798124037519304</v>
      </c>
      <c r="U6" s="61">
        <f>VLOOKUP(C6,$C$43:$I$46,5,FALSE)</f>
        <v>0.36411880344363423</v>
      </c>
      <c r="V6" s="61"/>
      <c r="Y6" s="159" t="s">
        <v>33</v>
      </c>
      <c r="Z6" s="159" t="s">
        <v>58</v>
      </c>
      <c r="AA6" s="159" t="s">
        <v>163</v>
      </c>
      <c r="AB6" s="159">
        <f>RANK(AH6,$AH$6:$AH$13,1)</f>
        <v>1</v>
      </c>
      <c r="AC6" s="164">
        <f>MIN($AH$6:$AH$13)</f>
        <v>0.1328125</v>
      </c>
      <c r="AD6" s="164">
        <f>MAX($AH$6:$AH$13)</f>
        <v>0.75958634574906203</v>
      </c>
      <c r="AE6" s="159"/>
      <c r="AF6" s="159">
        <f>VLOOKUP($Y6,$A$6:$I$31,5,FALSE)</f>
        <v>3</v>
      </c>
      <c r="AG6" s="160">
        <f>VLOOKUP($Y6,$A$6:$I$31,6,FALSE)</f>
        <v>17</v>
      </c>
      <c r="AH6" s="161">
        <f>VLOOKUP($Y6,$A$6:$I$31,7,FALSE)</f>
        <v>0.1328125</v>
      </c>
      <c r="AI6" s="161">
        <f>VLOOKUP($Y6,$A$6:$I$31,8,FALSE)</f>
        <v>8.2941430036257896E-2</v>
      </c>
      <c r="AJ6" s="161">
        <f>VLOOKUP($Y6,$A$6:$I$31,9,FALSE)</f>
        <v>0.21260626900702201</v>
      </c>
      <c r="AK6" s="160">
        <f>VLOOKUP($Y6,$A$6:$M$31,13,FALSE)</f>
        <v>2</v>
      </c>
    </row>
    <row r="7" spans="1:37" x14ac:dyDescent="0.2">
      <c r="A7" s="62" t="s">
        <v>30</v>
      </c>
      <c r="B7" s="62" t="s">
        <v>56</v>
      </c>
      <c r="C7" s="62" t="s">
        <v>200</v>
      </c>
      <c r="D7" s="62"/>
      <c r="E7" s="62">
        <f t="shared" ref="E7:E31" si="2">RANK(G7,$G$6:$G$31,1)</f>
        <v>25</v>
      </c>
      <c r="F7" s="128">
        <v>96</v>
      </c>
      <c r="G7" s="129">
        <v>0.85371276122721196</v>
      </c>
      <c r="H7" s="129">
        <v>0.69965431936468403</v>
      </c>
      <c r="I7" s="129">
        <v>1.0413379378168499</v>
      </c>
      <c r="J7" s="129"/>
      <c r="K7" s="129"/>
      <c r="L7" s="129"/>
      <c r="M7" s="60">
        <f t="shared" si="0"/>
        <v>1</v>
      </c>
      <c r="N7" s="61">
        <f t="shared" ref="N7:N31" si="3">MIN($G$6:$G$32)</f>
        <v>3.2421917216038001E-2</v>
      </c>
      <c r="O7" s="61">
        <f>VLOOKUP(7,$E$5:$G$39,3,FALSE)</f>
        <v>0.26348951769962198</v>
      </c>
      <c r="P7" s="129">
        <f t="shared" ref="P7:P31" si="4">$G$32</f>
        <v>0.46026869928762998</v>
      </c>
      <c r="Q7" s="129">
        <f t="shared" ref="Q7:Q31" si="5">$H$32</f>
        <v>0.436150986738368</v>
      </c>
      <c r="R7" s="129">
        <f t="shared" ref="R7:R31" si="6">$I$32</f>
        <v>0.48571353588093602</v>
      </c>
      <c r="S7" s="61">
        <f t="shared" ref="S7:S31" si="7">VLOOKUP(20,$E$5:$G$39,3,FALSE)</f>
        <v>0.62884292901062</v>
      </c>
      <c r="T7" s="61">
        <f t="shared" si="1"/>
        <v>0.93798124037519304</v>
      </c>
      <c r="U7" s="61">
        <f>VLOOKUP(C7,$C$43:$I$46,5,FALSE)</f>
        <v>0.52792184436167866</v>
      </c>
      <c r="V7" s="61"/>
      <c r="Y7" s="159" t="s">
        <v>35</v>
      </c>
      <c r="Z7" s="159" t="s">
        <v>60</v>
      </c>
      <c r="AA7" s="159" t="s">
        <v>163</v>
      </c>
      <c r="AB7" s="159">
        <f t="shared" ref="AB7:AB12" si="8">RANK(AH7,$AH$6:$AH$13,1)</f>
        <v>6</v>
      </c>
      <c r="AC7" s="164">
        <f>MIN($AH$6:$AH$13)</f>
        <v>0.1328125</v>
      </c>
      <c r="AD7" s="164">
        <f t="shared" ref="AD7:AD13" si="9">MAX($AH$6:$AH$13)</f>
        <v>0.75958634574906203</v>
      </c>
      <c r="AE7" s="159"/>
      <c r="AF7" s="159">
        <f t="shared" ref="AF7:AF31" si="10">VLOOKUP($Y7,$A$6:$I$31,5,FALSE)</f>
        <v>20</v>
      </c>
      <c r="AG7" s="160">
        <f t="shared" ref="AG7:AG31" si="11">VLOOKUP($Y7,$A$6:$I$31,6,FALSE)</f>
        <v>90</v>
      </c>
      <c r="AH7" s="161">
        <f t="shared" ref="AH7:AH31" si="12">VLOOKUP($Y7,$A$6:$I$31,7,FALSE)</f>
        <v>0.62884292901062</v>
      </c>
      <c r="AI7" s="161">
        <f t="shared" ref="AI7:AI31" si="13">VLOOKUP($Y7,$A$6:$I$31,8,FALSE)</f>
        <v>0.51192367119815596</v>
      </c>
      <c r="AJ7" s="161">
        <f t="shared" ref="AJ7:AJ31" si="14">VLOOKUP($Y7,$A$6:$I$31,9,FALSE)</f>
        <v>0.77225832641275205</v>
      </c>
      <c r="AK7" s="160">
        <f t="shared" ref="AK7:AK31" si="15">VLOOKUP($Y7,$A$6:$M$31,13,FALSE)</f>
        <v>1</v>
      </c>
    </row>
    <row r="8" spans="1:37" x14ac:dyDescent="0.2">
      <c r="A8" s="62" t="s">
        <v>31</v>
      </c>
      <c r="B8" s="62" t="s">
        <v>57</v>
      </c>
      <c r="C8" s="62" t="s">
        <v>200</v>
      </c>
      <c r="D8" s="62"/>
      <c r="E8" s="62">
        <f t="shared" si="2"/>
        <v>11</v>
      </c>
      <c r="F8" s="128">
        <v>52</v>
      </c>
      <c r="G8" s="129">
        <v>0.419422487497984</v>
      </c>
      <c r="H8" s="129">
        <v>0.32000661006963299</v>
      </c>
      <c r="I8" s="129">
        <v>0.54955344017591301</v>
      </c>
      <c r="J8" s="129"/>
      <c r="K8" s="129"/>
      <c r="L8" s="129"/>
      <c r="M8" s="60">
        <f t="shared" si="0"/>
        <v>5</v>
      </c>
      <c r="N8" s="61">
        <f t="shared" si="3"/>
        <v>3.2421917216038001E-2</v>
      </c>
      <c r="O8" s="61">
        <f t="shared" ref="O8:O31" si="16">VLOOKUP(7,$E$5:$G$39,3,FALSE)</f>
        <v>0.26348951769962198</v>
      </c>
      <c r="P8" s="129">
        <f t="shared" si="4"/>
        <v>0.46026869928762998</v>
      </c>
      <c r="Q8" s="129">
        <f t="shared" si="5"/>
        <v>0.436150986738368</v>
      </c>
      <c r="R8" s="129">
        <f t="shared" si="6"/>
        <v>0.48571353588093602</v>
      </c>
      <c r="S8" s="61">
        <f t="shared" si="7"/>
        <v>0.62884292901062</v>
      </c>
      <c r="T8" s="61">
        <f t="shared" si="1"/>
        <v>0.93798124037519304</v>
      </c>
      <c r="U8" s="61">
        <f t="shared" ref="U8:U31" si="17">VLOOKUP(C8,$C$43:$I$46,5,FALSE)</f>
        <v>0.52792184436167866</v>
      </c>
      <c r="V8" s="61"/>
      <c r="Y8" s="159" t="s">
        <v>41</v>
      </c>
      <c r="Z8" s="159" t="s">
        <v>64</v>
      </c>
      <c r="AA8" s="159" t="s">
        <v>163</v>
      </c>
      <c r="AB8" s="159">
        <f t="shared" si="8"/>
        <v>5</v>
      </c>
      <c r="AC8" s="164">
        <f t="shared" ref="AC8:AC13" si="18">MIN($AH$6:$AH$13)</f>
        <v>0.1328125</v>
      </c>
      <c r="AD8" s="164">
        <f>MAX($AH$6:$AH$13)</f>
        <v>0.75958634574906203</v>
      </c>
      <c r="AE8" s="159"/>
      <c r="AF8" s="159">
        <f t="shared" si="10"/>
        <v>15</v>
      </c>
      <c r="AG8" s="160">
        <f t="shared" si="11"/>
        <v>49</v>
      </c>
      <c r="AH8" s="161">
        <f t="shared" si="12"/>
        <v>0.45236336779911401</v>
      </c>
      <c r="AI8" s="161">
        <f t="shared" si="13"/>
        <v>0.34236336409333801</v>
      </c>
      <c r="AJ8" s="161">
        <f t="shared" si="14"/>
        <v>0.59749404529864003</v>
      </c>
      <c r="AK8" s="160">
        <f t="shared" si="15"/>
        <v>5</v>
      </c>
    </row>
    <row r="9" spans="1:37" x14ac:dyDescent="0.2">
      <c r="A9" s="62" t="s">
        <v>32</v>
      </c>
      <c r="B9" s="62" t="s">
        <v>156</v>
      </c>
      <c r="C9" s="62" t="s">
        <v>201</v>
      </c>
      <c r="D9" s="62"/>
      <c r="E9" s="62">
        <f t="shared" si="2"/>
        <v>14</v>
      </c>
      <c r="F9" s="128">
        <v>76</v>
      </c>
      <c r="G9" s="129">
        <v>0.43826768929127502</v>
      </c>
      <c r="H9" s="129">
        <v>0.35032773782350501</v>
      </c>
      <c r="I9" s="129">
        <v>0.548161067569647</v>
      </c>
      <c r="J9" s="129"/>
      <c r="K9" s="129"/>
      <c r="L9" s="129"/>
      <c r="M9" s="60">
        <f t="shared" si="0"/>
        <v>5</v>
      </c>
      <c r="N9" s="61">
        <f t="shared" si="3"/>
        <v>3.2421917216038001E-2</v>
      </c>
      <c r="O9" s="61">
        <f t="shared" si="16"/>
        <v>0.26348951769962198</v>
      </c>
      <c r="P9" s="129">
        <f t="shared" si="4"/>
        <v>0.46026869928762998</v>
      </c>
      <c r="Q9" s="129">
        <f t="shared" si="5"/>
        <v>0.436150986738368</v>
      </c>
      <c r="R9" s="129">
        <f t="shared" si="6"/>
        <v>0.48571353588093602</v>
      </c>
      <c r="S9" s="61">
        <f t="shared" si="7"/>
        <v>0.62884292901062</v>
      </c>
      <c r="T9" s="61">
        <f t="shared" si="1"/>
        <v>0.93798124037519304</v>
      </c>
      <c r="U9" s="61">
        <f t="shared" si="17"/>
        <v>0.36411880344363423</v>
      </c>
      <c r="V9" s="61"/>
      <c r="X9" s="63"/>
      <c r="Y9" s="159" t="s">
        <v>45</v>
      </c>
      <c r="Z9" s="159" t="s">
        <v>67</v>
      </c>
      <c r="AA9" s="159" t="s">
        <v>163</v>
      </c>
      <c r="AB9" s="159">
        <f t="shared" si="8"/>
        <v>2</v>
      </c>
      <c r="AC9" s="164">
        <f t="shared" si="18"/>
        <v>0.1328125</v>
      </c>
      <c r="AD9" s="164">
        <f t="shared" si="9"/>
        <v>0.75958634574906203</v>
      </c>
      <c r="AE9" s="159"/>
      <c r="AF9" s="159">
        <f t="shared" si="10"/>
        <v>7</v>
      </c>
      <c r="AG9" s="160">
        <f t="shared" si="11"/>
        <v>23</v>
      </c>
      <c r="AH9" s="161">
        <f t="shared" si="12"/>
        <v>0.26348951769962198</v>
      </c>
      <c r="AI9" s="161">
        <f t="shared" si="13"/>
        <v>0.175647050216305</v>
      </c>
      <c r="AJ9" s="161">
        <f t="shared" si="14"/>
        <v>0.39508882144378599</v>
      </c>
      <c r="AK9" s="160">
        <f t="shared" si="15"/>
        <v>2</v>
      </c>
    </row>
    <row r="10" spans="1:37" x14ac:dyDescent="0.2">
      <c r="A10" s="62" t="s">
        <v>33</v>
      </c>
      <c r="B10" s="62" t="s">
        <v>58</v>
      </c>
      <c r="C10" s="62" t="s">
        <v>163</v>
      </c>
      <c r="D10" s="62"/>
      <c r="E10" s="62">
        <f t="shared" si="2"/>
        <v>3</v>
      </c>
      <c r="F10" s="128">
        <v>17</v>
      </c>
      <c r="G10" s="129">
        <v>0.1328125</v>
      </c>
      <c r="H10" s="129">
        <v>8.2941430036257896E-2</v>
      </c>
      <c r="I10" s="129">
        <v>0.21260626900702201</v>
      </c>
      <c r="J10" s="129"/>
      <c r="K10" s="129"/>
      <c r="L10" s="129"/>
      <c r="M10" s="60">
        <f t="shared" si="0"/>
        <v>2</v>
      </c>
      <c r="N10" s="61">
        <f t="shared" si="3"/>
        <v>3.2421917216038001E-2</v>
      </c>
      <c r="O10" s="61">
        <f t="shared" si="16"/>
        <v>0.26348951769962198</v>
      </c>
      <c r="P10" s="129">
        <f t="shared" si="4"/>
        <v>0.46026869928762998</v>
      </c>
      <c r="Q10" s="129">
        <f t="shared" si="5"/>
        <v>0.436150986738368</v>
      </c>
      <c r="R10" s="129">
        <f t="shared" si="6"/>
        <v>0.48571353588093602</v>
      </c>
      <c r="S10" s="61">
        <f t="shared" si="7"/>
        <v>0.62884292901062</v>
      </c>
      <c r="T10" s="61">
        <f t="shared" si="1"/>
        <v>0.93798124037519304</v>
      </c>
      <c r="U10" s="61">
        <f t="shared" si="17"/>
        <v>0.50236801282117138</v>
      </c>
      <c r="V10" s="61"/>
      <c r="Y10" s="159" t="s">
        <v>46</v>
      </c>
      <c r="Z10" s="159" t="s">
        <v>68</v>
      </c>
      <c r="AA10" s="159" t="s">
        <v>163</v>
      </c>
      <c r="AB10" s="159">
        <f t="shared" si="8"/>
        <v>8</v>
      </c>
      <c r="AC10" s="164">
        <f t="shared" si="18"/>
        <v>0.1328125</v>
      </c>
      <c r="AD10" s="164">
        <f t="shared" si="9"/>
        <v>0.75958634574906203</v>
      </c>
      <c r="AE10" s="159"/>
      <c r="AF10" s="159">
        <f t="shared" si="10"/>
        <v>24</v>
      </c>
      <c r="AG10" s="160">
        <f t="shared" si="11"/>
        <v>83</v>
      </c>
      <c r="AH10" s="161">
        <f t="shared" si="12"/>
        <v>0.75958634574906203</v>
      </c>
      <c r="AI10" s="161">
        <f t="shared" si="13"/>
        <v>0.61321130619769504</v>
      </c>
      <c r="AJ10" s="161">
        <f t="shared" si="14"/>
        <v>0.94057080161651896</v>
      </c>
      <c r="AK10" s="160">
        <f t="shared" si="15"/>
        <v>1</v>
      </c>
    </row>
    <row r="11" spans="1:37" x14ac:dyDescent="0.2">
      <c r="A11" s="62" t="s">
        <v>34</v>
      </c>
      <c r="B11" s="62" t="s">
        <v>59</v>
      </c>
      <c r="C11" s="62" t="s">
        <v>200</v>
      </c>
      <c r="D11" s="62"/>
      <c r="E11" s="62">
        <f t="shared" si="2"/>
        <v>23</v>
      </c>
      <c r="F11" s="128">
        <v>112</v>
      </c>
      <c r="G11" s="129">
        <v>0.72590576187698497</v>
      </c>
      <c r="H11" s="129">
        <v>0.60367872269854295</v>
      </c>
      <c r="I11" s="129">
        <v>0.87266287925882402</v>
      </c>
      <c r="J11" s="129"/>
      <c r="K11" s="129"/>
      <c r="L11" s="129"/>
      <c r="M11" s="60">
        <f t="shared" si="0"/>
        <v>1</v>
      </c>
      <c r="N11" s="61">
        <f t="shared" si="3"/>
        <v>3.2421917216038001E-2</v>
      </c>
      <c r="O11" s="61">
        <f t="shared" si="16"/>
        <v>0.26348951769962198</v>
      </c>
      <c r="P11" s="129">
        <f t="shared" si="4"/>
        <v>0.46026869928762998</v>
      </c>
      <c r="Q11" s="129">
        <f t="shared" si="5"/>
        <v>0.436150986738368</v>
      </c>
      <c r="R11" s="129">
        <f t="shared" si="6"/>
        <v>0.48571353588093602</v>
      </c>
      <c r="S11" s="61">
        <f t="shared" si="7"/>
        <v>0.62884292901062</v>
      </c>
      <c r="T11" s="61">
        <f t="shared" si="1"/>
        <v>0.93798124037519304</v>
      </c>
      <c r="U11" s="61">
        <f t="shared" si="17"/>
        <v>0.52792184436167866</v>
      </c>
      <c r="V11" s="61"/>
      <c r="Y11" s="159" t="s">
        <v>47</v>
      </c>
      <c r="Z11" s="159" t="s">
        <v>69</v>
      </c>
      <c r="AA11" s="159" t="s">
        <v>163</v>
      </c>
      <c r="AB11" s="159">
        <f t="shared" si="8"/>
        <v>4</v>
      </c>
      <c r="AC11" s="164">
        <f t="shared" si="18"/>
        <v>0.1328125</v>
      </c>
      <c r="AD11" s="164">
        <f t="shared" si="9"/>
        <v>0.75958634574906203</v>
      </c>
      <c r="AE11" s="159"/>
      <c r="AF11" s="159">
        <f t="shared" si="10"/>
        <v>13</v>
      </c>
      <c r="AG11" s="160">
        <f t="shared" si="11"/>
        <v>24</v>
      </c>
      <c r="AH11" s="161">
        <f t="shared" si="12"/>
        <v>0.43580897040130701</v>
      </c>
      <c r="AI11" s="161">
        <f t="shared" si="13"/>
        <v>0.29304451870177001</v>
      </c>
      <c r="AJ11" s="161">
        <f t="shared" si="14"/>
        <v>0.647673141352055</v>
      </c>
      <c r="AK11" s="160">
        <f t="shared" si="15"/>
        <v>5</v>
      </c>
    </row>
    <row r="12" spans="1:37" x14ac:dyDescent="0.2">
      <c r="A12" s="62" t="s">
        <v>35</v>
      </c>
      <c r="B12" s="62" t="s">
        <v>60</v>
      </c>
      <c r="C12" s="62" t="s">
        <v>163</v>
      </c>
      <c r="D12" s="62"/>
      <c r="E12" s="62">
        <f t="shared" si="2"/>
        <v>20</v>
      </c>
      <c r="F12" s="128">
        <v>90</v>
      </c>
      <c r="G12" s="129">
        <v>0.62884292901062</v>
      </c>
      <c r="H12" s="129">
        <v>0.51192367119815596</v>
      </c>
      <c r="I12" s="129">
        <v>0.77225832641275205</v>
      </c>
      <c r="J12" s="129"/>
      <c r="K12" s="129"/>
      <c r="L12" s="129"/>
      <c r="M12" s="60">
        <f t="shared" si="0"/>
        <v>1</v>
      </c>
      <c r="N12" s="61">
        <f t="shared" si="3"/>
        <v>3.2421917216038001E-2</v>
      </c>
      <c r="O12" s="61">
        <f t="shared" si="16"/>
        <v>0.26348951769962198</v>
      </c>
      <c r="P12" s="129">
        <f t="shared" si="4"/>
        <v>0.46026869928762998</v>
      </c>
      <c r="Q12" s="129">
        <f t="shared" si="5"/>
        <v>0.436150986738368</v>
      </c>
      <c r="R12" s="129">
        <f t="shared" si="6"/>
        <v>0.48571353588093602</v>
      </c>
      <c r="S12" s="61">
        <f t="shared" si="7"/>
        <v>0.62884292901062</v>
      </c>
      <c r="T12" s="61">
        <f t="shared" si="1"/>
        <v>0.93798124037519304</v>
      </c>
      <c r="U12" s="61">
        <f t="shared" si="17"/>
        <v>0.50236801282117138</v>
      </c>
      <c r="V12" s="61"/>
      <c r="Y12" s="159" t="s">
        <v>50</v>
      </c>
      <c r="Z12" s="159" t="s">
        <v>161</v>
      </c>
      <c r="AA12" s="159" t="s">
        <v>163</v>
      </c>
      <c r="AB12" s="159">
        <f t="shared" si="8"/>
        <v>3</v>
      </c>
      <c r="AC12" s="164">
        <f t="shared" si="18"/>
        <v>0.1328125</v>
      </c>
      <c r="AD12" s="164">
        <f t="shared" si="9"/>
        <v>0.75958634574906203</v>
      </c>
      <c r="AE12" s="159"/>
      <c r="AF12" s="159">
        <f t="shared" si="10"/>
        <v>10</v>
      </c>
      <c r="AG12" s="160">
        <f t="shared" si="11"/>
        <v>23</v>
      </c>
      <c r="AH12" s="161">
        <f t="shared" si="12"/>
        <v>0.40823571175008899</v>
      </c>
      <c r="AI12" s="161">
        <f t="shared" si="13"/>
        <v>0.27219024161327499</v>
      </c>
      <c r="AJ12" s="161">
        <f t="shared" si="14"/>
        <v>0.61186191176387605</v>
      </c>
      <c r="AK12" s="160">
        <f t="shared" si="15"/>
        <v>5</v>
      </c>
    </row>
    <row r="13" spans="1:37" x14ac:dyDescent="0.2">
      <c r="A13" s="62" t="s">
        <v>36</v>
      </c>
      <c r="B13" s="62" t="s">
        <v>61</v>
      </c>
      <c r="C13" s="62" t="s">
        <v>201</v>
      </c>
      <c r="D13" s="62"/>
      <c r="E13" s="62">
        <f t="shared" si="2"/>
        <v>1</v>
      </c>
      <c r="F13" s="128">
        <v>6</v>
      </c>
      <c r="G13" s="129">
        <v>3.2421917216038001E-2</v>
      </c>
      <c r="H13" s="129">
        <v>1.4860075731768599E-2</v>
      </c>
      <c r="I13" s="129">
        <v>7.0723903233891397E-2</v>
      </c>
      <c r="J13" s="129"/>
      <c r="K13" s="129"/>
      <c r="L13" s="129"/>
      <c r="M13" s="60">
        <f t="shared" si="0"/>
        <v>2</v>
      </c>
      <c r="N13" s="61">
        <f t="shared" si="3"/>
        <v>3.2421917216038001E-2</v>
      </c>
      <c r="O13" s="61">
        <f t="shared" si="16"/>
        <v>0.26348951769962198</v>
      </c>
      <c r="P13" s="129">
        <f t="shared" si="4"/>
        <v>0.46026869928762998</v>
      </c>
      <c r="Q13" s="129">
        <f t="shared" si="5"/>
        <v>0.436150986738368</v>
      </c>
      <c r="R13" s="129">
        <f t="shared" si="6"/>
        <v>0.48571353588093602</v>
      </c>
      <c r="S13" s="61">
        <f t="shared" si="7"/>
        <v>0.62884292901062</v>
      </c>
      <c r="T13" s="61">
        <f t="shared" si="1"/>
        <v>0.93798124037519304</v>
      </c>
      <c r="U13" s="61">
        <f t="shared" si="17"/>
        <v>0.36411880344363423</v>
      </c>
      <c r="V13" s="61"/>
      <c r="Y13" s="159" t="s">
        <v>53</v>
      </c>
      <c r="Z13" s="159" t="s">
        <v>162</v>
      </c>
      <c r="AA13" s="159" t="s">
        <v>163</v>
      </c>
      <c r="AB13" s="159">
        <f>RANK(AH13,$AH$6:$AH$13,1)</f>
        <v>7</v>
      </c>
      <c r="AC13" s="164">
        <f t="shared" si="18"/>
        <v>0.1328125</v>
      </c>
      <c r="AD13" s="164">
        <f t="shared" si="9"/>
        <v>0.75958634574906203</v>
      </c>
      <c r="AE13" s="159"/>
      <c r="AF13" s="159">
        <f t="shared" si="10"/>
        <v>21</v>
      </c>
      <c r="AG13" s="160">
        <f t="shared" si="11"/>
        <v>180</v>
      </c>
      <c r="AH13" s="161">
        <f t="shared" si="12"/>
        <v>0.62941464438072603</v>
      </c>
      <c r="AI13" s="161">
        <f t="shared" si="13"/>
        <v>0.54415259386728299</v>
      </c>
      <c r="AJ13" s="161">
        <f t="shared" si="14"/>
        <v>0.72793843336441599</v>
      </c>
      <c r="AK13" s="160">
        <f t="shared" si="15"/>
        <v>1</v>
      </c>
    </row>
    <row r="14" spans="1:37" x14ac:dyDescent="0.2">
      <c r="A14" s="62" t="s">
        <v>37</v>
      </c>
      <c r="B14" s="62" t="s">
        <v>157</v>
      </c>
      <c r="C14" s="62" t="s">
        <v>201</v>
      </c>
      <c r="D14" s="62"/>
      <c r="E14" s="62">
        <f t="shared" si="2"/>
        <v>5</v>
      </c>
      <c r="F14" s="128">
        <v>52</v>
      </c>
      <c r="G14" s="129">
        <v>0.21623419827012599</v>
      </c>
      <c r="H14" s="129">
        <v>0.16494563306919499</v>
      </c>
      <c r="I14" s="129">
        <v>0.28342527027860198</v>
      </c>
      <c r="J14" s="129"/>
      <c r="K14" s="129"/>
      <c r="L14" s="129"/>
      <c r="M14" s="60">
        <f t="shared" si="0"/>
        <v>2</v>
      </c>
      <c r="N14" s="61">
        <f t="shared" si="3"/>
        <v>3.2421917216038001E-2</v>
      </c>
      <c r="O14" s="61">
        <f t="shared" si="16"/>
        <v>0.26348951769962198</v>
      </c>
      <c r="P14" s="129">
        <f t="shared" si="4"/>
        <v>0.46026869928762998</v>
      </c>
      <c r="Q14" s="129">
        <f t="shared" si="5"/>
        <v>0.436150986738368</v>
      </c>
      <c r="R14" s="129">
        <f t="shared" si="6"/>
        <v>0.48571353588093602</v>
      </c>
      <c r="S14" s="61">
        <f t="shared" si="7"/>
        <v>0.62884292901062</v>
      </c>
      <c r="T14" s="61">
        <f t="shared" si="1"/>
        <v>0.93798124037519304</v>
      </c>
      <c r="U14" s="61">
        <f t="shared" si="17"/>
        <v>0.36411880344363423</v>
      </c>
      <c r="V14" s="61"/>
      <c r="Y14" s="162" t="s">
        <v>29</v>
      </c>
      <c r="Z14" s="162" t="s">
        <v>55</v>
      </c>
      <c r="AA14" s="162" t="s">
        <v>201</v>
      </c>
      <c r="AB14" s="162">
        <f>RANK(AH14,$AH$14:$AH$22,1)</f>
        <v>7</v>
      </c>
      <c r="AC14" s="165">
        <f t="shared" ref="AC14:AC22" si="19">MIN($AH$14:$AH$22)</f>
        <v>3.2421917216038001E-2</v>
      </c>
      <c r="AD14" s="165">
        <f>MAX($AH$14:$AH$22)</f>
        <v>0.93798124037519304</v>
      </c>
      <c r="AE14" s="162"/>
      <c r="AF14" s="162">
        <f t="shared" si="10"/>
        <v>18</v>
      </c>
      <c r="AG14" s="167">
        <f t="shared" si="11"/>
        <v>54</v>
      </c>
      <c r="AH14" s="165">
        <f t="shared" si="12"/>
        <v>0.56385089276391398</v>
      </c>
      <c r="AI14" s="165">
        <f t="shared" si="13"/>
        <v>0.43243373332684099</v>
      </c>
      <c r="AJ14" s="165">
        <f t="shared" si="14"/>
        <v>0.73491111108373297</v>
      </c>
      <c r="AK14" s="167">
        <f t="shared" si="15"/>
        <v>5</v>
      </c>
    </row>
    <row r="15" spans="1:37" x14ac:dyDescent="0.2">
      <c r="A15" s="62" t="s">
        <v>38</v>
      </c>
      <c r="B15" s="62" t="s">
        <v>62</v>
      </c>
      <c r="C15" s="62" t="s">
        <v>201</v>
      </c>
      <c r="D15" s="62"/>
      <c r="E15" s="62">
        <f t="shared" si="2"/>
        <v>26</v>
      </c>
      <c r="F15" s="128">
        <v>67</v>
      </c>
      <c r="G15" s="129">
        <v>0.93798124037519304</v>
      </c>
      <c r="H15" s="129">
        <v>0.73932021242952095</v>
      </c>
      <c r="I15" s="129">
        <v>1.18938437147543</v>
      </c>
      <c r="J15" s="129"/>
      <c r="K15" s="129"/>
      <c r="L15" s="129"/>
      <c r="M15" s="60">
        <f t="shared" si="0"/>
        <v>1</v>
      </c>
      <c r="N15" s="61">
        <f t="shared" si="3"/>
        <v>3.2421917216038001E-2</v>
      </c>
      <c r="O15" s="61">
        <f t="shared" si="16"/>
        <v>0.26348951769962198</v>
      </c>
      <c r="P15" s="129">
        <f t="shared" si="4"/>
        <v>0.46026869928762998</v>
      </c>
      <c r="Q15" s="129">
        <f t="shared" si="5"/>
        <v>0.436150986738368</v>
      </c>
      <c r="R15" s="129">
        <f t="shared" si="6"/>
        <v>0.48571353588093602</v>
      </c>
      <c r="S15" s="61">
        <f t="shared" si="7"/>
        <v>0.62884292901062</v>
      </c>
      <c r="T15" s="61">
        <f t="shared" si="1"/>
        <v>0.93798124037519304</v>
      </c>
      <c r="U15" s="61">
        <f t="shared" si="17"/>
        <v>0.36411880344363423</v>
      </c>
      <c r="V15" s="61"/>
      <c r="Y15" s="162" t="s">
        <v>32</v>
      </c>
      <c r="Z15" s="162" t="s">
        <v>156</v>
      </c>
      <c r="AA15" s="162" t="s">
        <v>201</v>
      </c>
      <c r="AB15" s="162">
        <f>RANK(AH15,$AH$14:$AH$22,1)</f>
        <v>5</v>
      </c>
      <c r="AC15" s="165">
        <f t="shared" si="19"/>
        <v>3.2421917216038001E-2</v>
      </c>
      <c r="AD15" s="165">
        <f t="shared" ref="AD15:AD22" si="20">MAX($AH$14:$AH$22)</f>
        <v>0.93798124037519304</v>
      </c>
      <c r="AE15" s="162"/>
      <c r="AF15" s="162">
        <f t="shared" si="10"/>
        <v>14</v>
      </c>
      <c r="AG15" s="167">
        <f t="shared" si="11"/>
        <v>76</v>
      </c>
      <c r="AH15" s="165">
        <f t="shared" si="12"/>
        <v>0.43826768929127502</v>
      </c>
      <c r="AI15" s="165">
        <f t="shared" si="13"/>
        <v>0.35032773782350501</v>
      </c>
      <c r="AJ15" s="165">
        <f t="shared" si="14"/>
        <v>0.548161067569647</v>
      </c>
      <c r="AK15" s="167">
        <f t="shared" si="15"/>
        <v>5</v>
      </c>
    </row>
    <row r="16" spans="1:37" x14ac:dyDescent="0.2">
      <c r="A16" s="62" t="s">
        <v>39</v>
      </c>
      <c r="B16" s="62" t="s">
        <v>158</v>
      </c>
      <c r="C16" s="62" t="s">
        <v>200</v>
      </c>
      <c r="D16" s="62"/>
      <c r="E16" s="62">
        <f t="shared" si="2"/>
        <v>17</v>
      </c>
      <c r="F16" s="128">
        <v>77</v>
      </c>
      <c r="G16" s="129">
        <v>0.51227463242631899</v>
      </c>
      <c r="H16" s="129">
        <v>0.41010761777531302</v>
      </c>
      <c r="I16" s="129">
        <v>0.63973024884276897</v>
      </c>
      <c r="J16" s="129"/>
      <c r="K16" s="129"/>
      <c r="L16" s="129"/>
      <c r="M16" s="60">
        <f t="shared" si="0"/>
        <v>5</v>
      </c>
      <c r="N16" s="61">
        <f t="shared" si="3"/>
        <v>3.2421917216038001E-2</v>
      </c>
      <c r="O16" s="61">
        <f t="shared" si="16"/>
        <v>0.26348951769962198</v>
      </c>
      <c r="P16" s="129">
        <f t="shared" si="4"/>
        <v>0.46026869928762998</v>
      </c>
      <c r="Q16" s="129">
        <f t="shared" si="5"/>
        <v>0.436150986738368</v>
      </c>
      <c r="R16" s="129">
        <f t="shared" si="6"/>
        <v>0.48571353588093602</v>
      </c>
      <c r="S16" s="61">
        <f t="shared" si="7"/>
        <v>0.62884292901062</v>
      </c>
      <c r="T16" s="61">
        <f t="shared" si="1"/>
        <v>0.93798124037519304</v>
      </c>
      <c r="U16" s="61">
        <f t="shared" si="17"/>
        <v>0.52792184436167866</v>
      </c>
      <c r="V16" s="61"/>
      <c r="Y16" s="162" t="s">
        <v>36</v>
      </c>
      <c r="Z16" s="162" t="s">
        <v>61</v>
      </c>
      <c r="AA16" s="162" t="s">
        <v>201</v>
      </c>
      <c r="AB16" s="162">
        <f>RANK(AH16,$AH$14:$AH$22,1)</f>
        <v>1</v>
      </c>
      <c r="AC16" s="165">
        <f t="shared" si="19"/>
        <v>3.2421917216038001E-2</v>
      </c>
      <c r="AD16" s="165">
        <f t="shared" si="20"/>
        <v>0.93798124037519304</v>
      </c>
      <c r="AE16" s="162"/>
      <c r="AF16" s="162">
        <f t="shared" si="10"/>
        <v>1</v>
      </c>
      <c r="AG16" s="167">
        <f t="shared" si="11"/>
        <v>6</v>
      </c>
      <c r="AH16" s="165">
        <f t="shared" si="12"/>
        <v>3.2421917216038001E-2</v>
      </c>
      <c r="AI16" s="165">
        <f t="shared" si="13"/>
        <v>1.4860075731768599E-2</v>
      </c>
      <c r="AJ16" s="165">
        <f t="shared" si="14"/>
        <v>7.0723903233891397E-2</v>
      </c>
      <c r="AK16" s="167">
        <f t="shared" si="15"/>
        <v>2</v>
      </c>
    </row>
    <row r="17" spans="1:37" x14ac:dyDescent="0.2">
      <c r="A17" s="62" t="s">
        <v>40</v>
      </c>
      <c r="B17" s="62" t="s">
        <v>63</v>
      </c>
      <c r="C17" s="62" t="s">
        <v>200</v>
      </c>
      <c r="D17" s="62"/>
      <c r="E17" s="62">
        <f t="shared" si="2"/>
        <v>9</v>
      </c>
      <c r="F17" s="128">
        <v>32</v>
      </c>
      <c r="G17" s="129">
        <v>0.39134156781215601</v>
      </c>
      <c r="H17" s="129">
        <v>0.27735231866259502</v>
      </c>
      <c r="I17" s="129">
        <v>0.55192006318446496</v>
      </c>
      <c r="J17" s="129"/>
      <c r="K17" s="129"/>
      <c r="L17" s="129"/>
      <c r="M17" s="60">
        <f t="shared" si="0"/>
        <v>5</v>
      </c>
      <c r="N17" s="61">
        <f t="shared" si="3"/>
        <v>3.2421917216038001E-2</v>
      </c>
      <c r="O17" s="61">
        <f t="shared" si="16"/>
        <v>0.26348951769962198</v>
      </c>
      <c r="P17" s="129">
        <f t="shared" si="4"/>
        <v>0.46026869928762998</v>
      </c>
      <c r="Q17" s="129">
        <f t="shared" si="5"/>
        <v>0.436150986738368</v>
      </c>
      <c r="R17" s="129">
        <f t="shared" si="6"/>
        <v>0.48571353588093602</v>
      </c>
      <c r="S17" s="61">
        <f t="shared" si="7"/>
        <v>0.62884292901062</v>
      </c>
      <c r="T17" s="61">
        <f t="shared" si="1"/>
        <v>0.93798124037519304</v>
      </c>
      <c r="U17" s="61">
        <f t="shared" si="17"/>
        <v>0.52792184436167866</v>
      </c>
      <c r="V17" s="61"/>
      <c r="Y17" s="162" t="s">
        <v>37</v>
      </c>
      <c r="Z17" s="162" t="s">
        <v>157</v>
      </c>
      <c r="AA17" s="162" t="s">
        <v>201</v>
      </c>
      <c r="AB17" s="162">
        <f t="shared" ref="AB17:AB22" si="21">RANK(AH17,$AH$14:$AH$22,1)</f>
        <v>3</v>
      </c>
      <c r="AC17" s="165">
        <f t="shared" si="19"/>
        <v>3.2421917216038001E-2</v>
      </c>
      <c r="AD17" s="165">
        <f>MAX($AH$14:$AH$22)</f>
        <v>0.93798124037519304</v>
      </c>
      <c r="AE17" s="162"/>
      <c r="AF17" s="162">
        <f t="shared" si="10"/>
        <v>5</v>
      </c>
      <c r="AG17" s="167">
        <f t="shared" si="11"/>
        <v>52</v>
      </c>
      <c r="AH17" s="165">
        <f t="shared" si="12"/>
        <v>0.21623419827012599</v>
      </c>
      <c r="AI17" s="165">
        <f t="shared" si="13"/>
        <v>0.16494563306919499</v>
      </c>
      <c r="AJ17" s="165">
        <f t="shared" si="14"/>
        <v>0.28342527027860198</v>
      </c>
      <c r="AK17" s="167">
        <f t="shared" si="15"/>
        <v>2</v>
      </c>
    </row>
    <row r="18" spans="1:37" x14ac:dyDescent="0.2">
      <c r="A18" s="62" t="s">
        <v>41</v>
      </c>
      <c r="B18" s="62" t="s">
        <v>64</v>
      </c>
      <c r="C18" s="62" t="s">
        <v>163</v>
      </c>
      <c r="D18" s="62"/>
      <c r="E18" s="62">
        <f t="shared" si="2"/>
        <v>15</v>
      </c>
      <c r="F18" s="128">
        <v>49</v>
      </c>
      <c r="G18" s="129">
        <v>0.45236336779911401</v>
      </c>
      <c r="H18" s="129">
        <v>0.34236336409333801</v>
      </c>
      <c r="I18" s="129">
        <v>0.59749404529864003</v>
      </c>
      <c r="J18" s="129"/>
      <c r="K18" s="129"/>
      <c r="L18" s="129"/>
      <c r="M18" s="60">
        <f t="shared" si="0"/>
        <v>5</v>
      </c>
      <c r="N18" s="61">
        <f t="shared" si="3"/>
        <v>3.2421917216038001E-2</v>
      </c>
      <c r="O18" s="61">
        <f t="shared" si="16"/>
        <v>0.26348951769962198</v>
      </c>
      <c r="P18" s="129">
        <f t="shared" si="4"/>
        <v>0.46026869928762998</v>
      </c>
      <c r="Q18" s="129">
        <f t="shared" si="5"/>
        <v>0.436150986738368</v>
      </c>
      <c r="R18" s="129">
        <f t="shared" si="6"/>
        <v>0.48571353588093602</v>
      </c>
      <c r="S18" s="61">
        <f t="shared" si="7"/>
        <v>0.62884292901062</v>
      </c>
      <c r="T18" s="61">
        <f t="shared" si="1"/>
        <v>0.93798124037519304</v>
      </c>
      <c r="U18" s="61">
        <f t="shared" si="17"/>
        <v>0.50236801282117138</v>
      </c>
      <c r="V18" s="61"/>
      <c r="Y18" s="162" t="s">
        <v>38</v>
      </c>
      <c r="Z18" s="162" t="s">
        <v>62</v>
      </c>
      <c r="AA18" s="162" t="s">
        <v>201</v>
      </c>
      <c r="AB18" s="162">
        <f t="shared" si="21"/>
        <v>9</v>
      </c>
      <c r="AC18" s="165">
        <f t="shared" si="19"/>
        <v>3.2421917216038001E-2</v>
      </c>
      <c r="AD18" s="165">
        <f t="shared" si="20"/>
        <v>0.93798124037519304</v>
      </c>
      <c r="AE18" s="162"/>
      <c r="AF18" s="162">
        <f t="shared" si="10"/>
        <v>26</v>
      </c>
      <c r="AG18" s="167">
        <f t="shared" si="11"/>
        <v>67</v>
      </c>
      <c r="AH18" s="165">
        <f t="shared" si="12"/>
        <v>0.93798124037519304</v>
      </c>
      <c r="AI18" s="165">
        <f t="shared" si="13"/>
        <v>0.73932021242952095</v>
      </c>
      <c r="AJ18" s="165">
        <f t="shared" si="14"/>
        <v>1.18938437147543</v>
      </c>
      <c r="AK18" s="167">
        <f t="shared" si="15"/>
        <v>1</v>
      </c>
    </row>
    <row r="19" spans="1:37" x14ac:dyDescent="0.2">
      <c r="A19" s="62" t="s">
        <v>42</v>
      </c>
      <c r="B19" s="62" t="s">
        <v>65</v>
      </c>
      <c r="C19" s="62" t="s">
        <v>200</v>
      </c>
      <c r="D19" s="62"/>
      <c r="E19" s="62">
        <f t="shared" si="2"/>
        <v>8</v>
      </c>
      <c r="F19" s="128">
        <v>19</v>
      </c>
      <c r="G19" s="129">
        <v>0.37102128490529201</v>
      </c>
      <c r="H19" s="129">
        <v>0.23765945010630099</v>
      </c>
      <c r="I19" s="129">
        <v>0.57878451517340701</v>
      </c>
      <c r="J19" s="129"/>
      <c r="K19" s="129"/>
      <c r="L19" s="129"/>
      <c r="M19" s="60">
        <f t="shared" si="0"/>
        <v>5</v>
      </c>
      <c r="N19" s="61">
        <f t="shared" si="3"/>
        <v>3.2421917216038001E-2</v>
      </c>
      <c r="O19" s="61">
        <f t="shared" si="16"/>
        <v>0.26348951769962198</v>
      </c>
      <c r="P19" s="129">
        <f t="shared" si="4"/>
        <v>0.46026869928762998</v>
      </c>
      <c r="Q19" s="129">
        <f t="shared" si="5"/>
        <v>0.436150986738368</v>
      </c>
      <c r="R19" s="129">
        <f t="shared" si="6"/>
        <v>0.48571353588093602</v>
      </c>
      <c r="S19" s="61">
        <f t="shared" si="7"/>
        <v>0.62884292901062</v>
      </c>
      <c r="T19" s="61">
        <f t="shared" si="1"/>
        <v>0.93798124037519304</v>
      </c>
      <c r="U19" s="61">
        <f t="shared" si="17"/>
        <v>0.52792184436167866</v>
      </c>
      <c r="V19" s="61"/>
      <c r="Y19" s="162" t="s">
        <v>43</v>
      </c>
      <c r="Z19" s="162" t="s">
        <v>159</v>
      </c>
      <c r="AA19" s="162" t="s">
        <v>201</v>
      </c>
      <c r="AB19" s="162">
        <f t="shared" si="21"/>
        <v>8</v>
      </c>
      <c r="AC19" s="165">
        <f t="shared" si="19"/>
        <v>3.2421917216038001E-2</v>
      </c>
      <c r="AD19" s="165">
        <f t="shared" si="20"/>
        <v>0.93798124037519304</v>
      </c>
      <c r="AE19" s="162"/>
      <c r="AF19" s="162">
        <f t="shared" si="10"/>
        <v>22</v>
      </c>
      <c r="AG19" s="167">
        <f t="shared" si="11"/>
        <v>68</v>
      </c>
      <c r="AH19" s="165">
        <f t="shared" si="12"/>
        <v>0.69994853319608896</v>
      </c>
      <c r="AI19" s="165">
        <f t="shared" si="13"/>
        <v>0.55254516229033102</v>
      </c>
      <c r="AJ19" s="165">
        <f t="shared" si="14"/>
        <v>0.886324474725672</v>
      </c>
      <c r="AK19" s="167">
        <f t="shared" si="15"/>
        <v>1</v>
      </c>
    </row>
    <row r="20" spans="1:37" x14ac:dyDescent="0.2">
      <c r="A20" s="62" t="s">
        <v>43</v>
      </c>
      <c r="B20" s="62" t="s">
        <v>159</v>
      </c>
      <c r="C20" s="62" t="s">
        <v>201</v>
      </c>
      <c r="D20" s="62"/>
      <c r="E20" s="62">
        <f t="shared" si="2"/>
        <v>22</v>
      </c>
      <c r="F20" s="128">
        <v>68</v>
      </c>
      <c r="G20" s="129">
        <v>0.69994853319608896</v>
      </c>
      <c r="H20" s="129">
        <v>0.55254516229033102</v>
      </c>
      <c r="I20" s="129">
        <v>0.886324474725672</v>
      </c>
      <c r="J20" s="129"/>
      <c r="K20" s="129"/>
      <c r="L20" s="129"/>
      <c r="M20" s="60">
        <f t="shared" si="0"/>
        <v>1</v>
      </c>
      <c r="N20" s="61">
        <f t="shared" si="3"/>
        <v>3.2421917216038001E-2</v>
      </c>
      <c r="O20" s="61">
        <f t="shared" si="16"/>
        <v>0.26348951769962198</v>
      </c>
      <c r="P20" s="129">
        <f t="shared" si="4"/>
        <v>0.46026869928762998</v>
      </c>
      <c r="Q20" s="129">
        <f t="shared" si="5"/>
        <v>0.436150986738368</v>
      </c>
      <c r="R20" s="129">
        <f t="shared" si="6"/>
        <v>0.48571353588093602</v>
      </c>
      <c r="S20" s="61">
        <f t="shared" si="7"/>
        <v>0.62884292901062</v>
      </c>
      <c r="T20" s="61">
        <f t="shared" si="1"/>
        <v>0.93798124037519304</v>
      </c>
      <c r="U20" s="61">
        <f t="shared" si="17"/>
        <v>0.36411880344363423</v>
      </c>
      <c r="V20" s="61"/>
      <c r="Y20" s="162" t="s">
        <v>48</v>
      </c>
      <c r="Z20" s="162" t="s">
        <v>160</v>
      </c>
      <c r="AA20" s="162" t="s">
        <v>201</v>
      </c>
      <c r="AB20" s="162">
        <f t="shared" si="21"/>
        <v>6</v>
      </c>
      <c r="AC20" s="165">
        <f t="shared" si="19"/>
        <v>3.2421917216038001E-2</v>
      </c>
      <c r="AD20" s="165">
        <f t="shared" si="20"/>
        <v>0.93798124037519304</v>
      </c>
      <c r="AE20" s="162"/>
      <c r="AF20" s="162">
        <f t="shared" si="10"/>
        <v>16</v>
      </c>
      <c r="AG20" s="167">
        <f t="shared" si="11"/>
        <v>30</v>
      </c>
      <c r="AH20" s="165">
        <f t="shared" si="12"/>
        <v>0.48836073579684203</v>
      </c>
      <c r="AI20" s="165">
        <f t="shared" si="13"/>
        <v>0.34230465141498001</v>
      </c>
      <c r="AJ20" s="165">
        <f t="shared" si="14"/>
        <v>0.69630126104241497</v>
      </c>
      <c r="AK20" s="167">
        <f t="shared" si="15"/>
        <v>5</v>
      </c>
    </row>
    <row r="21" spans="1:37" x14ac:dyDescent="0.2">
      <c r="A21" s="62" t="s">
        <v>44</v>
      </c>
      <c r="B21" s="62" t="s">
        <v>66</v>
      </c>
      <c r="C21" s="62" t="s">
        <v>200</v>
      </c>
      <c r="D21" s="62"/>
      <c r="E21" s="62">
        <f t="shared" si="2"/>
        <v>19</v>
      </c>
      <c r="F21" s="128">
        <v>26</v>
      </c>
      <c r="G21" s="129">
        <v>0.60227009497336104</v>
      </c>
      <c r="H21" s="129">
        <v>0.41134425144416997</v>
      </c>
      <c r="I21" s="129">
        <v>0.88103037865705003</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5</v>
      </c>
      <c r="N21" s="61">
        <f t="shared" si="3"/>
        <v>3.2421917216038001E-2</v>
      </c>
      <c r="O21" s="61">
        <f t="shared" si="16"/>
        <v>0.26348951769962198</v>
      </c>
      <c r="P21" s="129">
        <f t="shared" si="4"/>
        <v>0.46026869928762998</v>
      </c>
      <c r="Q21" s="129">
        <f t="shared" si="5"/>
        <v>0.436150986738368</v>
      </c>
      <c r="R21" s="129">
        <f t="shared" si="6"/>
        <v>0.48571353588093602</v>
      </c>
      <c r="S21" s="61">
        <f t="shared" si="7"/>
        <v>0.62884292901062</v>
      </c>
      <c r="T21" s="61">
        <f t="shared" si="1"/>
        <v>0.93798124037519304</v>
      </c>
      <c r="U21" s="61">
        <f t="shared" si="17"/>
        <v>0.52792184436167866</v>
      </c>
      <c r="V21" s="61"/>
      <c r="Y21" s="162" t="s">
        <v>52</v>
      </c>
      <c r="Z21" s="162" t="s">
        <v>72</v>
      </c>
      <c r="AA21" s="162" t="s">
        <v>201</v>
      </c>
      <c r="AB21" s="162">
        <f t="shared" si="21"/>
        <v>4</v>
      </c>
      <c r="AC21" s="165">
        <f t="shared" si="19"/>
        <v>3.2421917216038001E-2</v>
      </c>
      <c r="AD21" s="165">
        <f t="shared" si="20"/>
        <v>0.93798124037519304</v>
      </c>
      <c r="AE21" s="162"/>
      <c r="AF21" s="162">
        <f t="shared" si="10"/>
        <v>6</v>
      </c>
      <c r="AG21" s="167">
        <f t="shared" si="11"/>
        <v>11</v>
      </c>
      <c r="AH21" s="165">
        <f t="shared" si="12"/>
        <v>0.252177900045851</v>
      </c>
      <c r="AI21" s="165">
        <f t="shared" si="13"/>
        <v>0.14087323146167899</v>
      </c>
      <c r="AJ21" s="165">
        <f t="shared" si="14"/>
        <v>0.45102775863232297</v>
      </c>
      <c r="AK21" s="167">
        <f t="shared" si="15"/>
        <v>5</v>
      </c>
    </row>
    <row r="22" spans="1:37" x14ac:dyDescent="0.2">
      <c r="A22" s="62" t="s">
        <v>45</v>
      </c>
      <c r="B22" s="62" t="s">
        <v>67</v>
      </c>
      <c r="C22" s="62" t="s">
        <v>163</v>
      </c>
      <c r="D22" s="62"/>
      <c r="E22" s="62">
        <f t="shared" si="2"/>
        <v>7</v>
      </c>
      <c r="F22" s="128">
        <v>23</v>
      </c>
      <c r="G22" s="129">
        <v>0.26348951769962198</v>
      </c>
      <c r="H22" s="129">
        <v>0.175647050216305</v>
      </c>
      <c r="I22" s="129">
        <v>0.39508882144378599</v>
      </c>
      <c r="J22" s="129"/>
      <c r="K22" s="129"/>
      <c r="L22" s="129"/>
      <c r="M22" s="60">
        <f t="shared" si="0"/>
        <v>2</v>
      </c>
      <c r="N22" s="61">
        <f t="shared" si="3"/>
        <v>3.2421917216038001E-2</v>
      </c>
      <c r="O22" s="61">
        <f t="shared" si="16"/>
        <v>0.26348951769962198</v>
      </c>
      <c r="P22" s="129">
        <f t="shared" si="4"/>
        <v>0.46026869928762998</v>
      </c>
      <c r="Q22" s="129">
        <f t="shared" si="5"/>
        <v>0.436150986738368</v>
      </c>
      <c r="R22" s="129">
        <f t="shared" si="6"/>
        <v>0.48571353588093602</v>
      </c>
      <c r="S22" s="61">
        <f t="shared" si="7"/>
        <v>0.62884292901062</v>
      </c>
      <c r="T22" s="61">
        <f t="shared" si="1"/>
        <v>0.93798124037519304</v>
      </c>
      <c r="U22" s="61">
        <f>VLOOKUP(C22,$C$43:$I$46,5,FALSE)</f>
        <v>0.50236801282117138</v>
      </c>
      <c r="V22" s="61"/>
      <c r="Y22" s="162" t="s">
        <v>54</v>
      </c>
      <c r="Z22" s="162" t="s">
        <v>73</v>
      </c>
      <c r="AA22" s="162" t="s">
        <v>201</v>
      </c>
      <c r="AB22" s="162">
        <f t="shared" si="21"/>
        <v>2</v>
      </c>
      <c r="AC22" s="165">
        <f t="shared" si="19"/>
        <v>3.2421917216038001E-2</v>
      </c>
      <c r="AD22" s="165">
        <f t="shared" si="20"/>
        <v>0.93798124037519304</v>
      </c>
      <c r="AE22" s="162"/>
      <c r="AF22" s="162">
        <f t="shared" si="10"/>
        <v>2</v>
      </c>
      <c r="AG22" s="167">
        <f t="shared" si="11"/>
        <v>4</v>
      </c>
      <c r="AH22" s="165">
        <f t="shared" si="12"/>
        <v>6.7328732536609995E-2</v>
      </c>
      <c r="AI22" s="165">
        <f t="shared" si="13"/>
        <v>2.6185846411329601E-2</v>
      </c>
      <c r="AJ22" s="165">
        <f t="shared" si="14"/>
        <v>0.17300296127544701</v>
      </c>
      <c r="AK22" s="167">
        <f t="shared" si="15"/>
        <v>2</v>
      </c>
    </row>
    <row r="23" spans="1:37" x14ac:dyDescent="0.2">
      <c r="A23" s="62" t="s">
        <v>46</v>
      </c>
      <c r="B23" s="62" t="s">
        <v>68</v>
      </c>
      <c r="C23" s="62" t="s">
        <v>163</v>
      </c>
      <c r="D23" s="62"/>
      <c r="E23" s="62">
        <f t="shared" si="2"/>
        <v>24</v>
      </c>
      <c r="F23" s="128">
        <v>83</v>
      </c>
      <c r="G23" s="129">
        <v>0.75958634574906203</v>
      </c>
      <c r="H23" s="129">
        <v>0.61321130619769504</v>
      </c>
      <c r="I23" s="129">
        <v>0.94057080161651896</v>
      </c>
      <c r="J23" s="129"/>
      <c r="K23" s="129"/>
      <c r="L23" s="129"/>
      <c r="M23" s="60">
        <f t="shared" si="0"/>
        <v>1</v>
      </c>
      <c r="N23" s="61">
        <f t="shared" si="3"/>
        <v>3.2421917216038001E-2</v>
      </c>
      <c r="O23" s="61">
        <f t="shared" si="16"/>
        <v>0.26348951769962198</v>
      </c>
      <c r="P23" s="129">
        <f t="shared" si="4"/>
        <v>0.46026869928762998</v>
      </c>
      <c r="Q23" s="129">
        <f t="shared" si="5"/>
        <v>0.436150986738368</v>
      </c>
      <c r="R23" s="129">
        <f t="shared" si="6"/>
        <v>0.48571353588093602</v>
      </c>
      <c r="S23" s="61">
        <f t="shared" si="7"/>
        <v>0.62884292901062</v>
      </c>
      <c r="T23" s="61">
        <f t="shared" si="1"/>
        <v>0.93798124037519304</v>
      </c>
      <c r="U23" s="61">
        <f t="shared" si="17"/>
        <v>0.50236801282117138</v>
      </c>
      <c r="V23" s="61"/>
      <c r="Y23" s="163" t="s">
        <v>30</v>
      </c>
      <c r="Z23" s="163" t="s">
        <v>56</v>
      </c>
      <c r="AA23" s="163" t="s">
        <v>200</v>
      </c>
      <c r="AB23" s="163">
        <f>RANK(AH23,$AH$23:$AH$31,1)</f>
        <v>9</v>
      </c>
      <c r="AC23" s="166">
        <f>MIN($AH$23:$AH$31)</f>
        <v>0.199269345732315</v>
      </c>
      <c r="AD23" s="166">
        <f>MAX($AH$23:$AH$31)</f>
        <v>0.85371276122721196</v>
      </c>
      <c r="AE23" s="163"/>
      <c r="AF23" s="163">
        <f t="shared" si="10"/>
        <v>25</v>
      </c>
      <c r="AG23" s="168">
        <f t="shared" si="11"/>
        <v>96</v>
      </c>
      <c r="AH23" s="166">
        <f t="shared" si="12"/>
        <v>0.85371276122721196</v>
      </c>
      <c r="AI23" s="166">
        <f t="shared" si="13"/>
        <v>0.69965431936468403</v>
      </c>
      <c r="AJ23" s="166">
        <f t="shared" si="14"/>
        <v>1.0413379378168499</v>
      </c>
      <c r="AK23" s="168">
        <f t="shared" si="15"/>
        <v>1</v>
      </c>
    </row>
    <row r="24" spans="1:37" x14ac:dyDescent="0.2">
      <c r="A24" s="62" t="s">
        <v>47</v>
      </c>
      <c r="B24" s="62" t="s">
        <v>69</v>
      </c>
      <c r="C24" s="62" t="s">
        <v>163</v>
      </c>
      <c r="D24" s="62"/>
      <c r="E24" s="62">
        <f t="shared" si="2"/>
        <v>13</v>
      </c>
      <c r="F24" s="128">
        <v>24</v>
      </c>
      <c r="G24" s="129">
        <v>0.43580897040130701</v>
      </c>
      <c r="H24" s="129">
        <v>0.29304451870177001</v>
      </c>
      <c r="I24" s="129">
        <v>0.647673141352055</v>
      </c>
      <c r="J24" s="129"/>
      <c r="K24" s="129"/>
      <c r="L24" s="129"/>
      <c r="M24" s="60">
        <f t="shared" si="0"/>
        <v>5</v>
      </c>
      <c r="N24" s="61">
        <f t="shared" si="3"/>
        <v>3.2421917216038001E-2</v>
      </c>
      <c r="O24" s="61">
        <f t="shared" si="16"/>
        <v>0.26348951769962198</v>
      </c>
      <c r="P24" s="129">
        <f t="shared" si="4"/>
        <v>0.46026869928762998</v>
      </c>
      <c r="Q24" s="129">
        <f t="shared" si="5"/>
        <v>0.436150986738368</v>
      </c>
      <c r="R24" s="129">
        <f t="shared" si="6"/>
        <v>0.48571353588093602</v>
      </c>
      <c r="S24" s="61">
        <f t="shared" si="7"/>
        <v>0.62884292901062</v>
      </c>
      <c r="T24" s="61">
        <f t="shared" si="1"/>
        <v>0.93798124037519304</v>
      </c>
      <c r="U24" s="61">
        <f t="shared" si="17"/>
        <v>0.50236801282117138</v>
      </c>
      <c r="V24" s="61"/>
      <c r="Y24" s="163" t="s">
        <v>31</v>
      </c>
      <c r="Z24" s="163" t="s">
        <v>57</v>
      </c>
      <c r="AA24" s="163" t="s">
        <v>200</v>
      </c>
      <c r="AB24" s="163">
        <f t="shared" ref="AB24:AB31" si="22">RANK(AH24,$AH$23:$AH$31,1)</f>
        <v>4</v>
      </c>
      <c r="AC24" s="166">
        <f t="shared" ref="AC24:AC31" si="23">MIN($AH$23:$AH$31)</f>
        <v>0.199269345732315</v>
      </c>
      <c r="AD24" s="166">
        <f t="shared" ref="AD24:AD31" si="24">MAX($AH$23:$AH$31)</f>
        <v>0.85371276122721196</v>
      </c>
      <c r="AE24" s="163"/>
      <c r="AF24" s="163">
        <f t="shared" si="10"/>
        <v>11</v>
      </c>
      <c r="AG24" s="168">
        <f t="shared" si="11"/>
        <v>52</v>
      </c>
      <c r="AH24" s="166">
        <f t="shared" si="12"/>
        <v>0.419422487497984</v>
      </c>
      <c r="AI24" s="166">
        <f t="shared" si="13"/>
        <v>0.32000661006963299</v>
      </c>
      <c r="AJ24" s="166">
        <f t="shared" si="14"/>
        <v>0.54955344017591301</v>
      </c>
      <c r="AK24" s="168">
        <f t="shared" si="15"/>
        <v>5</v>
      </c>
    </row>
    <row r="25" spans="1:37" x14ac:dyDescent="0.2">
      <c r="A25" s="62" t="s">
        <v>48</v>
      </c>
      <c r="B25" s="62" t="s">
        <v>160</v>
      </c>
      <c r="C25" s="62" t="s">
        <v>201</v>
      </c>
      <c r="D25" s="62"/>
      <c r="E25" s="62">
        <f t="shared" si="2"/>
        <v>16</v>
      </c>
      <c r="F25" s="128">
        <v>30</v>
      </c>
      <c r="G25" s="129">
        <v>0.48836073579684203</v>
      </c>
      <c r="H25" s="129">
        <v>0.34230465141498001</v>
      </c>
      <c r="I25" s="129">
        <v>0.69630126104241497</v>
      </c>
      <c r="J25" s="129"/>
      <c r="K25" s="129"/>
      <c r="L25" s="129"/>
      <c r="M25" s="60">
        <f t="shared" si="0"/>
        <v>5</v>
      </c>
      <c r="N25" s="61">
        <f t="shared" si="3"/>
        <v>3.2421917216038001E-2</v>
      </c>
      <c r="O25" s="61">
        <f t="shared" si="16"/>
        <v>0.26348951769962198</v>
      </c>
      <c r="P25" s="129">
        <f t="shared" si="4"/>
        <v>0.46026869928762998</v>
      </c>
      <c r="Q25" s="129">
        <f t="shared" si="5"/>
        <v>0.436150986738368</v>
      </c>
      <c r="R25" s="129">
        <f t="shared" si="6"/>
        <v>0.48571353588093602</v>
      </c>
      <c r="S25" s="61">
        <f t="shared" si="7"/>
        <v>0.62884292901062</v>
      </c>
      <c r="T25" s="61">
        <f t="shared" si="1"/>
        <v>0.93798124037519304</v>
      </c>
      <c r="U25" s="61">
        <f t="shared" si="17"/>
        <v>0.36411880344363423</v>
      </c>
      <c r="V25" s="61"/>
      <c r="Y25" s="163" t="s">
        <v>34</v>
      </c>
      <c r="Z25" s="163" t="s">
        <v>59</v>
      </c>
      <c r="AA25" s="163" t="s">
        <v>200</v>
      </c>
      <c r="AB25" s="163">
        <f t="shared" si="22"/>
        <v>8</v>
      </c>
      <c r="AC25" s="166">
        <f t="shared" si="23"/>
        <v>0.199269345732315</v>
      </c>
      <c r="AD25" s="166">
        <f t="shared" si="24"/>
        <v>0.85371276122721196</v>
      </c>
      <c r="AE25" s="163"/>
      <c r="AF25" s="163">
        <f t="shared" si="10"/>
        <v>23</v>
      </c>
      <c r="AG25" s="168">
        <f t="shared" si="11"/>
        <v>112</v>
      </c>
      <c r="AH25" s="166">
        <f t="shared" si="12"/>
        <v>0.72590576187698497</v>
      </c>
      <c r="AI25" s="166">
        <f t="shared" si="13"/>
        <v>0.60367872269854295</v>
      </c>
      <c r="AJ25" s="166">
        <f t="shared" si="14"/>
        <v>0.87266287925882402</v>
      </c>
      <c r="AK25" s="168">
        <f t="shared" si="15"/>
        <v>1</v>
      </c>
    </row>
    <row r="26" spans="1:37" x14ac:dyDescent="0.2">
      <c r="A26" s="62" t="s">
        <v>49</v>
      </c>
      <c r="B26" s="62" t="s">
        <v>70</v>
      </c>
      <c r="C26" s="62" t="s">
        <v>200</v>
      </c>
      <c r="D26" s="62"/>
      <c r="E26" s="62">
        <f t="shared" si="2"/>
        <v>4</v>
      </c>
      <c r="F26" s="128">
        <v>18</v>
      </c>
      <c r="G26" s="129">
        <v>0.199269345732315</v>
      </c>
      <c r="H26" s="129">
        <v>0.12608870506199399</v>
      </c>
      <c r="I26" s="129">
        <v>0.314789438061847</v>
      </c>
      <c r="J26" s="129"/>
      <c r="K26" s="129"/>
      <c r="L26" s="129"/>
      <c r="M26" s="60">
        <f t="shared" si="0"/>
        <v>2</v>
      </c>
      <c r="N26" s="61">
        <f t="shared" si="3"/>
        <v>3.2421917216038001E-2</v>
      </c>
      <c r="O26" s="61">
        <f t="shared" si="16"/>
        <v>0.26348951769962198</v>
      </c>
      <c r="P26" s="129">
        <f t="shared" si="4"/>
        <v>0.46026869928762998</v>
      </c>
      <c r="Q26" s="129">
        <f t="shared" si="5"/>
        <v>0.436150986738368</v>
      </c>
      <c r="R26" s="129">
        <f t="shared" si="6"/>
        <v>0.48571353588093602</v>
      </c>
      <c r="S26" s="61">
        <f t="shared" si="7"/>
        <v>0.62884292901062</v>
      </c>
      <c r="T26" s="61">
        <f t="shared" si="1"/>
        <v>0.93798124037519304</v>
      </c>
      <c r="U26" s="61">
        <f t="shared" si="17"/>
        <v>0.52792184436167866</v>
      </c>
      <c r="V26" s="61"/>
      <c r="Y26" s="163" t="s">
        <v>39</v>
      </c>
      <c r="Z26" s="163" t="s">
        <v>158</v>
      </c>
      <c r="AA26" s="163" t="s">
        <v>200</v>
      </c>
      <c r="AB26" s="163">
        <f t="shared" si="22"/>
        <v>6</v>
      </c>
      <c r="AC26" s="166">
        <f t="shared" si="23"/>
        <v>0.199269345732315</v>
      </c>
      <c r="AD26" s="166">
        <f t="shared" si="24"/>
        <v>0.85371276122721196</v>
      </c>
      <c r="AE26" s="163"/>
      <c r="AF26" s="163">
        <f t="shared" si="10"/>
        <v>17</v>
      </c>
      <c r="AG26" s="168">
        <f t="shared" si="11"/>
        <v>77</v>
      </c>
      <c r="AH26" s="166">
        <f t="shared" si="12"/>
        <v>0.51227463242631899</v>
      </c>
      <c r="AI26" s="166">
        <f t="shared" si="13"/>
        <v>0.41010761777531302</v>
      </c>
      <c r="AJ26" s="166">
        <f t="shared" si="14"/>
        <v>0.63973024884276897</v>
      </c>
      <c r="AK26" s="168">
        <f t="shared" si="15"/>
        <v>5</v>
      </c>
    </row>
    <row r="27" spans="1:37" x14ac:dyDescent="0.2">
      <c r="A27" s="62" t="s">
        <v>50</v>
      </c>
      <c r="B27" s="62" t="s">
        <v>161</v>
      </c>
      <c r="C27" s="62" t="s">
        <v>163</v>
      </c>
      <c r="D27" s="62"/>
      <c r="E27" s="62">
        <f t="shared" si="2"/>
        <v>10</v>
      </c>
      <c r="F27" s="128">
        <v>23</v>
      </c>
      <c r="G27" s="129">
        <v>0.40823571175008899</v>
      </c>
      <c r="H27" s="129">
        <v>0.27219024161327499</v>
      </c>
      <c r="I27" s="129">
        <v>0.61186191176387605</v>
      </c>
      <c r="J27" s="129"/>
      <c r="K27" s="129"/>
      <c r="L27" s="129"/>
      <c r="M27" s="60">
        <f t="shared" si="0"/>
        <v>5</v>
      </c>
      <c r="N27" s="61">
        <f t="shared" si="3"/>
        <v>3.2421917216038001E-2</v>
      </c>
      <c r="O27" s="61">
        <f t="shared" si="16"/>
        <v>0.26348951769962198</v>
      </c>
      <c r="P27" s="129">
        <f t="shared" si="4"/>
        <v>0.46026869928762998</v>
      </c>
      <c r="Q27" s="129">
        <f t="shared" si="5"/>
        <v>0.436150986738368</v>
      </c>
      <c r="R27" s="129">
        <f t="shared" si="6"/>
        <v>0.48571353588093602</v>
      </c>
      <c r="S27" s="61">
        <f t="shared" si="7"/>
        <v>0.62884292901062</v>
      </c>
      <c r="T27" s="61">
        <f t="shared" si="1"/>
        <v>0.93798124037519304</v>
      </c>
      <c r="U27" s="61">
        <f t="shared" si="17"/>
        <v>0.50236801282117138</v>
      </c>
      <c r="V27" s="61"/>
      <c r="Y27" s="163" t="s">
        <v>40</v>
      </c>
      <c r="Z27" s="163" t="s">
        <v>63</v>
      </c>
      <c r="AA27" s="163" t="s">
        <v>200</v>
      </c>
      <c r="AB27" s="163">
        <f t="shared" si="22"/>
        <v>3</v>
      </c>
      <c r="AC27" s="166">
        <f t="shared" si="23"/>
        <v>0.199269345732315</v>
      </c>
      <c r="AD27" s="166">
        <f t="shared" si="24"/>
        <v>0.85371276122721196</v>
      </c>
      <c r="AE27" s="163"/>
      <c r="AF27" s="163">
        <f t="shared" si="10"/>
        <v>9</v>
      </c>
      <c r="AG27" s="168">
        <f t="shared" si="11"/>
        <v>32</v>
      </c>
      <c r="AH27" s="166">
        <f t="shared" si="12"/>
        <v>0.39134156781215601</v>
      </c>
      <c r="AI27" s="166">
        <f t="shared" si="13"/>
        <v>0.27735231866259502</v>
      </c>
      <c r="AJ27" s="166">
        <f t="shared" si="14"/>
        <v>0.55192006318446496</v>
      </c>
      <c r="AK27" s="168">
        <f t="shared" si="15"/>
        <v>5</v>
      </c>
    </row>
    <row r="28" spans="1:37" x14ac:dyDescent="0.2">
      <c r="A28" s="62" t="s">
        <v>51</v>
      </c>
      <c r="B28" s="62" t="s">
        <v>71</v>
      </c>
      <c r="C28" s="62" t="s">
        <v>200</v>
      </c>
      <c r="D28" s="62"/>
      <c r="E28" s="62">
        <f t="shared" si="2"/>
        <v>12</v>
      </c>
      <c r="F28" s="128">
        <v>23</v>
      </c>
      <c r="G28" s="129">
        <v>0.42310522442972798</v>
      </c>
      <c r="H28" s="129">
        <v>0.28211006640381497</v>
      </c>
      <c r="I28" s="129">
        <v>0.63411992298082598</v>
      </c>
      <c r="J28" s="129"/>
      <c r="K28" s="129"/>
      <c r="L28" s="129"/>
      <c r="M28" s="60">
        <f t="shared" si="0"/>
        <v>5</v>
      </c>
      <c r="N28" s="61">
        <f t="shared" si="3"/>
        <v>3.2421917216038001E-2</v>
      </c>
      <c r="O28" s="61">
        <f t="shared" si="16"/>
        <v>0.26348951769962198</v>
      </c>
      <c r="P28" s="129">
        <f t="shared" si="4"/>
        <v>0.46026869928762998</v>
      </c>
      <c r="Q28" s="129">
        <f t="shared" si="5"/>
        <v>0.436150986738368</v>
      </c>
      <c r="R28" s="129">
        <f t="shared" si="6"/>
        <v>0.48571353588093602</v>
      </c>
      <c r="S28" s="61">
        <f t="shared" si="7"/>
        <v>0.62884292901062</v>
      </c>
      <c r="T28" s="61">
        <f t="shared" si="1"/>
        <v>0.93798124037519304</v>
      </c>
      <c r="U28" s="61">
        <f t="shared" si="17"/>
        <v>0.52792184436167866</v>
      </c>
      <c r="V28" s="61"/>
      <c r="Y28" s="163" t="s">
        <v>42</v>
      </c>
      <c r="Z28" s="163" t="s">
        <v>65</v>
      </c>
      <c r="AA28" s="163" t="s">
        <v>200</v>
      </c>
      <c r="AB28" s="163">
        <f t="shared" si="22"/>
        <v>2</v>
      </c>
      <c r="AC28" s="166">
        <f t="shared" si="23"/>
        <v>0.199269345732315</v>
      </c>
      <c r="AD28" s="166">
        <f t="shared" si="24"/>
        <v>0.85371276122721196</v>
      </c>
      <c r="AE28" s="163"/>
      <c r="AF28" s="163">
        <f t="shared" si="10"/>
        <v>8</v>
      </c>
      <c r="AG28" s="168">
        <f t="shared" si="11"/>
        <v>19</v>
      </c>
      <c r="AH28" s="166">
        <f t="shared" si="12"/>
        <v>0.37102128490529201</v>
      </c>
      <c r="AI28" s="166">
        <f t="shared" si="13"/>
        <v>0.23765945010630099</v>
      </c>
      <c r="AJ28" s="166">
        <f t="shared" si="14"/>
        <v>0.57878451517340701</v>
      </c>
      <c r="AK28" s="168">
        <f t="shared" si="15"/>
        <v>5</v>
      </c>
    </row>
    <row r="29" spans="1:37" x14ac:dyDescent="0.2">
      <c r="A29" s="62" t="s">
        <v>52</v>
      </c>
      <c r="B29" s="62" t="s">
        <v>72</v>
      </c>
      <c r="C29" s="62" t="s">
        <v>201</v>
      </c>
      <c r="D29" s="62"/>
      <c r="E29" s="62">
        <f t="shared" si="2"/>
        <v>6</v>
      </c>
      <c r="F29" s="128">
        <v>11</v>
      </c>
      <c r="G29" s="129">
        <v>0.252177900045851</v>
      </c>
      <c r="H29" s="129">
        <v>0.14087323146167899</v>
      </c>
      <c r="I29" s="129">
        <v>0.45102775863232297</v>
      </c>
      <c r="J29" s="129"/>
      <c r="K29" s="129"/>
      <c r="L29" s="129"/>
      <c r="M29" s="60">
        <f t="shared" si="0"/>
        <v>5</v>
      </c>
      <c r="N29" s="61">
        <f t="shared" si="3"/>
        <v>3.2421917216038001E-2</v>
      </c>
      <c r="O29" s="61">
        <f t="shared" si="16"/>
        <v>0.26348951769962198</v>
      </c>
      <c r="P29" s="129">
        <f t="shared" si="4"/>
        <v>0.46026869928762998</v>
      </c>
      <c r="Q29" s="129">
        <f t="shared" si="5"/>
        <v>0.436150986738368</v>
      </c>
      <c r="R29" s="129">
        <f t="shared" si="6"/>
        <v>0.48571353588093602</v>
      </c>
      <c r="S29" s="61">
        <f t="shared" si="7"/>
        <v>0.62884292901062</v>
      </c>
      <c r="T29" s="61">
        <f t="shared" si="1"/>
        <v>0.93798124037519304</v>
      </c>
      <c r="U29" s="61">
        <f t="shared" si="17"/>
        <v>0.36411880344363423</v>
      </c>
      <c r="V29" s="61"/>
      <c r="Y29" s="163" t="s">
        <v>44</v>
      </c>
      <c r="Z29" s="163" t="s">
        <v>66</v>
      </c>
      <c r="AA29" s="163" t="s">
        <v>200</v>
      </c>
      <c r="AB29" s="163">
        <f t="shared" si="22"/>
        <v>7</v>
      </c>
      <c r="AC29" s="166">
        <f t="shared" si="23"/>
        <v>0.199269345732315</v>
      </c>
      <c r="AD29" s="166">
        <f t="shared" si="24"/>
        <v>0.85371276122721196</v>
      </c>
      <c r="AE29" s="163"/>
      <c r="AF29" s="163">
        <f t="shared" si="10"/>
        <v>19</v>
      </c>
      <c r="AG29" s="168">
        <f t="shared" si="11"/>
        <v>26</v>
      </c>
      <c r="AH29" s="166">
        <f t="shared" si="12"/>
        <v>0.60227009497336104</v>
      </c>
      <c r="AI29" s="166">
        <f t="shared" si="13"/>
        <v>0.41134425144416997</v>
      </c>
      <c r="AJ29" s="166">
        <f t="shared" si="14"/>
        <v>0.88103037865705003</v>
      </c>
      <c r="AK29" s="168">
        <f t="shared" si="15"/>
        <v>5</v>
      </c>
    </row>
    <row r="30" spans="1:37" x14ac:dyDescent="0.2">
      <c r="A30" s="62" t="s">
        <v>53</v>
      </c>
      <c r="B30" s="62" t="s">
        <v>162</v>
      </c>
      <c r="C30" s="62" t="s">
        <v>163</v>
      </c>
      <c r="D30" s="62"/>
      <c r="E30" s="62">
        <f t="shared" si="2"/>
        <v>21</v>
      </c>
      <c r="F30" s="128">
        <v>180</v>
      </c>
      <c r="G30" s="129">
        <v>0.62941464438072603</v>
      </c>
      <c r="H30" s="129">
        <v>0.54415259386728299</v>
      </c>
      <c r="I30" s="129">
        <v>0.72793843336441599</v>
      </c>
      <c r="J30" s="129"/>
      <c r="K30" s="129"/>
      <c r="L30" s="129"/>
      <c r="M30" s="60">
        <f t="shared" si="0"/>
        <v>1</v>
      </c>
      <c r="N30" s="61">
        <f t="shared" si="3"/>
        <v>3.2421917216038001E-2</v>
      </c>
      <c r="O30" s="61">
        <f t="shared" si="16"/>
        <v>0.26348951769962198</v>
      </c>
      <c r="P30" s="129">
        <f>$G$32</f>
        <v>0.46026869928762998</v>
      </c>
      <c r="Q30" s="129">
        <f t="shared" si="5"/>
        <v>0.436150986738368</v>
      </c>
      <c r="R30" s="129">
        <f t="shared" si="6"/>
        <v>0.48571353588093602</v>
      </c>
      <c r="S30" s="61">
        <f t="shared" si="7"/>
        <v>0.62884292901062</v>
      </c>
      <c r="T30" s="61">
        <f t="shared" si="1"/>
        <v>0.93798124037519304</v>
      </c>
      <c r="U30" s="61">
        <f t="shared" si="17"/>
        <v>0.50236801282117138</v>
      </c>
      <c r="V30" s="61"/>
      <c r="Y30" s="163" t="s">
        <v>49</v>
      </c>
      <c r="Z30" s="163" t="s">
        <v>70</v>
      </c>
      <c r="AA30" s="163" t="s">
        <v>200</v>
      </c>
      <c r="AB30" s="163">
        <f t="shared" si="22"/>
        <v>1</v>
      </c>
      <c r="AC30" s="166">
        <f t="shared" si="23"/>
        <v>0.199269345732315</v>
      </c>
      <c r="AD30" s="166">
        <f t="shared" si="24"/>
        <v>0.85371276122721196</v>
      </c>
      <c r="AE30" s="163"/>
      <c r="AF30" s="163">
        <f t="shared" si="10"/>
        <v>4</v>
      </c>
      <c r="AG30" s="168">
        <f t="shared" si="11"/>
        <v>18</v>
      </c>
      <c r="AH30" s="166">
        <f t="shared" si="12"/>
        <v>0.199269345732315</v>
      </c>
      <c r="AI30" s="166">
        <f t="shared" si="13"/>
        <v>0.12608870506199399</v>
      </c>
      <c r="AJ30" s="166">
        <f t="shared" si="14"/>
        <v>0.314789438061847</v>
      </c>
      <c r="AK30" s="168">
        <f t="shared" si="15"/>
        <v>2</v>
      </c>
    </row>
    <row r="31" spans="1:37" x14ac:dyDescent="0.2">
      <c r="A31" s="62" t="s">
        <v>54</v>
      </c>
      <c r="B31" s="62" t="s">
        <v>73</v>
      </c>
      <c r="C31" s="62" t="s">
        <v>201</v>
      </c>
      <c r="D31" s="62"/>
      <c r="E31" s="62">
        <f t="shared" si="2"/>
        <v>2</v>
      </c>
      <c r="F31" s="128">
        <v>4</v>
      </c>
      <c r="G31" s="129">
        <v>6.7328732536609995E-2</v>
      </c>
      <c r="H31" s="129">
        <v>2.6185846411329601E-2</v>
      </c>
      <c r="I31" s="129">
        <v>0.17300296127544701</v>
      </c>
      <c r="J31" s="129"/>
      <c r="K31" s="129"/>
      <c r="L31" s="129"/>
      <c r="M31" s="60">
        <f t="shared" si="0"/>
        <v>2</v>
      </c>
      <c r="N31" s="61">
        <f t="shared" si="3"/>
        <v>3.2421917216038001E-2</v>
      </c>
      <c r="O31" s="61">
        <f t="shared" si="16"/>
        <v>0.26348951769962198</v>
      </c>
      <c r="P31" s="129">
        <f t="shared" si="4"/>
        <v>0.46026869928762998</v>
      </c>
      <c r="Q31" s="129">
        <f t="shared" si="5"/>
        <v>0.436150986738368</v>
      </c>
      <c r="R31" s="129">
        <f t="shared" si="6"/>
        <v>0.48571353588093602</v>
      </c>
      <c r="S31" s="61">
        <f t="shared" si="7"/>
        <v>0.62884292901062</v>
      </c>
      <c r="T31" s="61">
        <f t="shared" si="1"/>
        <v>0.93798124037519304</v>
      </c>
      <c r="U31" s="61">
        <f t="shared" si="17"/>
        <v>0.36411880344363423</v>
      </c>
      <c r="V31" s="61"/>
      <c r="Y31" s="163" t="s">
        <v>51</v>
      </c>
      <c r="Z31" s="163" t="s">
        <v>71</v>
      </c>
      <c r="AA31" s="163" t="s">
        <v>200</v>
      </c>
      <c r="AB31" s="163">
        <f t="shared" si="22"/>
        <v>5</v>
      </c>
      <c r="AC31" s="166">
        <f t="shared" si="23"/>
        <v>0.199269345732315</v>
      </c>
      <c r="AD31" s="166">
        <f t="shared" si="24"/>
        <v>0.85371276122721196</v>
      </c>
      <c r="AE31" s="163"/>
      <c r="AF31" s="163">
        <f t="shared" si="10"/>
        <v>12</v>
      </c>
      <c r="AG31" s="168">
        <f t="shared" si="11"/>
        <v>23</v>
      </c>
      <c r="AH31" s="166">
        <f t="shared" si="12"/>
        <v>0.42310522442972798</v>
      </c>
      <c r="AI31" s="166">
        <f t="shared" si="13"/>
        <v>0.28211006640381497</v>
      </c>
      <c r="AJ31" s="166">
        <f t="shared" si="14"/>
        <v>0.63411992298082598</v>
      </c>
      <c r="AK31" s="168">
        <f t="shared" si="15"/>
        <v>5</v>
      </c>
    </row>
    <row r="32" spans="1:37" x14ac:dyDescent="0.2">
      <c r="A32" s="62"/>
      <c r="B32" s="62" t="s">
        <v>171</v>
      </c>
      <c r="C32" s="62"/>
      <c r="D32" s="62"/>
      <c r="E32" s="62"/>
      <c r="F32" s="128">
        <v>1320</v>
      </c>
      <c r="G32" s="129">
        <v>0.46026869928762998</v>
      </c>
      <c r="H32" s="129">
        <v>0.436150986738368</v>
      </c>
      <c r="I32" s="129">
        <v>0.48571353588093602</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489</v>
      </c>
      <c r="G44" s="129">
        <v>0.50236801282117138</v>
      </c>
      <c r="H44" s="129">
        <v>0.45986507241449603</v>
      </c>
      <c r="I44" s="129">
        <v>0.54877762190837953</v>
      </c>
      <c r="J44" s="129">
        <f>VLOOKUP($C44,$AA$6:$AD$13,3,FALSE)</f>
        <v>0.1328125</v>
      </c>
      <c r="K44" s="129">
        <f>VLOOKUP($C44,$AA$6:$AD$13,4,FALSE)</f>
        <v>0.75958634574906203</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5</v>
      </c>
      <c r="N44" s="61">
        <f>MIN($G$6:$G$31)</f>
        <v>3.2421917216038001E-2</v>
      </c>
      <c r="O44" s="61">
        <f>VLOOKUP(7,$E$5:$G$39,3,FALSE)</f>
        <v>0.26348951769962198</v>
      </c>
      <c r="P44" s="129">
        <f>$G$32</f>
        <v>0.46026869928762998</v>
      </c>
      <c r="Q44" s="129">
        <f>$H$32</f>
        <v>0.436150986738368</v>
      </c>
      <c r="R44" s="129">
        <f>$I$32</f>
        <v>0.48571353588093602</v>
      </c>
      <c r="S44" s="61">
        <f>VLOOKUP(20,$E$5:$G$39,3,FALSE)</f>
        <v>0.62884292901062</v>
      </c>
      <c r="T44" s="61">
        <f>MAX($G$6:$G$31)</f>
        <v>0.93798124037519304</v>
      </c>
    </row>
    <row r="45" spans="1:22" x14ac:dyDescent="0.2">
      <c r="C45" s="62" t="s">
        <v>201</v>
      </c>
      <c r="D45" s="62"/>
      <c r="E45" s="62"/>
      <c r="F45" s="128">
        <v>376</v>
      </c>
      <c r="G45" s="129">
        <v>0.36411880344363423</v>
      </c>
      <c r="H45" s="129">
        <v>0.32918241208080701</v>
      </c>
      <c r="I45" s="129">
        <v>0.40274803930430486</v>
      </c>
      <c r="J45" s="129">
        <f>VLOOKUP($C45,$AA$14:$AD$22,3,FALSE)</f>
        <v>3.2421917216038001E-2</v>
      </c>
      <c r="K45" s="129">
        <f>VLOOKUP($C45,$AA$14:$AD$22,4,FALSE)</f>
        <v>0.93798124037519304</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2</v>
      </c>
      <c r="N45" s="61">
        <f>MIN($G$6:$G$31)</f>
        <v>3.2421917216038001E-2</v>
      </c>
      <c r="O45" s="61">
        <f>VLOOKUP(7,$E$5:$G$39,3,FALSE)</f>
        <v>0.26348951769962198</v>
      </c>
      <c r="P45" s="129">
        <f>$G$32</f>
        <v>0.46026869928762998</v>
      </c>
      <c r="Q45" s="129">
        <f t="shared" ref="Q45:Q46" si="25">$H$32</f>
        <v>0.436150986738368</v>
      </c>
      <c r="R45" s="129">
        <f t="shared" ref="R45:R46" si="26">$I$32</f>
        <v>0.48571353588093602</v>
      </c>
      <c r="S45" s="61">
        <f>VLOOKUP(20,$E$5:$G$39,3,FALSE)</f>
        <v>0.62884292901062</v>
      </c>
      <c r="T45" s="61">
        <f t="shared" ref="T45:T46" si="27">MAX($G$6:$G$31)</f>
        <v>0.93798124037519304</v>
      </c>
    </row>
    <row r="46" spans="1:22" x14ac:dyDescent="0.2">
      <c r="C46" s="62" t="s">
        <v>200</v>
      </c>
      <c r="D46" s="62"/>
      <c r="E46" s="62"/>
      <c r="F46" s="128">
        <v>455</v>
      </c>
      <c r="G46" s="129">
        <v>0.52792184436167866</v>
      </c>
      <c r="H46" s="129">
        <v>0.48169799521954576</v>
      </c>
      <c r="I46" s="129">
        <v>0.57855555765625388</v>
      </c>
      <c r="J46" s="129">
        <f>VLOOKUP($C46,$AA$23:$AD$31,3,FALSE)</f>
        <v>0.199269345732315</v>
      </c>
      <c r="K46" s="129">
        <f>VLOOKUP($C46,$AA$23:$AD$31,4,FALSE)</f>
        <v>0.85371276122721196</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5</v>
      </c>
      <c r="N46" s="61">
        <f>MIN($G$6:$G$31)</f>
        <v>3.2421917216038001E-2</v>
      </c>
      <c r="O46" s="61">
        <f>VLOOKUP(7,$E$5:$G$39,3,FALSE)</f>
        <v>0.26348951769962198</v>
      </c>
      <c r="P46" s="129">
        <f t="shared" ref="P46" si="28">$G$32</f>
        <v>0.46026869928762998</v>
      </c>
      <c r="Q46" s="129">
        <f t="shared" si="25"/>
        <v>0.436150986738368</v>
      </c>
      <c r="R46" s="129">
        <f t="shared" si="26"/>
        <v>0.48571353588093602</v>
      </c>
      <c r="S46" s="61">
        <f>VLOOKUP(20,$E$5:$G$39,3,FALSE)</f>
        <v>0.62884292901062</v>
      </c>
      <c r="T46" s="61">
        <f t="shared" si="27"/>
        <v>0.93798124037519304</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C2:D2" xr:uid="{00000000-0002-0000-2800-000000000000}">
      <formula1>"Better / Worse,Higher / Lower,Significance not measured"</formula1>
    </dataValidation>
    <dataValidation type="list" allowBlank="1" showInputMessage="1" showErrorMessage="1" sqref="K2:N2" xr:uid="{00000000-0002-0000-2800-000001000000}">
      <formula1>"High = Worst,Low = Worst"</formula1>
    </dataValidation>
  </dataValidations>
  <pageMargins left="0.75" right="0.75" top="1" bottom="1" header="0.5" footer="0.5"/>
  <pageSetup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7">
    <tabColor theme="6" tint="0.39997558519241921"/>
  </sheetPr>
  <dimension ref="A1:AK55"/>
  <sheetViews>
    <sheetView topLeftCell="A4" workbookViewId="0">
      <selection activeCell="A46" sqref="A46:XFD46"/>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8" width="7.33203125" style="21" customWidth="1"/>
    <col min="9" max="9" width="6.886718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5.554687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6</v>
      </c>
      <c r="F6" s="128">
        <v>29</v>
      </c>
      <c r="G6" s="129">
        <v>0.30280881278062</v>
      </c>
      <c r="H6" s="129">
        <v>0.210925023214598</v>
      </c>
      <c r="I6" s="129">
        <v>0.434544991987034</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2</v>
      </c>
      <c r="N6" s="61">
        <f>MIN($G$6:$G$32)</f>
        <v>1.6210958608019001E-2</v>
      </c>
      <c r="O6" s="61">
        <f>VLOOKUP(7,$E$5:$G$39,3,FALSE)</f>
        <v>0.39054872095293902</v>
      </c>
      <c r="P6" s="129">
        <f>$G$32</f>
        <v>0.56348046821879505</v>
      </c>
      <c r="Q6" s="129">
        <f>$H$32</f>
        <v>0.536739329187778</v>
      </c>
      <c r="R6" s="129">
        <f>$I$32</f>
        <v>0.59154596634506496</v>
      </c>
      <c r="S6" s="61">
        <f>VLOOKUP(20,$E$5:$G$39,3,FALSE)</f>
        <v>0.68559445071785796</v>
      </c>
      <c r="T6" s="61">
        <f t="shared" ref="T6:T31" si="1">MAX($G$6:$G$31)</f>
        <v>2.6638869585360201</v>
      </c>
      <c r="U6" s="61">
        <f>VLOOKUP(C6,$C$43:$I$46,5,FALSE)</f>
        <v>0.39898124207121621</v>
      </c>
      <c r="V6" s="61"/>
      <c r="Y6" s="159" t="s">
        <v>33</v>
      </c>
      <c r="Z6" s="159" t="s">
        <v>58</v>
      </c>
      <c r="AA6" s="159" t="s">
        <v>163</v>
      </c>
      <c r="AB6" s="159">
        <f>RANK(AH6,$AH$6:$AH$13,1)</f>
        <v>3</v>
      </c>
      <c r="AC6" s="164">
        <f>MIN($AH$6:$AH$13)</f>
        <v>0.43580897040130701</v>
      </c>
      <c r="AD6" s="164">
        <f>MAX($AH$6:$AH$13)</f>
        <v>1.0620458356623801</v>
      </c>
      <c r="AE6" s="159"/>
      <c r="AF6" s="159">
        <f>VLOOKUP($Y6,$A$6:$I$31,5,FALSE)</f>
        <v>11</v>
      </c>
      <c r="AG6" s="160">
        <f>VLOOKUP($Y6,$A$6:$I$31,6,FALSE)</f>
        <v>62</v>
      </c>
      <c r="AH6" s="161">
        <f>VLOOKUP($Y6,$A$6:$I$31,7,FALSE)</f>
        <v>0.484375</v>
      </c>
      <c r="AI6" s="161">
        <f>VLOOKUP($Y6,$A$6:$I$31,8,FALSE)</f>
        <v>0.37805862038771099</v>
      </c>
      <c r="AJ6" s="161">
        <f>VLOOKUP($Y6,$A$6:$I$31,9,FALSE)</f>
        <v>0.62040312433049605</v>
      </c>
      <c r="AK6" s="160">
        <f>VLOOKUP($Y6,$A$6:$M$31,13,FALSE)</f>
        <v>5</v>
      </c>
    </row>
    <row r="7" spans="1:37" x14ac:dyDescent="0.2">
      <c r="A7" s="62" t="s">
        <v>30</v>
      </c>
      <c r="B7" s="62" t="s">
        <v>56</v>
      </c>
      <c r="C7" s="62" t="s">
        <v>200</v>
      </c>
      <c r="D7" s="62"/>
      <c r="E7" s="62">
        <f t="shared" ref="E7:E31" si="2">RANK(G7,$G$6:$G$31,1)</f>
        <v>18</v>
      </c>
      <c r="F7" s="128">
        <v>77</v>
      </c>
      <c r="G7" s="129">
        <v>0.68474877723432603</v>
      </c>
      <c r="H7" s="129">
        <v>0.54826814011901204</v>
      </c>
      <c r="I7" s="129">
        <v>0.85491155086084303</v>
      </c>
      <c r="J7" s="129"/>
      <c r="K7" s="129"/>
      <c r="L7" s="129"/>
      <c r="M7" s="60">
        <f t="shared" si="0"/>
        <v>5</v>
      </c>
      <c r="N7" s="61">
        <f t="shared" ref="N7:N31" si="3">MIN($G$6:$G$32)</f>
        <v>1.6210958608019001E-2</v>
      </c>
      <c r="O7" s="61">
        <f>VLOOKUP(7,$E$5:$G$39,3,FALSE)</f>
        <v>0.39054872095293902</v>
      </c>
      <c r="P7" s="129">
        <f t="shared" ref="P7:P31" si="4">$G$32</f>
        <v>0.56348046821879505</v>
      </c>
      <c r="Q7" s="129">
        <f t="shared" ref="Q7:Q31" si="5">$H$32</f>
        <v>0.536739329187778</v>
      </c>
      <c r="R7" s="129">
        <f t="shared" ref="R7:R31" si="6">$I$32</f>
        <v>0.59154596634506496</v>
      </c>
      <c r="S7" s="61">
        <f t="shared" ref="S7:S31" si="7">VLOOKUP(20,$E$5:$G$39,3,FALSE)</f>
        <v>0.68559445071785796</v>
      </c>
      <c r="T7" s="61">
        <f t="shared" si="1"/>
        <v>2.6638869585360201</v>
      </c>
      <c r="U7" s="61">
        <f>VLOOKUP(C7,$C$43:$I$46,5,FALSE)</f>
        <v>0.65091023008110271</v>
      </c>
      <c r="V7" s="61"/>
      <c r="Y7" s="159" t="s">
        <v>35</v>
      </c>
      <c r="Z7" s="159" t="s">
        <v>60</v>
      </c>
      <c r="AA7" s="159" t="s">
        <v>163</v>
      </c>
      <c r="AB7" s="159">
        <f t="shared" ref="AB7:AB12" si="8">RANK(AH7,$AH$6:$AH$13,1)</f>
        <v>8</v>
      </c>
      <c r="AC7" s="164">
        <f>MIN($AH$6:$AH$13)</f>
        <v>0.43580897040130701</v>
      </c>
      <c r="AD7" s="164">
        <f t="shared" ref="AD7:AD13" si="9">MAX($AH$6:$AH$13)</f>
        <v>1.0620458356623801</v>
      </c>
      <c r="AE7" s="159"/>
      <c r="AF7" s="159">
        <f t="shared" ref="AF7:AF31" si="10">VLOOKUP($Y7,$A$6:$I$31,5,FALSE)</f>
        <v>23</v>
      </c>
      <c r="AG7" s="160">
        <f t="shared" ref="AG7:AG31" si="11">VLOOKUP($Y7,$A$6:$I$31,6,FALSE)</f>
        <v>152</v>
      </c>
      <c r="AH7" s="161">
        <f t="shared" ref="AH7:AH31" si="12">VLOOKUP($Y7,$A$6:$I$31,7,FALSE)</f>
        <v>1.0620458356623801</v>
      </c>
      <c r="AI7" s="161">
        <f t="shared" ref="AI7:AI31" si="13">VLOOKUP($Y7,$A$6:$I$31,8,FALSE)</f>
        <v>0.90674870279932196</v>
      </c>
      <c r="AJ7" s="161">
        <f t="shared" ref="AJ7:AJ31" si="14">VLOOKUP($Y7,$A$6:$I$31,9,FALSE)</f>
        <v>1.24360662005191</v>
      </c>
      <c r="AK7" s="160">
        <f t="shared" ref="AK7:AK31" si="15">VLOOKUP($Y7,$A$6:$M$31,13,FALSE)</f>
        <v>1</v>
      </c>
    </row>
    <row r="8" spans="1:37" x14ac:dyDescent="0.2">
      <c r="A8" s="62" t="s">
        <v>31</v>
      </c>
      <c r="B8" s="62" t="s">
        <v>57</v>
      </c>
      <c r="C8" s="62" t="s">
        <v>200</v>
      </c>
      <c r="D8" s="62"/>
      <c r="E8" s="62">
        <f t="shared" si="2"/>
        <v>20</v>
      </c>
      <c r="F8" s="128">
        <v>85</v>
      </c>
      <c r="G8" s="129">
        <v>0.68559445071785796</v>
      </c>
      <c r="H8" s="129">
        <v>0.55484229033555899</v>
      </c>
      <c r="I8" s="129">
        <v>0.84689679331520795</v>
      </c>
      <c r="J8" s="129"/>
      <c r="K8" s="129"/>
      <c r="L8" s="129"/>
      <c r="M8" s="60">
        <f t="shared" si="0"/>
        <v>5</v>
      </c>
      <c r="N8" s="61">
        <f t="shared" si="3"/>
        <v>1.6210958608019001E-2</v>
      </c>
      <c r="O8" s="61">
        <f t="shared" ref="O8:O31" si="16">VLOOKUP(7,$E$5:$G$39,3,FALSE)</f>
        <v>0.39054872095293902</v>
      </c>
      <c r="P8" s="129">
        <f t="shared" si="4"/>
        <v>0.56348046821879505</v>
      </c>
      <c r="Q8" s="129">
        <f t="shared" si="5"/>
        <v>0.536739329187778</v>
      </c>
      <c r="R8" s="129">
        <f t="shared" si="6"/>
        <v>0.59154596634506496</v>
      </c>
      <c r="S8" s="61">
        <f t="shared" si="7"/>
        <v>0.68559445071785796</v>
      </c>
      <c r="T8" s="61">
        <f t="shared" si="1"/>
        <v>2.6638869585360201</v>
      </c>
      <c r="U8" s="61">
        <f t="shared" ref="U8:U31" si="17">VLOOKUP(C8,$C$43:$I$46,5,FALSE)</f>
        <v>0.65091023008110271</v>
      </c>
      <c r="V8" s="61"/>
      <c r="Y8" s="159" t="s">
        <v>41</v>
      </c>
      <c r="Z8" s="159" t="s">
        <v>64</v>
      </c>
      <c r="AA8" s="159" t="s">
        <v>163</v>
      </c>
      <c r="AB8" s="159">
        <f t="shared" si="8"/>
        <v>2</v>
      </c>
      <c r="AC8" s="164">
        <f t="shared" ref="AC8:AC13" si="18">MIN($AH$6:$AH$13)</f>
        <v>0.43580897040130701</v>
      </c>
      <c r="AD8" s="164">
        <f>MAX($AH$6:$AH$13)</f>
        <v>1.0620458356623801</v>
      </c>
      <c r="AE8" s="159"/>
      <c r="AF8" s="159">
        <f t="shared" si="10"/>
        <v>10</v>
      </c>
      <c r="AG8" s="160">
        <f t="shared" si="11"/>
        <v>51</v>
      </c>
      <c r="AH8" s="161">
        <f t="shared" si="12"/>
        <v>0.47082717872968999</v>
      </c>
      <c r="AI8" s="161">
        <f t="shared" si="13"/>
        <v>0.358304412942059</v>
      </c>
      <c r="AJ8" s="161">
        <f t="shared" si="14"/>
        <v>0.61846752694762996</v>
      </c>
      <c r="AK8" s="160">
        <f t="shared" si="15"/>
        <v>5</v>
      </c>
    </row>
    <row r="9" spans="1:37" x14ac:dyDescent="0.2">
      <c r="A9" s="62" t="s">
        <v>32</v>
      </c>
      <c r="B9" s="62" t="s">
        <v>156</v>
      </c>
      <c r="C9" s="62" t="s">
        <v>201</v>
      </c>
      <c r="D9" s="62"/>
      <c r="E9" s="62">
        <f t="shared" si="2"/>
        <v>5</v>
      </c>
      <c r="F9" s="128">
        <v>48</v>
      </c>
      <c r="G9" s="129">
        <v>0.27680064586817399</v>
      </c>
      <c r="H9" s="129">
        <v>0.20885259975975001</v>
      </c>
      <c r="I9" s="129">
        <v>0.36677364080135899</v>
      </c>
      <c r="J9" s="129"/>
      <c r="K9" s="129"/>
      <c r="L9" s="129"/>
      <c r="M9" s="60">
        <f t="shared" si="0"/>
        <v>2</v>
      </c>
      <c r="N9" s="61">
        <f t="shared" si="3"/>
        <v>1.6210958608019001E-2</v>
      </c>
      <c r="O9" s="61">
        <f t="shared" si="16"/>
        <v>0.39054872095293902</v>
      </c>
      <c r="P9" s="129">
        <f t="shared" si="4"/>
        <v>0.56348046821879505</v>
      </c>
      <c r="Q9" s="129">
        <f t="shared" si="5"/>
        <v>0.536739329187778</v>
      </c>
      <c r="R9" s="129">
        <f t="shared" si="6"/>
        <v>0.59154596634506496</v>
      </c>
      <c r="S9" s="61">
        <f t="shared" si="7"/>
        <v>0.68559445071785796</v>
      </c>
      <c r="T9" s="61">
        <f t="shared" si="1"/>
        <v>2.6638869585360201</v>
      </c>
      <c r="U9" s="61">
        <f t="shared" si="17"/>
        <v>0.39898124207121621</v>
      </c>
      <c r="V9" s="61"/>
      <c r="X9" s="63"/>
      <c r="Y9" s="159" t="s">
        <v>45</v>
      </c>
      <c r="Z9" s="159" t="s">
        <v>67</v>
      </c>
      <c r="AA9" s="159" t="s">
        <v>163</v>
      </c>
      <c r="AB9" s="159">
        <f t="shared" si="8"/>
        <v>7</v>
      </c>
      <c r="AC9" s="164">
        <f t="shared" si="18"/>
        <v>0.43580897040130701</v>
      </c>
      <c r="AD9" s="164">
        <f t="shared" si="9"/>
        <v>1.0620458356623801</v>
      </c>
      <c r="AE9" s="159"/>
      <c r="AF9" s="159">
        <f t="shared" si="10"/>
        <v>22</v>
      </c>
      <c r="AG9" s="160">
        <f t="shared" si="11"/>
        <v>70</v>
      </c>
      <c r="AH9" s="161">
        <f t="shared" si="12"/>
        <v>0.80192461908580603</v>
      </c>
      <c r="AI9" s="161">
        <f t="shared" si="13"/>
        <v>0.63525513289188695</v>
      </c>
      <c r="AJ9" s="161">
        <f t="shared" si="14"/>
        <v>1.01187724090617</v>
      </c>
      <c r="AK9" s="160">
        <f t="shared" si="15"/>
        <v>1</v>
      </c>
    </row>
    <row r="10" spans="1:37" x14ac:dyDescent="0.2">
      <c r="A10" s="62" t="s">
        <v>33</v>
      </c>
      <c r="B10" s="62" t="s">
        <v>58</v>
      </c>
      <c r="C10" s="62" t="s">
        <v>163</v>
      </c>
      <c r="D10" s="62"/>
      <c r="E10" s="62">
        <f t="shared" si="2"/>
        <v>11</v>
      </c>
      <c r="F10" s="128">
        <v>62</v>
      </c>
      <c r="G10" s="129">
        <v>0.484375</v>
      </c>
      <c r="H10" s="129">
        <v>0.37805862038771099</v>
      </c>
      <c r="I10" s="129">
        <v>0.62040312433049605</v>
      </c>
      <c r="J10" s="129"/>
      <c r="K10" s="129"/>
      <c r="L10" s="129"/>
      <c r="M10" s="60">
        <f t="shared" si="0"/>
        <v>5</v>
      </c>
      <c r="N10" s="61">
        <f t="shared" si="3"/>
        <v>1.6210958608019001E-2</v>
      </c>
      <c r="O10" s="61">
        <f t="shared" si="16"/>
        <v>0.39054872095293902</v>
      </c>
      <c r="P10" s="129">
        <f t="shared" si="4"/>
        <v>0.56348046821879505</v>
      </c>
      <c r="Q10" s="129">
        <f t="shared" si="5"/>
        <v>0.536739329187778</v>
      </c>
      <c r="R10" s="129">
        <f t="shared" si="6"/>
        <v>0.59154596634506496</v>
      </c>
      <c r="S10" s="61">
        <f t="shared" si="7"/>
        <v>0.68559445071785796</v>
      </c>
      <c r="T10" s="61">
        <f t="shared" si="1"/>
        <v>2.6638869585360201</v>
      </c>
      <c r="U10" s="61">
        <f t="shared" si="17"/>
        <v>0.66057798004910673</v>
      </c>
      <c r="V10" s="61"/>
      <c r="Y10" s="159" t="s">
        <v>46</v>
      </c>
      <c r="Z10" s="159" t="s">
        <v>68</v>
      </c>
      <c r="AA10" s="159" t="s">
        <v>163</v>
      </c>
      <c r="AB10" s="159">
        <f t="shared" si="8"/>
        <v>4</v>
      </c>
      <c r="AC10" s="164">
        <f t="shared" si="18"/>
        <v>0.43580897040130701</v>
      </c>
      <c r="AD10" s="164">
        <f t="shared" si="9"/>
        <v>1.0620458356623801</v>
      </c>
      <c r="AE10" s="159"/>
      <c r="AF10" s="159">
        <f t="shared" si="10"/>
        <v>14</v>
      </c>
      <c r="AG10" s="160">
        <f t="shared" si="11"/>
        <v>58</v>
      </c>
      <c r="AH10" s="161">
        <f t="shared" si="12"/>
        <v>0.53079527775235702</v>
      </c>
      <c r="AI10" s="161">
        <f t="shared" si="13"/>
        <v>0.41085913290714798</v>
      </c>
      <c r="AJ10" s="161">
        <f t="shared" si="14"/>
        <v>0.68550164839379601</v>
      </c>
      <c r="AK10" s="160">
        <f t="shared" si="15"/>
        <v>5</v>
      </c>
    </row>
    <row r="11" spans="1:37" x14ac:dyDescent="0.2">
      <c r="A11" s="62" t="s">
        <v>34</v>
      </c>
      <c r="B11" s="62" t="s">
        <v>59</v>
      </c>
      <c r="C11" s="62" t="s">
        <v>200</v>
      </c>
      <c r="D11" s="62"/>
      <c r="E11" s="62">
        <f t="shared" si="2"/>
        <v>12</v>
      </c>
      <c r="F11" s="128">
        <v>76</v>
      </c>
      <c r="G11" s="129">
        <v>0.492578909845097</v>
      </c>
      <c r="H11" s="129">
        <v>0.39376036116214702</v>
      </c>
      <c r="I11" s="129">
        <v>0.61604369362921796</v>
      </c>
      <c r="J11" s="129"/>
      <c r="K11" s="129"/>
      <c r="L11" s="129"/>
      <c r="M11" s="60">
        <f t="shared" si="0"/>
        <v>5</v>
      </c>
      <c r="N11" s="61">
        <f t="shared" si="3"/>
        <v>1.6210958608019001E-2</v>
      </c>
      <c r="O11" s="61">
        <f t="shared" si="16"/>
        <v>0.39054872095293902</v>
      </c>
      <c r="P11" s="129">
        <f t="shared" si="4"/>
        <v>0.56348046821879505</v>
      </c>
      <c r="Q11" s="129">
        <f t="shared" si="5"/>
        <v>0.536739329187778</v>
      </c>
      <c r="R11" s="129">
        <f t="shared" si="6"/>
        <v>0.59154596634506496</v>
      </c>
      <c r="S11" s="61">
        <f t="shared" si="7"/>
        <v>0.68559445071785796</v>
      </c>
      <c r="T11" s="61">
        <f t="shared" si="1"/>
        <v>2.6638869585360201</v>
      </c>
      <c r="U11" s="61">
        <f t="shared" si="17"/>
        <v>0.65091023008110271</v>
      </c>
      <c r="V11" s="61"/>
      <c r="Y11" s="159" t="s">
        <v>47</v>
      </c>
      <c r="Z11" s="159" t="s">
        <v>69</v>
      </c>
      <c r="AA11" s="159" t="s">
        <v>163</v>
      </c>
      <c r="AB11" s="159">
        <f t="shared" si="8"/>
        <v>1</v>
      </c>
      <c r="AC11" s="164">
        <f t="shared" si="18"/>
        <v>0.43580897040130701</v>
      </c>
      <c r="AD11" s="164">
        <f t="shared" si="9"/>
        <v>1.0620458356623801</v>
      </c>
      <c r="AE11" s="159"/>
      <c r="AF11" s="159">
        <f t="shared" si="10"/>
        <v>9</v>
      </c>
      <c r="AG11" s="160">
        <f t="shared" si="11"/>
        <v>24</v>
      </c>
      <c r="AH11" s="161">
        <f t="shared" si="12"/>
        <v>0.43580897040130701</v>
      </c>
      <c r="AI11" s="161">
        <f t="shared" si="13"/>
        <v>0.29304451870177001</v>
      </c>
      <c r="AJ11" s="161">
        <f t="shared" si="14"/>
        <v>0.647673141352055</v>
      </c>
      <c r="AK11" s="160">
        <f t="shared" si="15"/>
        <v>5</v>
      </c>
    </row>
    <row r="12" spans="1:37" x14ac:dyDescent="0.2">
      <c r="A12" s="62" t="s">
        <v>35</v>
      </c>
      <c r="B12" s="62" t="s">
        <v>60</v>
      </c>
      <c r="C12" s="62" t="s">
        <v>163</v>
      </c>
      <c r="D12" s="62"/>
      <c r="E12" s="62">
        <f t="shared" si="2"/>
        <v>23</v>
      </c>
      <c r="F12" s="128">
        <v>152</v>
      </c>
      <c r="G12" s="129">
        <v>1.0620458356623801</v>
      </c>
      <c r="H12" s="129">
        <v>0.90674870279932196</v>
      </c>
      <c r="I12" s="129">
        <v>1.24360662005191</v>
      </c>
      <c r="J12" s="129"/>
      <c r="K12" s="129"/>
      <c r="L12" s="129"/>
      <c r="M12" s="60">
        <f t="shared" si="0"/>
        <v>1</v>
      </c>
      <c r="N12" s="61">
        <f t="shared" si="3"/>
        <v>1.6210958608019001E-2</v>
      </c>
      <c r="O12" s="61">
        <f t="shared" si="16"/>
        <v>0.39054872095293902</v>
      </c>
      <c r="P12" s="129">
        <f t="shared" si="4"/>
        <v>0.56348046821879505</v>
      </c>
      <c r="Q12" s="129">
        <f t="shared" si="5"/>
        <v>0.536739329187778</v>
      </c>
      <c r="R12" s="129">
        <f t="shared" si="6"/>
        <v>0.59154596634506496</v>
      </c>
      <c r="S12" s="61">
        <f t="shared" si="7"/>
        <v>0.68559445071785796</v>
      </c>
      <c r="T12" s="61">
        <f t="shared" si="1"/>
        <v>2.6638869585360201</v>
      </c>
      <c r="U12" s="61">
        <f t="shared" si="17"/>
        <v>0.66057798004910673</v>
      </c>
      <c r="V12" s="61"/>
      <c r="Y12" s="159" t="s">
        <v>50</v>
      </c>
      <c r="Z12" s="159" t="s">
        <v>161</v>
      </c>
      <c r="AA12" s="159" t="s">
        <v>163</v>
      </c>
      <c r="AB12" s="159">
        <f t="shared" si="8"/>
        <v>5</v>
      </c>
      <c r="AC12" s="164">
        <f t="shared" si="18"/>
        <v>0.43580897040130701</v>
      </c>
      <c r="AD12" s="164">
        <f t="shared" si="9"/>
        <v>1.0620458356623801</v>
      </c>
      <c r="AE12" s="159"/>
      <c r="AF12" s="159">
        <f t="shared" si="10"/>
        <v>15</v>
      </c>
      <c r="AG12" s="160">
        <f t="shared" si="11"/>
        <v>37</v>
      </c>
      <c r="AH12" s="161">
        <f t="shared" si="12"/>
        <v>0.65672701455449101</v>
      </c>
      <c r="AI12" s="161">
        <f t="shared" si="13"/>
        <v>0.47684408940393802</v>
      </c>
      <c r="AJ12" s="161">
        <f t="shared" si="14"/>
        <v>0.90385204029845301</v>
      </c>
      <c r="AK12" s="160">
        <f t="shared" si="15"/>
        <v>5</v>
      </c>
    </row>
    <row r="13" spans="1:37" x14ac:dyDescent="0.2">
      <c r="A13" s="62" t="s">
        <v>36</v>
      </c>
      <c r="B13" s="62" t="s">
        <v>61</v>
      </c>
      <c r="C13" s="62" t="s">
        <v>201</v>
      </c>
      <c r="D13" s="62"/>
      <c r="E13" s="62">
        <f t="shared" si="2"/>
        <v>1</v>
      </c>
      <c r="F13" s="128">
        <v>3</v>
      </c>
      <c r="G13" s="129">
        <v>1.6210958608019001E-2</v>
      </c>
      <c r="H13" s="129">
        <v>5.5133385348926298E-3</v>
      </c>
      <c r="I13" s="129">
        <v>4.7655451930377797E-2</v>
      </c>
      <c r="J13" s="129"/>
      <c r="K13" s="129"/>
      <c r="L13" s="129"/>
      <c r="M13" s="60">
        <f t="shared" si="0"/>
        <v>2</v>
      </c>
      <c r="N13" s="61">
        <f t="shared" si="3"/>
        <v>1.6210958608019001E-2</v>
      </c>
      <c r="O13" s="61">
        <f t="shared" si="16"/>
        <v>0.39054872095293902</v>
      </c>
      <c r="P13" s="129">
        <f t="shared" si="4"/>
        <v>0.56348046821879505</v>
      </c>
      <c r="Q13" s="129">
        <f t="shared" si="5"/>
        <v>0.536739329187778</v>
      </c>
      <c r="R13" s="129">
        <f t="shared" si="6"/>
        <v>0.59154596634506496</v>
      </c>
      <c r="S13" s="61">
        <f t="shared" si="7"/>
        <v>0.68559445071785796</v>
      </c>
      <c r="T13" s="61">
        <f t="shared" si="1"/>
        <v>2.6638869585360201</v>
      </c>
      <c r="U13" s="61">
        <f t="shared" si="17"/>
        <v>0.39898124207121621</v>
      </c>
      <c r="V13" s="61"/>
      <c r="Y13" s="159" t="s">
        <v>53</v>
      </c>
      <c r="Z13" s="159" t="s">
        <v>162</v>
      </c>
      <c r="AA13" s="159" t="s">
        <v>163</v>
      </c>
      <c r="AB13" s="159">
        <f>RANK(AH13,$AH$6:$AH$13,1)</f>
        <v>6</v>
      </c>
      <c r="AC13" s="164">
        <f t="shared" si="18"/>
        <v>0.43580897040130701</v>
      </c>
      <c r="AD13" s="164">
        <f t="shared" si="9"/>
        <v>1.0620458356623801</v>
      </c>
      <c r="AE13" s="159"/>
      <c r="AF13" s="159">
        <f t="shared" si="10"/>
        <v>16</v>
      </c>
      <c r="AG13" s="160">
        <f t="shared" si="11"/>
        <v>189</v>
      </c>
      <c r="AH13" s="161">
        <f t="shared" si="12"/>
        <v>0.66088537659976199</v>
      </c>
      <c r="AI13" s="161">
        <f t="shared" si="13"/>
        <v>0.57337660455654405</v>
      </c>
      <c r="AJ13" s="161">
        <f t="shared" si="14"/>
        <v>0.76164743356508502</v>
      </c>
      <c r="AK13" s="160">
        <f t="shared" si="15"/>
        <v>5</v>
      </c>
    </row>
    <row r="14" spans="1:37" x14ac:dyDescent="0.2">
      <c r="A14" s="62" t="s">
        <v>37</v>
      </c>
      <c r="B14" s="62" t="s">
        <v>157</v>
      </c>
      <c r="C14" s="62" t="s">
        <v>201</v>
      </c>
      <c r="D14" s="62"/>
      <c r="E14" s="62">
        <f t="shared" si="2"/>
        <v>3</v>
      </c>
      <c r="F14" s="128">
        <v>45</v>
      </c>
      <c r="G14" s="129">
        <v>0.18712574850299399</v>
      </c>
      <c r="H14" s="129">
        <v>0.13988747181911099</v>
      </c>
      <c r="I14" s="129">
        <v>0.25027583015242699</v>
      </c>
      <c r="J14" s="129"/>
      <c r="K14" s="129"/>
      <c r="L14" s="129"/>
      <c r="M14" s="60">
        <f t="shared" si="0"/>
        <v>2</v>
      </c>
      <c r="N14" s="61">
        <f t="shared" si="3"/>
        <v>1.6210958608019001E-2</v>
      </c>
      <c r="O14" s="61">
        <f t="shared" si="16"/>
        <v>0.39054872095293902</v>
      </c>
      <c r="P14" s="129">
        <f t="shared" si="4"/>
        <v>0.56348046821879505</v>
      </c>
      <c r="Q14" s="129">
        <f t="shared" si="5"/>
        <v>0.536739329187778</v>
      </c>
      <c r="R14" s="129">
        <f t="shared" si="6"/>
        <v>0.59154596634506496</v>
      </c>
      <c r="S14" s="61">
        <f t="shared" si="7"/>
        <v>0.68559445071785796</v>
      </c>
      <c r="T14" s="61">
        <f t="shared" si="1"/>
        <v>2.6638869585360201</v>
      </c>
      <c r="U14" s="61">
        <f t="shared" si="17"/>
        <v>0.39898124207121621</v>
      </c>
      <c r="V14" s="61"/>
      <c r="Y14" s="162" t="s">
        <v>29</v>
      </c>
      <c r="Z14" s="162" t="s">
        <v>55</v>
      </c>
      <c r="AA14" s="162" t="s">
        <v>201</v>
      </c>
      <c r="AB14" s="162">
        <f>RANK(AH14,$AH$14:$AH$22,1)</f>
        <v>5</v>
      </c>
      <c r="AC14" s="165">
        <f t="shared" ref="AC14:AC22" si="19">MIN($AH$14:$AH$22)</f>
        <v>1.6210958608019001E-2</v>
      </c>
      <c r="AD14" s="165">
        <f>MAX($AH$14:$AH$22)</f>
        <v>1.5818431911966999</v>
      </c>
      <c r="AE14" s="162"/>
      <c r="AF14" s="162">
        <f t="shared" si="10"/>
        <v>6</v>
      </c>
      <c r="AG14" s="167">
        <f t="shared" si="11"/>
        <v>29</v>
      </c>
      <c r="AH14" s="165">
        <f t="shared" si="12"/>
        <v>0.30280881278062</v>
      </c>
      <c r="AI14" s="165">
        <f t="shared" si="13"/>
        <v>0.210925023214598</v>
      </c>
      <c r="AJ14" s="165">
        <f t="shared" si="14"/>
        <v>0.434544991987034</v>
      </c>
      <c r="AK14" s="167">
        <f t="shared" si="15"/>
        <v>2</v>
      </c>
    </row>
    <row r="15" spans="1:37" x14ac:dyDescent="0.2">
      <c r="A15" s="62" t="s">
        <v>38</v>
      </c>
      <c r="B15" s="62" t="s">
        <v>62</v>
      </c>
      <c r="C15" s="62" t="s">
        <v>201</v>
      </c>
      <c r="D15" s="62"/>
      <c r="E15" s="62">
        <f t="shared" si="2"/>
        <v>21</v>
      </c>
      <c r="F15" s="128">
        <v>52</v>
      </c>
      <c r="G15" s="129">
        <v>0.72798544029119405</v>
      </c>
      <c r="H15" s="129">
        <v>0.55560740436089695</v>
      </c>
      <c r="I15" s="129">
        <v>0.953331326714427</v>
      </c>
      <c r="J15" s="129"/>
      <c r="K15" s="129"/>
      <c r="L15" s="129"/>
      <c r="M15" s="60">
        <f t="shared" si="0"/>
        <v>5</v>
      </c>
      <c r="N15" s="61">
        <f t="shared" si="3"/>
        <v>1.6210958608019001E-2</v>
      </c>
      <c r="O15" s="61">
        <f t="shared" si="16"/>
        <v>0.39054872095293902</v>
      </c>
      <c r="P15" s="129">
        <f t="shared" si="4"/>
        <v>0.56348046821879505</v>
      </c>
      <c r="Q15" s="129">
        <f t="shared" si="5"/>
        <v>0.536739329187778</v>
      </c>
      <c r="R15" s="129">
        <f t="shared" si="6"/>
        <v>0.59154596634506496</v>
      </c>
      <c r="S15" s="61">
        <f t="shared" si="7"/>
        <v>0.68559445071785796</v>
      </c>
      <c r="T15" s="61">
        <f t="shared" si="1"/>
        <v>2.6638869585360201</v>
      </c>
      <c r="U15" s="61">
        <f t="shared" si="17"/>
        <v>0.39898124207121621</v>
      </c>
      <c r="V15" s="61"/>
      <c r="Y15" s="162" t="s">
        <v>32</v>
      </c>
      <c r="Z15" s="162" t="s">
        <v>156</v>
      </c>
      <c r="AA15" s="162" t="s">
        <v>201</v>
      </c>
      <c r="AB15" s="162">
        <f>RANK(AH15,$AH$14:$AH$22,1)</f>
        <v>4</v>
      </c>
      <c r="AC15" s="165">
        <f t="shared" si="19"/>
        <v>1.6210958608019001E-2</v>
      </c>
      <c r="AD15" s="165">
        <f t="shared" ref="AD15:AD22" si="20">MAX($AH$14:$AH$22)</f>
        <v>1.5818431911966999</v>
      </c>
      <c r="AE15" s="162"/>
      <c r="AF15" s="162">
        <f t="shared" si="10"/>
        <v>5</v>
      </c>
      <c r="AG15" s="167">
        <f t="shared" si="11"/>
        <v>48</v>
      </c>
      <c r="AH15" s="165">
        <f t="shared" si="12"/>
        <v>0.27680064586817399</v>
      </c>
      <c r="AI15" s="165">
        <f t="shared" si="13"/>
        <v>0.20885259975975001</v>
      </c>
      <c r="AJ15" s="165">
        <f t="shared" si="14"/>
        <v>0.36677364080135899</v>
      </c>
      <c r="AK15" s="167">
        <f t="shared" si="15"/>
        <v>2</v>
      </c>
    </row>
    <row r="16" spans="1:37" x14ac:dyDescent="0.2">
      <c r="A16" s="62" t="s">
        <v>39</v>
      </c>
      <c r="B16" s="62" t="s">
        <v>158</v>
      </c>
      <c r="C16" s="62" t="s">
        <v>200</v>
      </c>
      <c r="D16" s="62"/>
      <c r="E16" s="62">
        <f t="shared" si="2"/>
        <v>8</v>
      </c>
      <c r="F16" s="128">
        <v>59</v>
      </c>
      <c r="G16" s="129">
        <v>0.39252212095003702</v>
      </c>
      <c r="H16" s="129">
        <v>0.30444794856169</v>
      </c>
      <c r="I16" s="129">
        <v>0.50594608954246101</v>
      </c>
      <c r="J16" s="129"/>
      <c r="K16" s="129"/>
      <c r="L16" s="129"/>
      <c r="M16" s="60">
        <f t="shared" si="0"/>
        <v>2</v>
      </c>
      <c r="N16" s="61">
        <f t="shared" si="3"/>
        <v>1.6210958608019001E-2</v>
      </c>
      <c r="O16" s="61">
        <f t="shared" si="16"/>
        <v>0.39054872095293902</v>
      </c>
      <c r="P16" s="129">
        <f t="shared" si="4"/>
        <v>0.56348046821879505</v>
      </c>
      <c r="Q16" s="129">
        <f t="shared" si="5"/>
        <v>0.536739329187778</v>
      </c>
      <c r="R16" s="129">
        <f t="shared" si="6"/>
        <v>0.59154596634506496</v>
      </c>
      <c r="S16" s="61">
        <f t="shared" si="7"/>
        <v>0.68559445071785796</v>
      </c>
      <c r="T16" s="61">
        <f t="shared" si="1"/>
        <v>2.6638869585360201</v>
      </c>
      <c r="U16" s="61">
        <f t="shared" si="17"/>
        <v>0.65091023008110271</v>
      </c>
      <c r="V16" s="61"/>
      <c r="Y16" s="162" t="s">
        <v>36</v>
      </c>
      <c r="Z16" s="162" t="s">
        <v>61</v>
      </c>
      <c r="AA16" s="162" t="s">
        <v>201</v>
      </c>
      <c r="AB16" s="162">
        <f>RANK(AH16,$AH$14:$AH$22,1)</f>
        <v>1</v>
      </c>
      <c r="AC16" s="165">
        <f t="shared" si="19"/>
        <v>1.6210958608019001E-2</v>
      </c>
      <c r="AD16" s="165">
        <f t="shared" si="20"/>
        <v>1.5818431911966999</v>
      </c>
      <c r="AE16" s="162"/>
      <c r="AF16" s="162">
        <f t="shared" si="10"/>
        <v>1</v>
      </c>
      <c r="AG16" s="167">
        <f t="shared" si="11"/>
        <v>3</v>
      </c>
      <c r="AH16" s="165">
        <f t="shared" si="12"/>
        <v>1.6210958608019001E-2</v>
      </c>
      <c r="AI16" s="165">
        <f t="shared" si="13"/>
        <v>5.5133385348926298E-3</v>
      </c>
      <c r="AJ16" s="165">
        <f t="shared" si="14"/>
        <v>4.7655451930377797E-2</v>
      </c>
      <c r="AK16" s="167">
        <f t="shared" si="15"/>
        <v>2</v>
      </c>
    </row>
    <row r="17" spans="1:37" x14ac:dyDescent="0.2">
      <c r="A17" s="62" t="s">
        <v>40</v>
      </c>
      <c r="B17" s="62" t="s">
        <v>63</v>
      </c>
      <c r="C17" s="62" t="s">
        <v>200</v>
      </c>
      <c r="D17" s="62"/>
      <c r="E17" s="62">
        <f t="shared" si="2"/>
        <v>19</v>
      </c>
      <c r="F17" s="128">
        <v>56</v>
      </c>
      <c r="G17" s="129">
        <v>0.68484774367127299</v>
      </c>
      <c r="H17" s="129">
        <v>0.52779844216303695</v>
      </c>
      <c r="I17" s="129">
        <v>0.88821064936864502</v>
      </c>
      <c r="J17" s="129"/>
      <c r="K17" s="129"/>
      <c r="L17" s="129"/>
      <c r="M17" s="60">
        <f t="shared" si="0"/>
        <v>5</v>
      </c>
      <c r="N17" s="61">
        <f t="shared" si="3"/>
        <v>1.6210958608019001E-2</v>
      </c>
      <c r="O17" s="61">
        <f t="shared" si="16"/>
        <v>0.39054872095293902</v>
      </c>
      <c r="P17" s="129">
        <f t="shared" si="4"/>
        <v>0.56348046821879505</v>
      </c>
      <c r="Q17" s="129">
        <f t="shared" si="5"/>
        <v>0.536739329187778</v>
      </c>
      <c r="R17" s="129">
        <f t="shared" si="6"/>
        <v>0.59154596634506496</v>
      </c>
      <c r="S17" s="61">
        <f t="shared" si="7"/>
        <v>0.68559445071785796</v>
      </c>
      <c r="T17" s="61">
        <f t="shared" si="1"/>
        <v>2.6638869585360201</v>
      </c>
      <c r="U17" s="61">
        <f t="shared" si="17"/>
        <v>0.65091023008110271</v>
      </c>
      <c r="V17" s="61"/>
      <c r="Y17" s="162" t="s">
        <v>37</v>
      </c>
      <c r="Z17" s="162" t="s">
        <v>157</v>
      </c>
      <c r="AA17" s="162" t="s">
        <v>201</v>
      </c>
      <c r="AB17" s="162">
        <f t="shared" ref="AB17:AB22" si="21">RANK(AH17,$AH$14:$AH$22,1)</f>
        <v>3</v>
      </c>
      <c r="AC17" s="165">
        <f t="shared" si="19"/>
        <v>1.6210958608019001E-2</v>
      </c>
      <c r="AD17" s="165">
        <f>MAX($AH$14:$AH$22)</f>
        <v>1.5818431911966999</v>
      </c>
      <c r="AE17" s="162"/>
      <c r="AF17" s="162">
        <f t="shared" si="10"/>
        <v>3</v>
      </c>
      <c r="AG17" s="167">
        <f t="shared" si="11"/>
        <v>45</v>
      </c>
      <c r="AH17" s="165">
        <f t="shared" si="12"/>
        <v>0.18712574850299399</v>
      </c>
      <c r="AI17" s="165">
        <f t="shared" si="13"/>
        <v>0.13988747181911099</v>
      </c>
      <c r="AJ17" s="165">
        <f t="shared" si="14"/>
        <v>0.25027583015242699</v>
      </c>
      <c r="AK17" s="167">
        <f t="shared" si="15"/>
        <v>2</v>
      </c>
    </row>
    <row r="18" spans="1:37" x14ac:dyDescent="0.2">
      <c r="A18" s="62" t="s">
        <v>41</v>
      </c>
      <c r="B18" s="62" t="s">
        <v>64</v>
      </c>
      <c r="C18" s="62" t="s">
        <v>163</v>
      </c>
      <c r="D18" s="62"/>
      <c r="E18" s="62">
        <f t="shared" si="2"/>
        <v>10</v>
      </c>
      <c r="F18" s="128">
        <v>51</v>
      </c>
      <c r="G18" s="129">
        <v>0.47082717872968999</v>
      </c>
      <c r="H18" s="129">
        <v>0.358304412942059</v>
      </c>
      <c r="I18" s="129">
        <v>0.61846752694762996</v>
      </c>
      <c r="J18" s="129"/>
      <c r="K18" s="129"/>
      <c r="L18" s="129"/>
      <c r="M18" s="60">
        <f t="shared" si="0"/>
        <v>5</v>
      </c>
      <c r="N18" s="61">
        <f t="shared" si="3"/>
        <v>1.6210958608019001E-2</v>
      </c>
      <c r="O18" s="61">
        <f t="shared" si="16"/>
        <v>0.39054872095293902</v>
      </c>
      <c r="P18" s="129">
        <f t="shared" si="4"/>
        <v>0.56348046821879505</v>
      </c>
      <c r="Q18" s="129">
        <f t="shared" si="5"/>
        <v>0.536739329187778</v>
      </c>
      <c r="R18" s="129">
        <f t="shared" si="6"/>
        <v>0.59154596634506496</v>
      </c>
      <c r="S18" s="61">
        <f t="shared" si="7"/>
        <v>0.68559445071785796</v>
      </c>
      <c r="T18" s="61">
        <f t="shared" si="1"/>
        <v>2.6638869585360201</v>
      </c>
      <c r="U18" s="61">
        <f t="shared" si="17"/>
        <v>0.66057798004910673</v>
      </c>
      <c r="V18" s="61"/>
      <c r="Y18" s="162" t="s">
        <v>38</v>
      </c>
      <c r="Z18" s="162" t="s">
        <v>62</v>
      </c>
      <c r="AA18" s="162" t="s">
        <v>201</v>
      </c>
      <c r="AB18" s="162">
        <f t="shared" si="21"/>
        <v>7</v>
      </c>
      <c r="AC18" s="165">
        <f t="shared" si="19"/>
        <v>1.6210958608019001E-2</v>
      </c>
      <c r="AD18" s="165">
        <f t="shared" si="20"/>
        <v>1.5818431911966999</v>
      </c>
      <c r="AE18" s="162"/>
      <c r="AF18" s="162">
        <f t="shared" si="10"/>
        <v>21</v>
      </c>
      <c r="AG18" s="167">
        <f t="shared" si="11"/>
        <v>52</v>
      </c>
      <c r="AH18" s="165">
        <f t="shared" si="12"/>
        <v>0.72798544029119405</v>
      </c>
      <c r="AI18" s="165">
        <f t="shared" si="13"/>
        <v>0.55560740436089695</v>
      </c>
      <c r="AJ18" s="165">
        <f t="shared" si="14"/>
        <v>0.953331326714427</v>
      </c>
      <c r="AK18" s="167">
        <f t="shared" si="15"/>
        <v>5</v>
      </c>
    </row>
    <row r="19" spans="1:37" x14ac:dyDescent="0.2">
      <c r="A19" s="62" t="s">
        <v>42</v>
      </c>
      <c r="B19" s="62" t="s">
        <v>65</v>
      </c>
      <c r="C19" s="62" t="s">
        <v>200</v>
      </c>
      <c r="D19" s="62"/>
      <c r="E19" s="62">
        <f t="shared" si="2"/>
        <v>7</v>
      </c>
      <c r="F19" s="128">
        <v>20</v>
      </c>
      <c r="G19" s="129">
        <v>0.39054872095293902</v>
      </c>
      <c r="H19" s="129">
        <v>0.252969020021375</v>
      </c>
      <c r="I19" s="129">
        <v>0.60250054275379705</v>
      </c>
      <c r="J19" s="129"/>
      <c r="K19" s="129"/>
      <c r="L19" s="129"/>
      <c r="M19" s="60">
        <f t="shared" si="0"/>
        <v>5</v>
      </c>
      <c r="N19" s="61">
        <f t="shared" si="3"/>
        <v>1.6210958608019001E-2</v>
      </c>
      <c r="O19" s="61">
        <f t="shared" si="16"/>
        <v>0.39054872095293902</v>
      </c>
      <c r="P19" s="129">
        <f t="shared" si="4"/>
        <v>0.56348046821879505</v>
      </c>
      <c r="Q19" s="129">
        <f t="shared" si="5"/>
        <v>0.536739329187778</v>
      </c>
      <c r="R19" s="129">
        <f t="shared" si="6"/>
        <v>0.59154596634506496</v>
      </c>
      <c r="S19" s="61">
        <f t="shared" si="7"/>
        <v>0.68559445071785796</v>
      </c>
      <c r="T19" s="61">
        <f t="shared" si="1"/>
        <v>2.6638869585360201</v>
      </c>
      <c r="U19" s="61">
        <f t="shared" si="17"/>
        <v>0.65091023008110271</v>
      </c>
      <c r="V19" s="61"/>
      <c r="Y19" s="162" t="s">
        <v>43</v>
      </c>
      <c r="Z19" s="162" t="s">
        <v>159</v>
      </c>
      <c r="AA19" s="162" t="s">
        <v>201</v>
      </c>
      <c r="AB19" s="162">
        <f t="shared" si="21"/>
        <v>8</v>
      </c>
      <c r="AC19" s="165">
        <f t="shared" si="19"/>
        <v>1.6210958608019001E-2</v>
      </c>
      <c r="AD19" s="165">
        <f t="shared" si="20"/>
        <v>1.5818431911966999</v>
      </c>
      <c r="AE19" s="162"/>
      <c r="AF19" s="162">
        <f t="shared" si="10"/>
        <v>24</v>
      </c>
      <c r="AG19" s="167">
        <f t="shared" si="11"/>
        <v>122</v>
      </c>
      <c r="AH19" s="165">
        <f t="shared" si="12"/>
        <v>1.2557900154400401</v>
      </c>
      <c r="AI19" s="165">
        <f t="shared" si="13"/>
        <v>1.0528312732132701</v>
      </c>
      <c r="AJ19" s="165">
        <f t="shared" si="14"/>
        <v>1.49728192567791</v>
      </c>
      <c r="AK19" s="167">
        <f t="shared" si="15"/>
        <v>1</v>
      </c>
    </row>
    <row r="20" spans="1:37" x14ac:dyDescent="0.2">
      <c r="A20" s="62" t="s">
        <v>43</v>
      </c>
      <c r="B20" s="62" t="s">
        <v>159</v>
      </c>
      <c r="C20" s="62" t="s">
        <v>201</v>
      </c>
      <c r="D20" s="62"/>
      <c r="E20" s="62">
        <f t="shared" si="2"/>
        <v>24</v>
      </c>
      <c r="F20" s="128">
        <v>122</v>
      </c>
      <c r="G20" s="129">
        <v>1.2557900154400401</v>
      </c>
      <c r="H20" s="129">
        <v>1.0528312732132701</v>
      </c>
      <c r="I20" s="129">
        <v>1.49728192567791</v>
      </c>
      <c r="J20" s="129"/>
      <c r="K20" s="129"/>
      <c r="L20" s="129"/>
      <c r="M20" s="60">
        <f t="shared" si="0"/>
        <v>1</v>
      </c>
      <c r="N20" s="61">
        <f t="shared" si="3"/>
        <v>1.6210958608019001E-2</v>
      </c>
      <c r="O20" s="61">
        <f t="shared" si="16"/>
        <v>0.39054872095293902</v>
      </c>
      <c r="P20" s="129">
        <f t="shared" si="4"/>
        <v>0.56348046821879505</v>
      </c>
      <c r="Q20" s="129">
        <f t="shared" si="5"/>
        <v>0.536739329187778</v>
      </c>
      <c r="R20" s="129">
        <f t="shared" si="6"/>
        <v>0.59154596634506496</v>
      </c>
      <c r="S20" s="61">
        <f t="shared" si="7"/>
        <v>0.68559445071785796</v>
      </c>
      <c r="T20" s="61">
        <f t="shared" si="1"/>
        <v>2.6638869585360201</v>
      </c>
      <c r="U20" s="61">
        <f t="shared" si="17"/>
        <v>0.39898124207121621</v>
      </c>
      <c r="V20" s="61"/>
      <c r="Y20" s="162" t="s">
        <v>48</v>
      </c>
      <c r="Z20" s="162" t="s">
        <v>160</v>
      </c>
      <c r="AA20" s="162" t="s">
        <v>201</v>
      </c>
      <c r="AB20" s="162">
        <f t="shared" si="21"/>
        <v>6</v>
      </c>
      <c r="AC20" s="165">
        <f t="shared" si="19"/>
        <v>1.6210958608019001E-2</v>
      </c>
      <c r="AD20" s="165">
        <f t="shared" si="20"/>
        <v>1.5818431911966999</v>
      </c>
      <c r="AE20" s="162"/>
      <c r="AF20" s="162">
        <f t="shared" si="10"/>
        <v>13</v>
      </c>
      <c r="AG20" s="167">
        <f t="shared" si="11"/>
        <v>32</v>
      </c>
      <c r="AH20" s="165">
        <f t="shared" si="12"/>
        <v>0.52091811818329803</v>
      </c>
      <c r="AI20" s="165">
        <f t="shared" si="13"/>
        <v>0.369244060574273</v>
      </c>
      <c r="AJ20" s="165">
        <f t="shared" si="14"/>
        <v>0.73443592328706298</v>
      </c>
      <c r="AK20" s="167">
        <f t="shared" si="15"/>
        <v>5</v>
      </c>
    </row>
    <row r="21" spans="1:37" x14ac:dyDescent="0.2">
      <c r="A21" s="62" t="s">
        <v>44</v>
      </c>
      <c r="B21" s="62" t="s">
        <v>66</v>
      </c>
      <c r="C21" s="62" t="s">
        <v>200</v>
      </c>
      <c r="D21" s="62"/>
      <c r="E21" s="62">
        <f t="shared" si="2"/>
        <v>26</v>
      </c>
      <c r="F21" s="128">
        <v>115</v>
      </c>
      <c r="G21" s="129">
        <v>2.6638869585360201</v>
      </c>
      <c r="H21" s="129">
        <v>2.22400045734621</v>
      </c>
      <c r="I21" s="129">
        <v>3.1879421248867801</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1</v>
      </c>
      <c r="N21" s="61">
        <f t="shared" si="3"/>
        <v>1.6210958608019001E-2</v>
      </c>
      <c r="O21" s="61">
        <f t="shared" si="16"/>
        <v>0.39054872095293902</v>
      </c>
      <c r="P21" s="129">
        <f t="shared" si="4"/>
        <v>0.56348046821879505</v>
      </c>
      <c r="Q21" s="129">
        <f t="shared" si="5"/>
        <v>0.536739329187778</v>
      </c>
      <c r="R21" s="129">
        <f t="shared" si="6"/>
        <v>0.59154596634506496</v>
      </c>
      <c r="S21" s="61">
        <f t="shared" si="7"/>
        <v>0.68559445071785796</v>
      </c>
      <c r="T21" s="61">
        <f t="shared" si="1"/>
        <v>2.6638869585360201</v>
      </c>
      <c r="U21" s="61">
        <f t="shared" si="17"/>
        <v>0.65091023008110271</v>
      </c>
      <c r="V21" s="61"/>
      <c r="Y21" s="162" t="s">
        <v>52</v>
      </c>
      <c r="Z21" s="162" t="s">
        <v>72</v>
      </c>
      <c r="AA21" s="162" t="s">
        <v>201</v>
      </c>
      <c r="AB21" s="162">
        <f t="shared" si="21"/>
        <v>9</v>
      </c>
      <c r="AC21" s="165">
        <f t="shared" si="19"/>
        <v>1.6210958608019001E-2</v>
      </c>
      <c r="AD21" s="165">
        <f t="shared" si="20"/>
        <v>1.5818431911966999</v>
      </c>
      <c r="AE21" s="162"/>
      <c r="AF21" s="162">
        <f t="shared" si="10"/>
        <v>25</v>
      </c>
      <c r="AG21" s="167">
        <f t="shared" si="11"/>
        <v>69</v>
      </c>
      <c r="AH21" s="165">
        <f t="shared" si="12"/>
        <v>1.5818431911966999</v>
      </c>
      <c r="AI21" s="165">
        <f t="shared" si="13"/>
        <v>1.25188972532647</v>
      </c>
      <c r="AJ21" s="165">
        <f t="shared" si="14"/>
        <v>1.99700192954843</v>
      </c>
      <c r="AK21" s="167">
        <f t="shared" si="15"/>
        <v>1</v>
      </c>
    </row>
    <row r="22" spans="1:37" x14ac:dyDescent="0.2">
      <c r="A22" s="62" t="s">
        <v>45</v>
      </c>
      <c r="B22" s="62" t="s">
        <v>67</v>
      </c>
      <c r="C22" s="62" t="s">
        <v>163</v>
      </c>
      <c r="D22" s="62"/>
      <c r="E22" s="62">
        <f t="shared" si="2"/>
        <v>22</v>
      </c>
      <c r="F22" s="128">
        <v>70</v>
      </c>
      <c r="G22" s="129">
        <v>0.80192461908580603</v>
      </c>
      <c r="H22" s="129">
        <v>0.63525513289188695</v>
      </c>
      <c r="I22" s="129">
        <v>1.01187724090617</v>
      </c>
      <c r="J22" s="129"/>
      <c r="K22" s="129"/>
      <c r="L22" s="129"/>
      <c r="M22" s="60">
        <f t="shared" si="0"/>
        <v>1</v>
      </c>
      <c r="N22" s="61">
        <f t="shared" si="3"/>
        <v>1.6210958608019001E-2</v>
      </c>
      <c r="O22" s="61">
        <f t="shared" si="16"/>
        <v>0.39054872095293902</v>
      </c>
      <c r="P22" s="129">
        <f t="shared" si="4"/>
        <v>0.56348046821879505</v>
      </c>
      <c r="Q22" s="129">
        <f t="shared" si="5"/>
        <v>0.536739329187778</v>
      </c>
      <c r="R22" s="129">
        <f t="shared" si="6"/>
        <v>0.59154596634506496</v>
      </c>
      <c r="S22" s="61">
        <f t="shared" si="7"/>
        <v>0.68559445071785796</v>
      </c>
      <c r="T22" s="61">
        <f t="shared" si="1"/>
        <v>2.6638869585360201</v>
      </c>
      <c r="U22" s="61">
        <f>VLOOKUP(C22,$C$43:$I$46,5,FALSE)</f>
        <v>0.66057798004910673</v>
      </c>
      <c r="V22" s="61"/>
      <c r="Y22" s="162" t="s">
        <v>54</v>
      </c>
      <c r="Z22" s="162" t="s">
        <v>73</v>
      </c>
      <c r="AA22" s="162" t="s">
        <v>201</v>
      </c>
      <c r="AB22" s="162">
        <f t="shared" si="21"/>
        <v>2</v>
      </c>
      <c r="AC22" s="165">
        <f t="shared" si="19"/>
        <v>1.6210958608019001E-2</v>
      </c>
      <c r="AD22" s="165">
        <f t="shared" si="20"/>
        <v>1.5818431911966999</v>
      </c>
      <c r="AE22" s="162"/>
      <c r="AF22" s="162">
        <f t="shared" si="10"/>
        <v>2</v>
      </c>
      <c r="AG22" s="167">
        <f t="shared" si="11"/>
        <v>11</v>
      </c>
      <c r="AH22" s="165">
        <f t="shared" si="12"/>
        <v>0.185154014475678</v>
      </c>
      <c r="AI22" s="165">
        <f t="shared" si="13"/>
        <v>0.103420936272123</v>
      </c>
      <c r="AJ22" s="165">
        <f t="shared" si="14"/>
        <v>0.331266161772379</v>
      </c>
      <c r="AK22" s="167">
        <f t="shared" si="15"/>
        <v>2</v>
      </c>
    </row>
    <row r="23" spans="1:37" x14ac:dyDescent="0.2">
      <c r="A23" s="62" t="s">
        <v>46</v>
      </c>
      <c r="B23" s="62" t="s">
        <v>68</v>
      </c>
      <c r="C23" s="62" t="s">
        <v>163</v>
      </c>
      <c r="D23" s="62"/>
      <c r="E23" s="62">
        <f t="shared" si="2"/>
        <v>14</v>
      </c>
      <c r="F23" s="128">
        <v>58</v>
      </c>
      <c r="G23" s="129">
        <v>0.53079527775235702</v>
      </c>
      <c r="H23" s="129">
        <v>0.41085913290714798</v>
      </c>
      <c r="I23" s="129">
        <v>0.68550164839379601</v>
      </c>
      <c r="J23" s="129"/>
      <c r="K23" s="129"/>
      <c r="L23" s="129"/>
      <c r="M23" s="60">
        <f t="shared" si="0"/>
        <v>5</v>
      </c>
      <c r="N23" s="61">
        <f t="shared" si="3"/>
        <v>1.6210958608019001E-2</v>
      </c>
      <c r="O23" s="61">
        <f t="shared" si="16"/>
        <v>0.39054872095293902</v>
      </c>
      <c r="P23" s="129">
        <f t="shared" si="4"/>
        <v>0.56348046821879505</v>
      </c>
      <c r="Q23" s="129">
        <f t="shared" si="5"/>
        <v>0.536739329187778</v>
      </c>
      <c r="R23" s="129">
        <f t="shared" si="6"/>
        <v>0.59154596634506496</v>
      </c>
      <c r="S23" s="61">
        <f t="shared" si="7"/>
        <v>0.68559445071785796</v>
      </c>
      <c r="T23" s="61">
        <f t="shared" si="1"/>
        <v>2.6638869585360201</v>
      </c>
      <c r="U23" s="61">
        <f t="shared" si="17"/>
        <v>0.66057798004910673</v>
      </c>
      <c r="V23" s="61"/>
      <c r="Y23" s="163" t="s">
        <v>30</v>
      </c>
      <c r="Z23" s="163" t="s">
        <v>56</v>
      </c>
      <c r="AA23" s="163" t="s">
        <v>200</v>
      </c>
      <c r="AB23" s="163">
        <f>RANK(AH23,$AH$23:$AH$31,1)</f>
        <v>6</v>
      </c>
      <c r="AC23" s="166">
        <f>MIN($AH$23:$AH$31)</f>
        <v>0.22075055187638001</v>
      </c>
      <c r="AD23" s="166">
        <f>MAX($AH$23:$AH$31)</f>
        <v>2.6638869585360201</v>
      </c>
      <c r="AE23" s="163"/>
      <c r="AF23" s="163">
        <f t="shared" si="10"/>
        <v>18</v>
      </c>
      <c r="AG23" s="168">
        <f t="shared" si="11"/>
        <v>77</v>
      </c>
      <c r="AH23" s="166">
        <f t="shared" si="12"/>
        <v>0.68474877723432603</v>
      </c>
      <c r="AI23" s="166">
        <f t="shared" si="13"/>
        <v>0.54826814011901204</v>
      </c>
      <c r="AJ23" s="166">
        <f t="shared" si="14"/>
        <v>0.85491155086084303</v>
      </c>
      <c r="AK23" s="168">
        <f t="shared" si="15"/>
        <v>5</v>
      </c>
    </row>
    <row r="24" spans="1:37" x14ac:dyDescent="0.2">
      <c r="A24" s="62" t="s">
        <v>47</v>
      </c>
      <c r="B24" s="62" t="s">
        <v>69</v>
      </c>
      <c r="C24" s="62" t="s">
        <v>163</v>
      </c>
      <c r="D24" s="62"/>
      <c r="E24" s="62">
        <f t="shared" si="2"/>
        <v>9</v>
      </c>
      <c r="F24" s="128">
        <v>24</v>
      </c>
      <c r="G24" s="129">
        <v>0.43580897040130701</v>
      </c>
      <c r="H24" s="129">
        <v>0.29304451870177001</v>
      </c>
      <c r="I24" s="129">
        <v>0.647673141352055</v>
      </c>
      <c r="J24" s="129"/>
      <c r="K24" s="129"/>
      <c r="L24" s="129"/>
      <c r="M24" s="60">
        <f t="shared" si="0"/>
        <v>5</v>
      </c>
      <c r="N24" s="61">
        <f t="shared" si="3"/>
        <v>1.6210958608019001E-2</v>
      </c>
      <c r="O24" s="61">
        <f t="shared" si="16"/>
        <v>0.39054872095293902</v>
      </c>
      <c r="P24" s="129">
        <f t="shared" si="4"/>
        <v>0.56348046821879505</v>
      </c>
      <c r="Q24" s="129">
        <f t="shared" si="5"/>
        <v>0.536739329187778</v>
      </c>
      <c r="R24" s="129">
        <f t="shared" si="6"/>
        <v>0.59154596634506496</v>
      </c>
      <c r="S24" s="61">
        <f t="shared" si="7"/>
        <v>0.68559445071785796</v>
      </c>
      <c r="T24" s="61">
        <f t="shared" si="1"/>
        <v>2.6638869585360201</v>
      </c>
      <c r="U24" s="61">
        <f t="shared" si="17"/>
        <v>0.66057798004910673</v>
      </c>
      <c r="V24" s="61"/>
      <c r="Y24" s="163" t="s">
        <v>31</v>
      </c>
      <c r="Z24" s="163" t="s">
        <v>57</v>
      </c>
      <c r="AA24" s="163" t="s">
        <v>200</v>
      </c>
      <c r="AB24" s="163">
        <f t="shared" ref="AB24:AB31" si="22">RANK(AH24,$AH$23:$AH$31,1)</f>
        <v>8</v>
      </c>
      <c r="AC24" s="166">
        <f t="shared" ref="AC24:AC31" si="23">MIN($AH$23:$AH$31)</f>
        <v>0.22075055187638001</v>
      </c>
      <c r="AD24" s="166">
        <f t="shared" ref="AD24:AD31" si="24">MAX($AH$23:$AH$31)</f>
        <v>2.6638869585360201</v>
      </c>
      <c r="AE24" s="163"/>
      <c r="AF24" s="163">
        <f t="shared" si="10"/>
        <v>20</v>
      </c>
      <c r="AG24" s="168">
        <f t="shared" si="11"/>
        <v>85</v>
      </c>
      <c r="AH24" s="166">
        <f t="shared" si="12"/>
        <v>0.68559445071785796</v>
      </c>
      <c r="AI24" s="166">
        <f t="shared" si="13"/>
        <v>0.55484229033555899</v>
      </c>
      <c r="AJ24" s="166">
        <f t="shared" si="14"/>
        <v>0.84689679331520795</v>
      </c>
      <c r="AK24" s="168">
        <f t="shared" si="15"/>
        <v>5</v>
      </c>
    </row>
    <row r="25" spans="1:37" x14ac:dyDescent="0.2">
      <c r="A25" s="62" t="s">
        <v>48</v>
      </c>
      <c r="B25" s="62" t="s">
        <v>160</v>
      </c>
      <c r="C25" s="62" t="s">
        <v>201</v>
      </c>
      <c r="D25" s="62"/>
      <c r="E25" s="62">
        <f t="shared" si="2"/>
        <v>13</v>
      </c>
      <c r="F25" s="128">
        <v>32</v>
      </c>
      <c r="G25" s="129">
        <v>0.52091811818329803</v>
      </c>
      <c r="H25" s="129">
        <v>0.369244060574273</v>
      </c>
      <c r="I25" s="129">
        <v>0.73443592328706298</v>
      </c>
      <c r="J25" s="129"/>
      <c r="K25" s="129"/>
      <c r="L25" s="129"/>
      <c r="M25" s="60">
        <f t="shared" si="0"/>
        <v>5</v>
      </c>
      <c r="N25" s="61">
        <f t="shared" si="3"/>
        <v>1.6210958608019001E-2</v>
      </c>
      <c r="O25" s="61">
        <f t="shared" si="16"/>
        <v>0.39054872095293902</v>
      </c>
      <c r="P25" s="129">
        <f t="shared" si="4"/>
        <v>0.56348046821879505</v>
      </c>
      <c r="Q25" s="129">
        <f t="shared" si="5"/>
        <v>0.536739329187778</v>
      </c>
      <c r="R25" s="129">
        <f t="shared" si="6"/>
        <v>0.59154596634506496</v>
      </c>
      <c r="S25" s="61">
        <f t="shared" si="7"/>
        <v>0.68559445071785796</v>
      </c>
      <c r="T25" s="61">
        <f t="shared" si="1"/>
        <v>2.6638869585360201</v>
      </c>
      <c r="U25" s="61">
        <f t="shared" si="17"/>
        <v>0.39898124207121621</v>
      </c>
      <c r="V25" s="61"/>
      <c r="Y25" s="163" t="s">
        <v>34</v>
      </c>
      <c r="Z25" s="163" t="s">
        <v>59</v>
      </c>
      <c r="AA25" s="163" t="s">
        <v>200</v>
      </c>
      <c r="AB25" s="163">
        <f t="shared" si="22"/>
        <v>4</v>
      </c>
      <c r="AC25" s="166">
        <f t="shared" si="23"/>
        <v>0.22075055187638001</v>
      </c>
      <c r="AD25" s="166">
        <f t="shared" si="24"/>
        <v>2.6638869585360201</v>
      </c>
      <c r="AE25" s="163"/>
      <c r="AF25" s="163">
        <f t="shared" si="10"/>
        <v>12</v>
      </c>
      <c r="AG25" s="168">
        <f t="shared" si="11"/>
        <v>76</v>
      </c>
      <c r="AH25" s="166">
        <f t="shared" si="12"/>
        <v>0.492578909845097</v>
      </c>
      <c r="AI25" s="166">
        <f t="shared" si="13"/>
        <v>0.39376036116214702</v>
      </c>
      <c r="AJ25" s="166">
        <f t="shared" si="14"/>
        <v>0.61604369362921796</v>
      </c>
      <c r="AK25" s="168">
        <f t="shared" si="15"/>
        <v>5</v>
      </c>
    </row>
    <row r="26" spans="1:37" x14ac:dyDescent="0.2">
      <c r="A26" s="62" t="s">
        <v>49</v>
      </c>
      <c r="B26" s="62" t="s">
        <v>70</v>
      </c>
      <c r="C26" s="62" t="s">
        <v>200</v>
      </c>
      <c r="D26" s="62"/>
      <c r="E26" s="62">
        <f t="shared" si="2"/>
        <v>17</v>
      </c>
      <c r="F26" s="128">
        <v>61</v>
      </c>
      <c r="G26" s="129">
        <v>0.67530167164840005</v>
      </c>
      <c r="H26" s="129">
        <v>0.52611592035286203</v>
      </c>
      <c r="I26" s="129">
        <v>0.86642216271666705</v>
      </c>
      <c r="J26" s="129"/>
      <c r="K26" s="129"/>
      <c r="L26" s="129"/>
      <c r="M26" s="60">
        <f t="shared" si="0"/>
        <v>5</v>
      </c>
      <c r="N26" s="61">
        <f t="shared" si="3"/>
        <v>1.6210958608019001E-2</v>
      </c>
      <c r="O26" s="61">
        <f t="shared" si="16"/>
        <v>0.39054872095293902</v>
      </c>
      <c r="P26" s="129">
        <f t="shared" si="4"/>
        <v>0.56348046821879505</v>
      </c>
      <c r="Q26" s="129">
        <f t="shared" si="5"/>
        <v>0.536739329187778</v>
      </c>
      <c r="R26" s="129">
        <f t="shared" si="6"/>
        <v>0.59154596634506496</v>
      </c>
      <c r="S26" s="61">
        <f t="shared" si="7"/>
        <v>0.68559445071785796</v>
      </c>
      <c r="T26" s="61">
        <f t="shared" si="1"/>
        <v>2.6638869585360201</v>
      </c>
      <c r="U26" s="61">
        <f t="shared" si="17"/>
        <v>0.65091023008110271</v>
      </c>
      <c r="V26" s="61"/>
      <c r="Y26" s="163" t="s">
        <v>39</v>
      </c>
      <c r="Z26" s="163" t="s">
        <v>158</v>
      </c>
      <c r="AA26" s="163" t="s">
        <v>200</v>
      </c>
      <c r="AB26" s="163">
        <f t="shared" si="22"/>
        <v>3</v>
      </c>
      <c r="AC26" s="166">
        <f t="shared" si="23"/>
        <v>0.22075055187638001</v>
      </c>
      <c r="AD26" s="166">
        <f t="shared" si="24"/>
        <v>2.6638869585360201</v>
      </c>
      <c r="AE26" s="163"/>
      <c r="AF26" s="163">
        <f t="shared" si="10"/>
        <v>8</v>
      </c>
      <c r="AG26" s="168">
        <f t="shared" si="11"/>
        <v>59</v>
      </c>
      <c r="AH26" s="166">
        <f t="shared" si="12"/>
        <v>0.39252212095003702</v>
      </c>
      <c r="AI26" s="166">
        <f t="shared" si="13"/>
        <v>0.30444794856169</v>
      </c>
      <c r="AJ26" s="166">
        <f t="shared" si="14"/>
        <v>0.50594608954246101</v>
      </c>
      <c r="AK26" s="168">
        <f t="shared" si="15"/>
        <v>2</v>
      </c>
    </row>
    <row r="27" spans="1:37" x14ac:dyDescent="0.2">
      <c r="A27" s="62" t="s">
        <v>50</v>
      </c>
      <c r="B27" s="62" t="s">
        <v>161</v>
      </c>
      <c r="C27" s="62" t="s">
        <v>163</v>
      </c>
      <c r="D27" s="62"/>
      <c r="E27" s="62">
        <f t="shared" si="2"/>
        <v>15</v>
      </c>
      <c r="F27" s="128">
        <v>37</v>
      </c>
      <c r="G27" s="129">
        <v>0.65672701455449101</v>
      </c>
      <c r="H27" s="129">
        <v>0.47684408940393802</v>
      </c>
      <c r="I27" s="129">
        <v>0.90385204029845301</v>
      </c>
      <c r="J27" s="129"/>
      <c r="K27" s="129"/>
      <c r="L27" s="129"/>
      <c r="M27" s="60">
        <f t="shared" si="0"/>
        <v>5</v>
      </c>
      <c r="N27" s="61">
        <f t="shared" si="3"/>
        <v>1.6210958608019001E-2</v>
      </c>
      <c r="O27" s="61">
        <f t="shared" si="16"/>
        <v>0.39054872095293902</v>
      </c>
      <c r="P27" s="129">
        <f t="shared" si="4"/>
        <v>0.56348046821879505</v>
      </c>
      <c r="Q27" s="129">
        <f t="shared" si="5"/>
        <v>0.536739329187778</v>
      </c>
      <c r="R27" s="129">
        <f t="shared" si="6"/>
        <v>0.59154596634506496</v>
      </c>
      <c r="S27" s="61">
        <f t="shared" si="7"/>
        <v>0.68559445071785796</v>
      </c>
      <c r="T27" s="61">
        <f t="shared" si="1"/>
        <v>2.6638869585360201</v>
      </c>
      <c r="U27" s="61">
        <f t="shared" si="17"/>
        <v>0.66057798004910673</v>
      </c>
      <c r="V27" s="61"/>
      <c r="Y27" s="163" t="s">
        <v>40</v>
      </c>
      <c r="Z27" s="163" t="s">
        <v>63</v>
      </c>
      <c r="AA27" s="163" t="s">
        <v>200</v>
      </c>
      <c r="AB27" s="163">
        <f t="shared" si="22"/>
        <v>7</v>
      </c>
      <c r="AC27" s="166">
        <f t="shared" si="23"/>
        <v>0.22075055187638001</v>
      </c>
      <c r="AD27" s="166">
        <f t="shared" si="24"/>
        <v>2.6638869585360201</v>
      </c>
      <c r="AE27" s="163"/>
      <c r="AF27" s="163">
        <f t="shared" si="10"/>
        <v>19</v>
      </c>
      <c r="AG27" s="168">
        <f t="shared" si="11"/>
        <v>56</v>
      </c>
      <c r="AH27" s="166">
        <f t="shared" si="12"/>
        <v>0.68484774367127299</v>
      </c>
      <c r="AI27" s="166">
        <f t="shared" si="13"/>
        <v>0.52779844216303695</v>
      </c>
      <c r="AJ27" s="166">
        <f t="shared" si="14"/>
        <v>0.88821064936864502</v>
      </c>
      <c r="AK27" s="168">
        <f t="shared" si="15"/>
        <v>5</v>
      </c>
    </row>
    <row r="28" spans="1:37" x14ac:dyDescent="0.2">
      <c r="A28" s="62" t="s">
        <v>51</v>
      </c>
      <c r="B28" s="62" t="s">
        <v>71</v>
      </c>
      <c r="C28" s="62" t="s">
        <v>200</v>
      </c>
      <c r="D28" s="62"/>
      <c r="E28" s="62">
        <f t="shared" si="2"/>
        <v>4</v>
      </c>
      <c r="F28" s="128">
        <v>12</v>
      </c>
      <c r="G28" s="129">
        <v>0.22075055187638001</v>
      </c>
      <c r="H28" s="129">
        <v>0.12632674093277799</v>
      </c>
      <c r="I28" s="129">
        <v>0.38547969738812699</v>
      </c>
      <c r="J28" s="129"/>
      <c r="K28" s="129"/>
      <c r="L28" s="129"/>
      <c r="M28" s="60">
        <f t="shared" si="0"/>
        <v>2</v>
      </c>
      <c r="N28" s="61">
        <f t="shared" si="3"/>
        <v>1.6210958608019001E-2</v>
      </c>
      <c r="O28" s="61">
        <f t="shared" si="16"/>
        <v>0.39054872095293902</v>
      </c>
      <c r="P28" s="129">
        <f t="shared" si="4"/>
        <v>0.56348046821879505</v>
      </c>
      <c r="Q28" s="129">
        <f t="shared" si="5"/>
        <v>0.536739329187778</v>
      </c>
      <c r="R28" s="129">
        <f t="shared" si="6"/>
        <v>0.59154596634506496</v>
      </c>
      <c r="S28" s="61">
        <f t="shared" si="7"/>
        <v>0.68559445071785796</v>
      </c>
      <c r="T28" s="61">
        <f t="shared" si="1"/>
        <v>2.6638869585360201</v>
      </c>
      <c r="U28" s="61">
        <f t="shared" si="17"/>
        <v>0.65091023008110271</v>
      </c>
      <c r="V28" s="61"/>
      <c r="Y28" s="163" t="s">
        <v>42</v>
      </c>
      <c r="Z28" s="163" t="s">
        <v>65</v>
      </c>
      <c r="AA28" s="163" t="s">
        <v>200</v>
      </c>
      <c r="AB28" s="163">
        <f t="shared" si="22"/>
        <v>2</v>
      </c>
      <c r="AC28" s="166">
        <f t="shared" si="23"/>
        <v>0.22075055187638001</v>
      </c>
      <c r="AD28" s="166">
        <f t="shared" si="24"/>
        <v>2.6638869585360201</v>
      </c>
      <c r="AE28" s="163"/>
      <c r="AF28" s="163">
        <f t="shared" si="10"/>
        <v>7</v>
      </c>
      <c r="AG28" s="168">
        <f t="shared" si="11"/>
        <v>20</v>
      </c>
      <c r="AH28" s="166">
        <f t="shared" si="12"/>
        <v>0.39054872095293902</v>
      </c>
      <c r="AI28" s="166">
        <f t="shared" si="13"/>
        <v>0.252969020021375</v>
      </c>
      <c r="AJ28" s="166">
        <f t="shared" si="14"/>
        <v>0.60250054275379705</v>
      </c>
      <c r="AK28" s="168">
        <f t="shared" si="15"/>
        <v>5</v>
      </c>
    </row>
    <row r="29" spans="1:37" x14ac:dyDescent="0.2">
      <c r="A29" s="62" t="s">
        <v>52</v>
      </c>
      <c r="B29" s="62" t="s">
        <v>72</v>
      </c>
      <c r="C29" s="62" t="s">
        <v>201</v>
      </c>
      <c r="D29" s="62"/>
      <c r="E29" s="62">
        <f t="shared" si="2"/>
        <v>25</v>
      </c>
      <c r="F29" s="128">
        <v>69</v>
      </c>
      <c r="G29" s="129">
        <v>1.5818431911966999</v>
      </c>
      <c r="H29" s="129">
        <v>1.25188972532647</v>
      </c>
      <c r="I29" s="129">
        <v>1.99700192954843</v>
      </c>
      <c r="J29" s="129"/>
      <c r="K29" s="129"/>
      <c r="L29" s="129"/>
      <c r="M29" s="60">
        <f t="shared" si="0"/>
        <v>1</v>
      </c>
      <c r="N29" s="61">
        <f t="shared" si="3"/>
        <v>1.6210958608019001E-2</v>
      </c>
      <c r="O29" s="61">
        <f t="shared" si="16"/>
        <v>0.39054872095293902</v>
      </c>
      <c r="P29" s="129">
        <f t="shared" si="4"/>
        <v>0.56348046821879505</v>
      </c>
      <c r="Q29" s="129">
        <f t="shared" si="5"/>
        <v>0.536739329187778</v>
      </c>
      <c r="R29" s="129">
        <f t="shared" si="6"/>
        <v>0.59154596634506496</v>
      </c>
      <c r="S29" s="61">
        <f t="shared" si="7"/>
        <v>0.68559445071785796</v>
      </c>
      <c r="T29" s="61">
        <f t="shared" si="1"/>
        <v>2.6638869585360201</v>
      </c>
      <c r="U29" s="61">
        <f t="shared" si="17"/>
        <v>0.39898124207121621</v>
      </c>
      <c r="V29" s="61"/>
      <c r="Y29" s="163" t="s">
        <v>44</v>
      </c>
      <c r="Z29" s="163" t="s">
        <v>66</v>
      </c>
      <c r="AA29" s="163" t="s">
        <v>200</v>
      </c>
      <c r="AB29" s="163">
        <f t="shared" si="22"/>
        <v>9</v>
      </c>
      <c r="AC29" s="166">
        <f t="shared" si="23"/>
        <v>0.22075055187638001</v>
      </c>
      <c r="AD29" s="166">
        <f t="shared" si="24"/>
        <v>2.6638869585360201</v>
      </c>
      <c r="AE29" s="163"/>
      <c r="AF29" s="163">
        <f t="shared" si="10"/>
        <v>26</v>
      </c>
      <c r="AG29" s="168">
        <f t="shared" si="11"/>
        <v>115</v>
      </c>
      <c r="AH29" s="166">
        <f t="shared" si="12"/>
        <v>2.6638869585360201</v>
      </c>
      <c r="AI29" s="166">
        <f t="shared" si="13"/>
        <v>2.22400045734621</v>
      </c>
      <c r="AJ29" s="166">
        <f t="shared" si="14"/>
        <v>3.1879421248867801</v>
      </c>
      <c r="AK29" s="168">
        <f t="shared" si="15"/>
        <v>1</v>
      </c>
    </row>
    <row r="30" spans="1:37" x14ac:dyDescent="0.2">
      <c r="A30" s="62" t="s">
        <v>53</v>
      </c>
      <c r="B30" s="62" t="s">
        <v>162</v>
      </c>
      <c r="C30" s="62" t="s">
        <v>163</v>
      </c>
      <c r="D30" s="62"/>
      <c r="E30" s="62">
        <f t="shared" si="2"/>
        <v>16</v>
      </c>
      <c r="F30" s="128">
        <v>189</v>
      </c>
      <c r="G30" s="129">
        <v>0.66088537659976199</v>
      </c>
      <c r="H30" s="129">
        <v>0.57337660455654405</v>
      </c>
      <c r="I30" s="129">
        <v>0.76164743356508502</v>
      </c>
      <c r="J30" s="129"/>
      <c r="K30" s="129"/>
      <c r="L30" s="129"/>
      <c r="M30" s="60">
        <f t="shared" si="0"/>
        <v>5</v>
      </c>
      <c r="N30" s="61">
        <f t="shared" si="3"/>
        <v>1.6210958608019001E-2</v>
      </c>
      <c r="O30" s="61">
        <f t="shared" si="16"/>
        <v>0.39054872095293902</v>
      </c>
      <c r="P30" s="129">
        <f>$G$32</f>
        <v>0.56348046821879505</v>
      </c>
      <c r="Q30" s="129">
        <f t="shared" si="5"/>
        <v>0.536739329187778</v>
      </c>
      <c r="R30" s="129">
        <f t="shared" si="6"/>
        <v>0.59154596634506496</v>
      </c>
      <c r="S30" s="61">
        <f t="shared" si="7"/>
        <v>0.68559445071785796</v>
      </c>
      <c r="T30" s="61">
        <f t="shared" si="1"/>
        <v>2.6638869585360201</v>
      </c>
      <c r="U30" s="61">
        <f t="shared" si="17"/>
        <v>0.66057798004910673</v>
      </c>
      <c r="V30" s="61"/>
      <c r="Y30" s="163" t="s">
        <v>49</v>
      </c>
      <c r="Z30" s="163" t="s">
        <v>70</v>
      </c>
      <c r="AA30" s="163" t="s">
        <v>200</v>
      </c>
      <c r="AB30" s="163">
        <f t="shared" si="22"/>
        <v>5</v>
      </c>
      <c r="AC30" s="166">
        <f t="shared" si="23"/>
        <v>0.22075055187638001</v>
      </c>
      <c r="AD30" s="166">
        <f t="shared" si="24"/>
        <v>2.6638869585360201</v>
      </c>
      <c r="AE30" s="163"/>
      <c r="AF30" s="163">
        <f t="shared" si="10"/>
        <v>17</v>
      </c>
      <c r="AG30" s="168">
        <f t="shared" si="11"/>
        <v>61</v>
      </c>
      <c r="AH30" s="166">
        <f t="shared" si="12"/>
        <v>0.67530167164840005</v>
      </c>
      <c r="AI30" s="166">
        <f t="shared" si="13"/>
        <v>0.52611592035286203</v>
      </c>
      <c r="AJ30" s="166">
        <f t="shared" si="14"/>
        <v>0.86642216271666705</v>
      </c>
      <c r="AK30" s="168">
        <f t="shared" si="15"/>
        <v>5</v>
      </c>
    </row>
    <row r="31" spans="1:37" x14ac:dyDescent="0.2">
      <c r="A31" s="62" t="s">
        <v>54</v>
      </c>
      <c r="B31" s="62" t="s">
        <v>73</v>
      </c>
      <c r="C31" s="62" t="s">
        <v>201</v>
      </c>
      <c r="D31" s="62"/>
      <c r="E31" s="62">
        <f t="shared" si="2"/>
        <v>2</v>
      </c>
      <c r="F31" s="128">
        <v>11</v>
      </c>
      <c r="G31" s="129">
        <v>0.185154014475678</v>
      </c>
      <c r="H31" s="129">
        <v>0.103420936272123</v>
      </c>
      <c r="I31" s="129">
        <v>0.331266161772379</v>
      </c>
      <c r="J31" s="129"/>
      <c r="K31" s="129"/>
      <c r="L31" s="129"/>
      <c r="M31" s="60">
        <f t="shared" si="0"/>
        <v>2</v>
      </c>
      <c r="N31" s="61">
        <f t="shared" si="3"/>
        <v>1.6210958608019001E-2</v>
      </c>
      <c r="O31" s="61">
        <f t="shared" si="16"/>
        <v>0.39054872095293902</v>
      </c>
      <c r="P31" s="129">
        <f t="shared" si="4"/>
        <v>0.56348046821879505</v>
      </c>
      <c r="Q31" s="129">
        <f t="shared" si="5"/>
        <v>0.536739329187778</v>
      </c>
      <c r="R31" s="129">
        <f t="shared" si="6"/>
        <v>0.59154596634506496</v>
      </c>
      <c r="S31" s="61">
        <f t="shared" si="7"/>
        <v>0.68559445071785796</v>
      </c>
      <c r="T31" s="61">
        <f t="shared" si="1"/>
        <v>2.6638869585360201</v>
      </c>
      <c r="U31" s="61">
        <f t="shared" si="17"/>
        <v>0.39898124207121621</v>
      </c>
      <c r="V31" s="61"/>
      <c r="Y31" s="163" t="s">
        <v>51</v>
      </c>
      <c r="Z31" s="163" t="s">
        <v>71</v>
      </c>
      <c r="AA31" s="163" t="s">
        <v>200</v>
      </c>
      <c r="AB31" s="163">
        <f t="shared" si="22"/>
        <v>1</v>
      </c>
      <c r="AC31" s="166">
        <f t="shared" si="23"/>
        <v>0.22075055187638001</v>
      </c>
      <c r="AD31" s="166">
        <f t="shared" si="24"/>
        <v>2.6638869585360201</v>
      </c>
      <c r="AE31" s="163"/>
      <c r="AF31" s="163">
        <f t="shared" si="10"/>
        <v>4</v>
      </c>
      <c r="AG31" s="168">
        <f t="shared" si="11"/>
        <v>12</v>
      </c>
      <c r="AH31" s="166">
        <f t="shared" si="12"/>
        <v>0.22075055187638001</v>
      </c>
      <c r="AI31" s="166">
        <f t="shared" si="13"/>
        <v>0.12632674093277799</v>
      </c>
      <c r="AJ31" s="166">
        <f t="shared" si="14"/>
        <v>0.38547969738812699</v>
      </c>
      <c r="AK31" s="168">
        <f t="shared" si="15"/>
        <v>2</v>
      </c>
    </row>
    <row r="32" spans="1:37" x14ac:dyDescent="0.2">
      <c r="A32" s="62"/>
      <c r="B32" s="62" t="s">
        <v>171</v>
      </c>
      <c r="C32" s="62"/>
      <c r="D32" s="62"/>
      <c r="E32" s="62"/>
      <c r="F32" s="128">
        <v>1616</v>
      </c>
      <c r="G32" s="129">
        <v>0.56348046821879505</v>
      </c>
      <c r="H32" s="129">
        <v>0.536739329187778</v>
      </c>
      <c r="I32" s="129">
        <v>0.59154596634506496</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643</v>
      </c>
      <c r="G44" s="129">
        <v>0.66057798004910673</v>
      </c>
      <c r="H44" s="129">
        <v>0.61159941768896653</v>
      </c>
      <c r="I44" s="129">
        <v>0.71345072415052391</v>
      </c>
      <c r="J44" s="129">
        <f>VLOOKUP($C44,$AA$6:$AD$13,3,FALSE)</f>
        <v>0.43580897040130701</v>
      </c>
      <c r="K44" s="129">
        <f>VLOOKUP($C44,$AA$6:$AD$13,4,FALSE)</f>
        <v>1.0620458356623801</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1</v>
      </c>
      <c r="N44" s="61">
        <f>MIN($G$6:$G$31)</f>
        <v>1.6210958608019001E-2</v>
      </c>
      <c r="O44" s="61">
        <f>VLOOKUP(7,$E$5:$G$39,3,FALSE)</f>
        <v>0.39054872095293902</v>
      </c>
      <c r="P44" s="129">
        <f>$G$32</f>
        <v>0.56348046821879505</v>
      </c>
      <c r="Q44" s="129">
        <f>$H$32</f>
        <v>0.536739329187778</v>
      </c>
      <c r="R44" s="129">
        <f>$I$32</f>
        <v>0.59154596634506496</v>
      </c>
      <c r="S44" s="61">
        <f>VLOOKUP(20,$E$5:$G$39,3,FALSE)</f>
        <v>0.68559445071785796</v>
      </c>
      <c r="T44" s="61">
        <f>MAX($G$6:$G$31)</f>
        <v>2.6638869585360201</v>
      </c>
    </row>
    <row r="45" spans="1:22" x14ac:dyDescent="0.2">
      <c r="C45" s="62" t="s">
        <v>201</v>
      </c>
      <c r="D45" s="62"/>
      <c r="E45" s="62"/>
      <c r="F45" s="128">
        <v>412</v>
      </c>
      <c r="G45" s="129">
        <v>0.39898124207121621</v>
      </c>
      <c r="H45" s="129">
        <v>0.36233394037718791</v>
      </c>
      <c r="I45" s="129">
        <v>0.43931879454335204</v>
      </c>
      <c r="J45" s="129">
        <f>VLOOKUP($C45,$AA$14:$AD$22,3,FALSE)</f>
        <v>1.6210958608019001E-2</v>
      </c>
      <c r="K45" s="129">
        <f>VLOOKUP($C45,$AA$14:$AD$22,4,FALSE)</f>
        <v>1.5818431911966999</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2</v>
      </c>
      <c r="N45" s="61">
        <f>MIN($G$6:$G$31)</f>
        <v>1.6210958608019001E-2</v>
      </c>
      <c r="O45" s="61">
        <f>VLOOKUP(7,$E$5:$G$39,3,FALSE)</f>
        <v>0.39054872095293902</v>
      </c>
      <c r="P45" s="129">
        <f>$G$32</f>
        <v>0.56348046821879505</v>
      </c>
      <c r="Q45" s="129">
        <f t="shared" ref="Q45:Q46" si="25">$H$32</f>
        <v>0.536739329187778</v>
      </c>
      <c r="R45" s="129">
        <f t="shared" ref="R45:R46" si="26">$I$32</f>
        <v>0.59154596634506496</v>
      </c>
      <c r="S45" s="61">
        <f>VLOOKUP(20,$E$5:$G$39,3,FALSE)</f>
        <v>0.68559445071785796</v>
      </c>
      <c r="T45" s="61">
        <f t="shared" ref="T45:T46" si="27">MAX($G$6:$G$31)</f>
        <v>2.6638869585360201</v>
      </c>
    </row>
    <row r="46" spans="1:22" x14ac:dyDescent="0.2">
      <c r="C46" s="62" t="s">
        <v>200</v>
      </c>
      <c r="D46" s="62"/>
      <c r="E46" s="62"/>
      <c r="F46" s="128">
        <v>561</v>
      </c>
      <c r="G46" s="129">
        <v>0.65091023008110271</v>
      </c>
      <c r="H46" s="129">
        <v>0.59937877130106465</v>
      </c>
      <c r="I46" s="129">
        <v>0.70684059002004052</v>
      </c>
      <c r="J46" s="129">
        <f>VLOOKUP($C46,$AA$23:$AD$31,3,FALSE)</f>
        <v>0.22075055187638001</v>
      </c>
      <c r="K46" s="129">
        <f>VLOOKUP($C46,$AA$23:$AD$31,4,FALSE)</f>
        <v>2.6638869585360201</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1</v>
      </c>
      <c r="N46" s="61">
        <f>MIN($G$6:$G$31)</f>
        <v>1.6210958608019001E-2</v>
      </c>
      <c r="O46" s="61">
        <f>VLOOKUP(7,$E$5:$G$39,3,FALSE)</f>
        <v>0.39054872095293902</v>
      </c>
      <c r="P46" s="129">
        <f t="shared" ref="P46" si="28">$G$32</f>
        <v>0.56348046821879505</v>
      </c>
      <c r="Q46" s="129">
        <f t="shared" si="25"/>
        <v>0.536739329187778</v>
      </c>
      <c r="R46" s="129">
        <f t="shared" si="26"/>
        <v>0.59154596634506496</v>
      </c>
      <c r="S46" s="61">
        <f>VLOOKUP(20,$E$5:$G$39,3,FALSE)</f>
        <v>0.68559445071785796</v>
      </c>
      <c r="T46" s="61">
        <f t="shared" si="27"/>
        <v>2.6638869585360201</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K2:N2" xr:uid="{00000000-0002-0000-2900-000000000000}">
      <formula1>"High = Worst,Low = Worst"</formula1>
    </dataValidation>
    <dataValidation type="list" allowBlank="1" showInputMessage="1" showErrorMessage="1" sqref="C2:D2" xr:uid="{00000000-0002-0000-2900-000001000000}">
      <formula1>"Better / Worse,Higher / Lower,Significance not measured"</formula1>
    </dataValidation>
  </dataValidations>
  <pageMargins left="0.75" right="0.75" top="1" bottom="1" header="0.5" footer="0.5"/>
  <pageSetup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8">
    <tabColor theme="6" tint="0.39997558519241921"/>
  </sheetPr>
  <dimension ref="A1:AK55"/>
  <sheetViews>
    <sheetView workbookViewId="0">
      <selection activeCell="F6" sqref="F6:F31"/>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8" width="7.33203125" style="21" customWidth="1"/>
    <col min="9" max="9" width="6.886718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5.554687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6</v>
      </c>
      <c r="F6" s="128">
        <v>63</v>
      </c>
      <c r="G6" s="129">
        <v>203.70442182388425</v>
      </c>
      <c r="H6" s="129">
        <v>152.82789151526745</v>
      </c>
      <c r="I6" s="129">
        <v>265.09032944394841</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2</v>
      </c>
      <c r="N6" s="61">
        <f>MIN($G$6:$G$32)</f>
        <v>73.523761865252311</v>
      </c>
      <c r="O6" s="61">
        <f>VLOOKUP(7,$E$5:$G$39,3,FALSE)</f>
        <v>211.23557809174056</v>
      </c>
      <c r="P6" s="129">
        <f>$G$32</f>
        <v>290.20054734741814</v>
      </c>
      <c r="Q6" s="129">
        <f>$H$32</f>
        <v>278.6946102872281</v>
      </c>
      <c r="R6" s="129">
        <f>$I$32</f>
        <v>302.04499551087605</v>
      </c>
      <c r="S6" s="61">
        <f>VLOOKUP(20,$E$5:$G$39,3,FALSE)</f>
        <v>331.01909403215228</v>
      </c>
      <c r="T6" s="61">
        <f t="shared" ref="T6:T31" si="1">MAX($G$6:$G$31)</f>
        <v>492.10422820753524</v>
      </c>
      <c r="U6" s="61">
        <f>VLOOKUP(C6,$C$43:$I$46,5,FALSE)</f>
        <v>296.03110947575141</v>
      </c>
      <c r="V6" s="61"/>
      <c r="Y6" s="159" t="s">
        <v>33</v>
      </c>
      <c r="Z6" s="159" t="s">
        <v>58</v>
      </c>
      <c r="AA6" s="159" t="s">
        <v>163</v>
      </c>
      <c r="AB6" s="159">
        <f>RANK(AH6,$AH$6:$AH$13,1)</f>
        <v>8</v>
      </c>
      <c r="AC6" s="164">
        <f>MIN($AH$6:$AH$13)</f>
        <v>145.54438811249003</v>
      </c>
      <c r="AD6" s="164">
        <f>MAX($AH$6:$AH$13)</f>
        <v>489.94712425848331</v>
      </c>
      <c r="AE6" s="159"/>
      <c r="AF6" s="159">
        <f>VLOOKUP($Y6,$A$6:$I$31,5,FALSE)</f>
        <v>25</v>
      </c>
      <c r="AG6" s="160">
        <f>VLOOKUP($Y6,$A$6:$I$31,6,FALSE)</f>
        <v>171</v>
      </c>
      <c r="AH6" s="161">
        <f>VLOOKUP($Y6,$A$6:$I$31,7,FALSE)</f>
        <v>489.94712425848331</v>
      </c>
      <c r="AI6" s="161">
        <f>VLOOKUP($Y6,$A$6:$I$31,8,FALSE)</f>
        <v>418.41266510587951</v>
      </c>
      <c r="AJ6" s="161">
        <f>VLOOKUP($Y6,$A$6:$I$31,9,FALSE)</f>
        <v>570.08712738089616</v>
      </c>
      <c r="AK6" s="160">
        <f>VLOOKUP($Y6,$A$6:$M$31,13,FALSE)</f>
        <v>1</v>
      </c>
    </row>
    <row r="7" spans="1:37" x14ac:dyDescent="0.2">
      <c r="A7" s="62" t="s">
        <v>30</v>
      </c>
      <c r="B7" s="62" t="s">
        <v>56</v>
      </c>
      <c r="C7" s="62" t="s">
        <v>200</v>
      </c>
      <c r="D7" s="62"/>
      <c r="E7" s="62">
        <f t="shared" ref="E7:E31" si="2">RANK(G7,$G$6:$G$31,1)</f>
        <v>13</v>
      </c>
      <c r="F7" s="128">
        <v>85</v>
      </c>
      <c r="G7" s="129">
        <v>267.5662358454905</v>
      </c>
      <c r="H7" s="129">
        <v>213.32256392379338</v>
      </c>
      <c r="I7" s="129">
        <v>331.31581600644887</v>
      </c>
      <c r="J7" s="129"/>
      <c r="K7" s="129"/>
      <c r="L7" s="129"/>
      <c r="M7" s="60">
        <f t="shared" si="0"/>
        <v>5</v>
      </c>
      <c r="N7" s="61">
        <f t="shared" ref="N7:N31" si="3">MIN($G$6:$G$32)</f>
        <v>73.523761865252311</v>
      </c>
      <c r="O7" s="61">
        <f>VLOOKUP(7,$E$5:$G$39,3,FALSE)</f>
        <v>211.23557809174056</v>
      </c>
      <c r="P7" s="129">
        <f t="shared" ref="P7:P31" si="4">$G$32</f>
        <v>290.20054734741814</v>
      </c>
      <c r="Q7" s="129">
        <f t="shared" ref="Q7:Q31" si="5">$H$32</f>
        <v>278.6946102872281</v>
      </c>
      <c r="R7" s="129">
        <f t="shared" ref="R7:R31" si="6">$I$32</f>
        <v>302.04499551087605</v>
      </c>
      <c r="S7" s="61">
        <f t="shared" ref="S7:S31" si="7">VLOOKUP(20,$E$5:$G$39,3,FALSE)</f>
        <v>331.01909403215228</v>
      </c>
      <c r="T7" s="61">
        <f t="shared" si="1"/>
        <v>492.10422820753524</v>
      </c>
      <c r="U7" s="61">
        <f>VLOOKUP(C7,$C$43:$I$46,5,FALSE)</f>
        <v>278.63788614394508</v>
      </c>
      <c r="V7" s="61"/>
      <c r="Y7" s="159" t="s">
        <v>35</v>
      </c>
      <c r="Z7" s="159" t="s">
        <v>60</v>
      </c>
      <c r="AA7" s="159" t="s">
        <v>163</v>
      </c>
      <c r="AB7" s="159">
        <f t="shared" ref="AB7:AB12" si="8">RANK(AH7,$AH$6:$AH$13,1)</f>
        <v>6</v>
      </c>
      <c r="AC7" s="164">
        <f>MIN($AH$6:$AH$13)</f>
        <v>145.54438811249003</v>
      </c>
      <c r="AD7" s="164">
        <f t="shared" ref="AD7:AD13" si="9">MAX($AH$6:$AH$13)</f>
        <v>489.94712425848331</v>
      </c>
      <c r="AE7" s="159"/>
      <c r="AF7" s="159">
        <f t="shared" ref="AF7:AF31" si="10">VLOOKUP($Y7,$A$6:$I$31,5,FALSE)</f>
        <v>22</v>
      </c>
      <c r="AG7" s="160">
        <f t="shared" ref="AG7:AG31" si="11">VLOOKUP($Y7,$A$6:$I$31,6,FALSE)</f>
        <v>151</v>
      </c>
      <c r="AH7" s="161">
        <f t="shared" ref="AH7:AH31" si="12">VLOOKUP($Y7,$A$6:$I$31,7,FALSE)</f>
        <v>366.79656053422485</v>
      </c>
      <c r="AI7" s="161">
        <f t="shared" ref="AI7:AI31" si="13">VLOOKUP($Y7,$A$6:$I$31,8,FALSE)</f>
        <v>310.35696374696602</v>
      </c>
      <c r="AJ7" s="161">
        <f t="shared" ref="AJ7:AJ31" si="14">VLOOKUP($Y7,$A$6:$I$31,9,FALSE)</f>
        <v>430.49104309382108</v>
      </c>
      <c r="AK7" s="160">
        <f t="shared" ref="AK7:AK31" si="15">VLOOKUP($Y7,$A$6:$M$31,13,FALSE)</f>
        <v>1</v>
      </c>
    </row>
    <row r="8" spans="1:37" x14ac:dyDescent="0.2">
      <c r="A8" s="62" t="s">
        <v>31</v>
      </c>
      <c r="B8" s="62" t="s">
        <v>57</v>
      </c>
      <c r="C8" s="62" t="s">
        <v>200</v>
      </c>
      <c r="D8" s="62"/>
      <c r="E8" s="62">
        <f t="shared" si="2"/>
        <v>8</v>
      </c>
      <c r="F8" s="128">
        <v>82</v>
      </c>
      <c r="G8" s="129">
        <v>224.14872164757634</v>
      </c>
      <c r="H8" s="129">
        <v>178.08251190101282</v>
      </c>
      <c r="I8" s="129">
        <v>278.44766503662834</v>
      </c>
      <c r="J8" s="129"/>
      <c r="K8" s="129"/>
      <c r="L8" s="129"/>
      <c r="M8" s="60">
        <f t="shared" si="0"/>
        <v>2</v>
      </c>
      <c r="N8" s="61">
        <f t="shared" si="3"/>
        <v>73.523761865252311</v>
      </c>
      <c r="O8" s="61">
        <f t="shared" ref="O8:O31" si="16">VLOOKUP(7,$E$5:$G$39,3,FALSE)</f>
        <v>211.23557809174056</v>
      </c>
      <c r="P8" s="129">
        <f t="shared" si="4"/>
        <v>290.20054734741814</v>
      </c>
      <c r="Q8" s="129">
        <f t="shared" si="5"/>
        <v>278.6946102872281</v>
      </c>
      <c r="R8" s="129">
        <f t="shared" si="6"/>
        <v>302.04499551087605</v>
      </c>
      <c r="S8" s="61">
        <f t="shared" si="7"/>
        <v>331.01909403215228</v>
      </c>
      <c r="T8" s="61">
        <f t="shared" si="1"/>
        <v>492.10422820753524</v>
      </c>
      <c r="U8" s="61">
        <f t="shared" ref="U8:U31" si="17">VLOOKUP(C8,$C$43:$I$46,5,FALSE)</f>
        <v>278.63788614394508</v>
      </c>
      <c r="V8" s="61"/>
      <c r="Y8" s="159" t="s">
        <v>41</v>
      </c>
      <c r="Z8" s="159" t="s">
        <v>64</v>
      </c>
      <c r="AA8" s="159" t="s">
        <v>163</v>
      </c>
      <c r="AB8" s="159">
        <f t="shared" si="8"/>
        <v>7</v>
      </c>
      <c r="AC8" s="164">
        <f t="shared" ref="AC8:AC13" si="18">MIN($AH$6:$AH$13)</f>
        <v>145.54438811249003</v>
      </c>
      <c r="AD8" s="164">
        <f>MAX($AH$6:$AH$13)</f>
        <v>489.94712425848331</v>
      </c>
      <c r="AE8" s="159"/>
      <c r="AF8" s="159">
        <f t="shared" si="10"/>
        <v>23</v>
      </c>
      <c r="AG8" s="160">
        <f t="shared" si="11"/>
        <v>136</v>
      </c>
      <c r="AH8" s="161">
        <f t="shared" si="12"/>
        <v>368.55460653030627</v>
      </c>
      <c r="AI8" s="161">
        <f t="shared" si="13"/>
        <v>309.0543463402974</v>
      </c>
      <c r="AJ8" s="161">
        <f t="shared" si="14"/>
        <v>436.14332727932964</v>
      </c>
      <c r="AK8" s="160">
        <f t="shared" si="15"/>
        <v>1</v>
      </c>
    </row>
    <row r="9" spans="1:37" x14ac:dyDescent="0.2">
      <c r="A9" s="62" t="s">
        <v>32</v>
      </c>
      <c r="B9" s="62" t="s">
        <v>156</v>
      </c>
      <c r="C9" s="62" t="s">
        <v>201</v>
      </c>
      <c r="D9" s="62"/>
      <c r="E9" s="62">
        <f t="shared" si="2"/>
        <v>24</v>
      </c>
      <c r="F9" s="128">
        <v>184</v>
      </c>
      <c r="G9" s="129">
        <v>370.19043123326173</v>
      </c>
      <c r="H9" s="129">
        <v>313.28212476952274</v>
      </c>
      <c r="I9" s="129">
        <v>433.68340570664924</v>
      </c>
      <c r="J9" s="129"/>
      <c r="K9" s="129"/>
      <c r="L9" s="129"/>
      <c r="M9" s="60">
        <f t="shared" si="0"/>
        <v>1</v>
      </c>
      <c r="N9" s="61">
        <f t="shared" si="3"/>
        <v>73.523761865252311</v>
      </c>
      <c r="O9" s="61">
        <f t="shared" si="16"/>
        <v>211.23557809174056</v>
      </c>
      <c r="P9" s="129">
        <f t="shared" si="4"/>
        <v>290.20054734741814</v>
      </c>
      <c r="Q9" s="129">
        <f t="shared" si="5"/>
        <v>278.6946102872281</v>
      </c>
      <c r="R9" s="129">
        <f t="shared" si="6"/>
        <v>302.04499551087605</v>
      </c>
      <c r="S9" s="61">
        <f t="shared" si="7"/>
        <v>331.01909403215228</v>
      </c>
      <c r="T9" s="61">
        <f t="shared" si="1"/>
        <v>492.10422820753524</v>
      </c>
      <c r="U9" s="61">
        <f t="shared" si="17"/>
        <v>296.03110947575141</v>
      </c>
      <c r="V9" s="61"/>
      <c r="X9" s="63"/>
      <c r="Y9" s="159" t="s">
        <v>45</v>
      </c>
      <c r="Z9" s="159" t="s">
        <v>67</v>
      </c>
      <c r="AA9" s="159" t="s">
        <v>163</v>
      </c>
      <c r="AB9" s="159">
        <f t="shared" si="8"/>
        <v>2</v>
      </c>
      <c r="AC9" s="164">
        <f t="shared" si="18"/>
        <v>145.54438811249003</v>
      </c>
      <c r="AD9" s="164">
        <f t="shared" si="9"/>
        <v>489.94712425848331</v>
      </c>
      <c r="AE9" s="159"/>
      <c r="AF9" s="159">
        <f t="shared" si="10"/>
        <v>7</v>
      </c>
      <c r="AG9" s="160">
        <f t="shared" si="11"/>
        <v>55</v>
      </c>
      <c r="AH9" s="161">
        <f t="shared" si="12"/>
        <v>211.23557809174056</v>
      </c>
      <c r="AI9" s="161">
        <f t="shared" si="13"/>
        <v>158.86608905417464</v>
      </c>
      <c r="AJ9" s="161">
        <f t="shared" si="14"/>
        <v>275.2692600339862</v>
      </c>
      <c r="AK9" s="160">
        <f t="shared" si="15"/>
        <v>2</v>
      </c>
    </row>
    <row r="10" spans="1:37" x14ac:dyDescent="0.2">
      <c r="A10" s="62" t="s">
        <v>33</v>
      </c>
      <c r="B10" s="62" t="s">
        <v>58</v>
      </c>
      <c r="C10" s="62" t="s">
        <v>163</v>
      </c>
      <c r="D10" s="62"/>
      <c r="E10" s="62">
        <f t="shared" si="2"/>
        <v>25</v>
      </c>
      <c r="F10" s="128">
        <v>171</v>
      </c>
      <c r="G10" s="129">
        <v>489.94712425848331</v>
      </c>
      <c r="H10" s="129">
        <v>418.41266510587951</v>
      </c>
      <c r="I10" s="129">
        <v>570.08712738089616</v>
      </c>
      <c r="J10" s="129"/>
      <c r="K10" s="129"/>
      <c r="L10" s="129"/>
      <c r="M10" s="60">
        <f t="shared" si="0"/>
        <v>1</v>
      </c>
      <c r="N10" s="61">
        <f t="shared" si="3"/>
        <v>73.523761865252311</v>
      </c>
      <c r="O10" s="61">
        <f t="shared" si="16"/>
        <v>211.23557809174056</v>
      </c>
      <c r="P10" s="129">
        <f t="shared" si="4"/>
        <v>290.20054734741814</v>
      </c>
      <c r="Q10" s="129">
        <f t="shared" si="5"/>
        <v>278.6946102872281</v>
      </c>
      <c r="R10" s="129">
        <f t="shared" si="6"/>
        <v>302.04499551087605</v>
      </c>
      <c r="S10" s="61">
        <f t="shared" si="7"/>
        <v>331.01909403215228</v>
      </c>
      <c r="T10" s="61">
        <f t="shared" si="1"/>
        <v>492.10422820753524</v>
      </c>
      <c r="U10" s="61">
        <f t="shared" si="17"/>
        <v>320.80300218877915</v>
      </c>
      <c r="V10" s="61"/>
      <c r="Y10" s="159" t="s">
        <v>46</v>
      </c>
      <c r="Z10" s="159" t="s">
        <v>68</v>
      </c>
      <c r="AA10" s="159" t="s">
        <v>163</v>
      </c>
      <c r="AB10" s="159">
        <f t="shared" si="8"/>
        <v>4</v>
      </c>
      <c r="AC10" s="164">
        <f t="shared" si="18"/>
        <v>145.54438811249003</v>
      </c>
      <c r="AD10" s="164">
        <f t="shared" si="9"/>
        <v>489.94712425848331</v>
      </c>
      <c r="AE10" s="159"/>
      <c r="AF10" s="159">
        <f t="shared" si="10"/>
        <v>17</v>
      </c>
      <c r="AG10" s="160">
        <f t="shared" si="11"/>
        <v>105</v>
      </c>
      <c r="AH10" s="161">
        <f t="shared" si="12"/>
        <v>303.24749802380842</v>
      </c>
      <c r="AI10" s="161">
        <f t="shared" si="13"/>
        <v>247.77103936493091</v>
      </c>
      <c r="AJ10" s="161">
        <f t="shared" si="14"/>
        <v>367.39198837040635</v>
      </c>
      <c r="AK10" s="160">
        <f t="shared" si="15"/>
        <v>5</v>
      </c>
    </row>
    <row r="11" spans="1:37" x14ac:dyDescent="0.2">
      <c r="A11" s="62" t="s">
        <v>34</v>
      </c>
      <c r="B11" s="62" t="s">
        <v>59</v>
      </c>
      <c r="C11" s="62" t="s">
        <v>200</v>
      </c>
      <c r="D11" s="62"/>
      <c r="E11" s="62">
        <f t="shared" si="2"/>
        <v>14</v>
      </c>
      <c r="F11" s="128">
        <v>138</v>
      </c>
      <c r="G11" s="129">
        <v>289.56888477977259</v>
      </c>
      <c r="H11" s="129">
        <v>242.62139026305368</v>
      </c>
      <c r="I11" s="129">
        <v>342.84871052414576</v>
      </c>
      <c r="J11" s="129"/>
      <c r="K11" s="129"/>
      <c r="L11" s="129"/>
      <c r="M11" s="60">
        <f t="shared" si="0"/>
        <v>5</v>
      </c>
      <c r="N11" s="61">
        <f t="shared" si="3"/>
        <v>73.523761865252311</v>
      </c>
      <c r="O11" s="61">
        <f t="shared" si="16"/>
        <v>211.23557809174056</v>
      </c>
      <c r="P11" s="129">
        <f t="shared" si="4"/>
        <v>290.20054734741814</v>
      </c>
      <c r="Q11" s="129">
        <f t="shared" si="5"/>
        <v>278.6946102872281</v>
      </c>
      <c r="R11" s="129">
        <f t="shared" si="6"/>
        <v>302.04499551087605</v>
      </c>
      <c r="S11" s="61">
        <f t="shared" si="7"/>
        <v>331.01909403215228</v>
      </c>
      <c r="T11" s="61">
        <f t="shared" si="1"/>
        <v>492.10422820753524</v>
      </c>
      <c r="U11" s="61">
        <f t="shared" si="17"/>
        <v>278.63788614394508</v>
      </c>
      <c r="V11" s="61"/>
      <c r="Y11" s="159" t="s">
        <v>47</v>
      </c>
      <c r="Z11" s="159" t="s">
        <v>69</v>
      </c>
      <c r="AA11" s="159" t="s">
        <v>163</v>
      </c>
      <c r="AB11" s="159">
        <f t="shared" si="8"/>
        <v>1</v>
      </c>
      <c r="AC11" s="164">
        <f t="shared" si="18"/>
        <v>145.54438811249003</v>
      </c>
      <c r="AD11" s="164">
        <f t="shared" si="9"/>
        <v>489.94712425848331</v>
      </c>
      <c r="AE11" s="159"/>
      <c r="AF11" s="159">
        <f t="shared" si="10"/>
        <v>2</v>
      </c>
      <c r="AG11" s="160">
        <f t="shared" si="11"/>
        <v>24</v>
      </c>
      <c r="AH11" s="161">
        <f t="shared" si="12"/>
        <v>145.54438811249003</v>
      </c>
      <c r="AI11" s="161">
        <f t="shared" si="13"/>
        <v>93.147836711304379</v>
      </c>
      <c r="AJ11" s="161">
        <f t="shared" si="14"/>
        <v>216.67322320043579</v>
      </c>
      <c r="AK11" s="160">
        <f t="shared" si="15"/>
        <v>2</v>
      </c>
    </row>
    <row r="12" spans="1:37" x14ac:dyDescent="0.2">
      <c r="A12" s="62" t="s">
        <v>35</v>
      </c>
      <c r="B12" s="62" t="s">
        <v>60</v>
      </c>
      <c r="C12" s="62" t="s">
        <v>163</v>
      </c>
      <c r="D12" s="62"/>
      <c r="E12" s="62">
        <f t="shared" si="2"/>
        <v>22</v>
      </c>
      <c r="F12" s="128">
        <v>151</v>
      </c>
      <c r="G12" s="129">
        <v>366.79656053422485</v>
      </c>
      <c r="H12" s="129">
        <v>310.35696374696602</v>
      </c>
      <c r="I12" s="129">
        <v>430.49104309382108</v>
      </c>
      <c r="J12" s="129"/>
      <c r="K12" s="129"/>
      <c r="L12" s="129"/>
      <c r="M12" s="60">
        <f t="shared" si="0"/>
        <v>1</v>
      </c>
      <c r="N12" s="61">
        <f t="shared" si="3"/>
        <v>73.523761865252311</v>
      </c>
      <c r="O12" s="61">
        <f t="shared" si="16"/>
        <v>211.23557809174056</v>
      </c>
      <c r="P12" s="129">
        <f t="shared" si="4"/>
        <v>290.20054734741814</v>
      </c>
      <c r="Q12" s="129">
        <f t="shared" si="5"/>
        <v>278.6946102872281</v>
      </c>
      <c r="R12" s="129">
        <f t="shared" si="6"/>
        <v>302.04499551087605</v>
      </c>
      <c r="S12" s="61">
        <f t="shared" si="7"/>
        <v>331.01909403215228</v>
      </c>
      <c r="T12" s="61">
        <f t="shared" si="1"/>
        <v>492.10422820753524</v>
      </c>
      <c r="U12" s="61">
        <f t="shared" si="17"/>
        <v>320.80300218877915</v>
      </c>
      <c r="V12" s="61"/>
      <c r="Y12" s="159" t="s">
        <v>50</v>
      </c>
      <c r="Z12" s="159" t="s">
        <v>161</v>
      </c>
      <c r="AA12" s="159" t="s">
        <v>163</v>
      </c>
      <c r="AB12" s="159">
        <f t="shared" si="8"/>
        <v>3</v>
      </c>
      <c r="AC12" s="164">
        <f t="shared" si="18"/>
        <v>145.54438811249003</v>
      </c>
      <c r="AD12" s="164">
        <f t="shared" si="9"/>
        <v>489.94712425848331</v>
      </c>
      <c r="AE12" s="159"/>
      <c r="AF12" s="159">
        <f t="shared" si="10"/>
        <v>9</v>
      </c>
      <c r="AG12" s="160">
        <f t="shared" si="11"/>
        <v>38</v>
      </c>
      <c r="AH12" s="161">
        <f t="shared" si="12"/>
        <v>234.19727845551481</v>
      </c>
      <c r="AI12" s="161">
        <f t="shared" si="13"/>
        <v>165.26010070930329</v>
      </c>
      <c r="AJ12" s="161">
        <f t="shared" si="14"/>
        <v>322.03765448865221</v>
      </c>
      <c r="AK12" s="160">
        <f t="shared" si="15"/>
        <v>5</v>
      </c>
    </row>
    <row r="13" spans="1:37" x14ac:dyDescent="0.2">
      <c r="A13" s="62" t="s">
        <v>36</v>
      </c>
      <c r="B13" s="62" t="s">
        <v>61</v>
      </c>
      <c r="C13" s="62" t="s">
        <v>201</v>
      </c>
      <c r="D13" s="62"/>
      <c r="E13" s="62">
        <f t="shared" si="2"/>
        <v>3</v>
      </c>
      <c r="F13" s="128">
        <v>123</v>
      </c>
      <c r="G13" s="129">
        <v>171.25919338621267</v>
      </c>
      <c r="H13" s="129">
        <v>86.797942292623588</v>
      </c>
      <c r="I13" s="129">
        <v>267.83816621009026</v>
      </c>
      <c r="J13" s="129"/>
      <c r="K13" s="129"/>
      <c r="L13" s="129"/>
      <c r="M13" s="60">
        <f t="shared" si="0"/>
        <v>2</v>
      </c>
      <c r="N13" s="61">
        <f t="shared" si="3"/>
        <v>73.523761865252311</v>
      </c>
      <c r="O13" s="61">
        <f t="shared" si="16"/>
        <v>211.23557809174056</v>
      </c>
      <c r="P13" s="129">
        <f t="shared" si="4"/>
        <v>290.20054734741814</v>
      </c>
      <c r="Q13" s="129">
        <f t="shared" si="5"/>
        <v>278.6946102872281</v>
      </c>
      <c r="R13" s="129">
        <f t="shared" si="6"/>
        <v>302.04499551087605</v>
      </c>
      <c r="S13" s="61">
        <f t="shared" si="7"/>
        <v>331.01909403215228</v>
      </c>
      <c r="T13" s="61">
        <f t="shared" si="1"/>
        <v>492.10422820753524</v>
      </c>
      <c r="U13" s="61">
        <f t="shared" si="17"/>
        <v>296.03110947575141</v>
      </c>
      <c r="V13" s="61"/>
      <c r="Y13" s="159" t="s">
        <v>53</v>
      </c>
      <c r="Z13" s="159" t="s">
        <v>162</v>
      </c>
      <c r="AA13" s="159" t="s">
        <v>163</v>
      </c>
      <c r="AB13" s="159">
        <f>RANK(AH13,$AH$6:$AH$13,1)</f>
        <v>5</v>
      </c>
      <c r="AC13" s="164">
        <f t="shared" si="18"/>
        <v>145.54438811249003</v>
      </c>
      <c r="AD13" s="164">
        <f t="shared" si="9"/>
        <v>489.94712425848331</v>
      </c>
      <c r="AE13" s="159"/>
      <c r="AF13" s="159">
        <f t="shared" si="10"/>
        <v>18</v>
      </c>
      <c r="AG13" s="160">
        <f t="shared" si="11"/>
        <v>255</v>
      </c>
      <c r="AH13" s="161">
        <f t="shared" si="12"/>
        <v>305.58989295148643</v>
      </c>
      <c r="AI13" s="161">
        <f t="shared" si="13"/>
        <v>268.95369481111186</v>
      </c>
      <c r="AJ13" s="161">
        <f t="shared" si="14"/>
        <v>345.79390286578342</v>
      </c>
      <c r="AK13" s="160">
        <f t="shared" si="15"/>
        <v>5</v>
      </c>
    </row>
    <row r="14" spans="1:37" x14ac:dyDescent="0.2">
      <c r="A14" s="62" t="s">
        <v>37</v>
      </c>
      <c r="B14" s="62" t="s">
        <v>157</v>
      </c>
      <c r="C14" s="62" t="s">
        <v>201</v>
      </c>
      <c r="D14" s="62"/>
      <c r="E14" s="62">
        <f t="shared" si="2"/>
        <v>12</v>
      </c>
      <c r="F14" s="128">
        <v>181</v>
      </c>
      <c r="G14" s="129">
        <v>261.659324795788</v>
      </c>
      <c r="H14" s="129">
        <v>215.77872620664033</v>
      </c>
      <c r="I14" s="129">
        <v>312.89513601526636</v>
      </c>
      <c r="J14" s="129"/>
      <c r="K14" s="129"/>
      <c r="L14" s="129"/>
      <c r="M14" s="60">
        <f t="shared" si="0"/>
        <v>5</v>
      </c>
      <c r="N14" s="61">
        <f t="shared" si="3"/>
        <v>73.523761865252311</v>
      </c>
      <c r="O14" s="61">
        <f t="shared" si="16"/>
        <v>211.23557809174056</v>
      </c>
      <c r="P14" s="129">
        <f t="shared" si="4"/>
        <v>290.20054734741814</v>
      </c>
      <c r="Q14" s="129">
        <f t="shared" si="5"/>
        <v>278.6946102872281</v>
      </c>
      <c r="R14" s="129">
        <f t="shared" si="6"/>
        <v>302.04499551087605</v>
      </c>
      <c r="S14" s="61">
        <f t="shared" si="7"/>
        <v>331.01909403215228</v>
      </c>
      <c r="T14" s="61">
        <f t="shared" si="1"/>
        <v>492.10422820753524</v>
      </c>
      <c r="U14" s="61">
        <f t="shared" si="17"/>
        <v>296.03110947575141</v>
      </c>
      <c r="V14" s="61"/>
      <c r="Y14" s="162" t="s">
        <v>29</v>
      </c>
      <c r="Z14" s="162" t="s">
        <v>55</v>
      </c>
      <c r="AA14" s="162" t="s">
        <v>201</v>
      </c>
      <c r="AB14" s="162">
        <f>RANK(AH14,$AH$14:$AH$22,1)</f>
        <v>5</v>
      </c>
      <c r="AC14" s="165">
        <f t="shared" ref="AC14:AC22" si="19">MIN($AH$14:$AH$22)</f>
        <v>73.523761865252311</v>
      </c>
      <c r="AD14" s="165">
        <f>MAX($AH$14:$AH$22)</f>
        <v>492.10422820753524</v>
      </c>
      <c r="AE14" s="162"/>
      <c r="AF14" s="162">
        <f t="shared" si="10"/>
        <v>6</v>
      </c>
      <c r="AG14" s="167">
        <f t="shared" si="11"/>
        <v>63</v>
      </c>
      <c r="AH14" s="165">
        <f t="shared" si="12"/>
        <v>203.70442182388425</v>
      </c>
      <c r="AI14" s="165">
        <f t="shared" si="13"/>
        <v>152.82789151526745</v>
      </c>
      <c r="AJ14" s="165">
        <f t="shared" si="14"/>
        <v>265.09032944394841</v>
      </c>
      <c r="AK14" s="167">
        <f t="shared" si="15"/>
        <v>2</v>
      </c>
    </row>
    <row r="15" spans="1:37" x14ac:dyDescent="0.2">
      <c r="A15" s="62" t="s">
        <v>38</v>
      </c>
      <c r="B15" s="62" t="s">
        <v>62</v>
      </c>
      <c r="C15" s="62" t="s">
        <v>201</v>
      </c>
      <c r="D15" s="62"/>
      <c r="E15" s="62">
        <f t="shared" si="2"/>
        <v>26</v>
      </c>
      <c r="F15" s="128">
        <v>99</v>
      </c>
      <c r="G15" s="129">
        <v>492.10422820753524</v>
      </c>
      <c r="H15" s="129">
        <v>399.47344922560393</v>
      </c>
      <c r="I15" s="129">
        <v>599.67674448918262</v>
      </c>
      <c r="J15" s="129"/>
      <c r="K15" s="129"/>
      <c r="L15" s="129"/>
      <c r="M15" s="60">
        <f t="shared" si="0"/>
        <v>1</v>
      </c>
      <c r="N15" s="61">
        <f t="shared" si="3"/>
        <v>73.523761865252311</v>
      </c>
      <c r="O15" s="61">
        <f t="shared" si="16"/>
        <v>211.23557809174056</v>
      </c>
      <c r="P15" s="129">
        <f t="shared" si="4"/>
        <v>290.20054734741814</v>
      </c>
      <c r="Q15" s="129">
        <f t="shared" si="5"/>
        <v>278.6946102872281</v>
      </c>
      <c r="R15" s="129">
        <f t="shared" si="6"/>
        <v>302.04499551087605</v>
      </c>
      <c r="S15" s="61">
        <f t="shared" si="7"/>
        <v>331.01909403215228</v>
      </c>
      <c r="T15" s="61">
        <f t="shared" si="1"/>
        <v>492.10422820753524</v>
      </c>
      <c r="U15" s="61">
        <f t="shared" si="17"/>
        <v>296.03110947575141</v>
      </c>
      <c r="V15" s="61"/>
      <c r="Y15" s="162" t="s">
        <v>32</v>
      </c>
      <c r="Z15" s="162" t="s">
        <v>156</v>
      </c>
      <c r="AA15" s="162" t="s">
        <v>201</v>
      </c>
      <c r="AB15" s="162">
        <f>RANK(AH15,$AH$14:$AH$22,1)</f>
        <v>8</v>
      </c>
      <c r="AC15" s="165">
        <f t="shared" si="19"/>
        <v>73.523761865252311</v>
      </c>
      <c r="AD15" s="165">
        <f t="shared" ref="AD15:AD22" si="20">MAX($AH$14:$AH$22)</f>
        <v>492.10422820753524</v>
      </c>
      <c r="AE15" s="162"/>
      <c r="AF15" s="162">
        <f t="shared" si="10"/>
        <v>24</v>
      </c>
      <c r="AG15" s="167">
        <f t="shared" si="11"/>
        <v>184</v>
      </c>
      <c r="AH15" s="165">
        <f t="shared" si="12"/>
        <v>370.19043123326173</v>
      </c>
      <c r="AI15" s="165">
        <f t="shared" si="13"/>
        <v>313.28212476952274</v>
      </c>
      <c r="AJ15" s="165">
        <f t="shared" si="14"/>
        <v>433.68340570664924</v>
      </c>
      <c r="AK15" s="167">
        <f t="shared" si="15"/>
        <v>1</v>
      </c>
    </row>
    <row r="16" spans="1:37" x14ac:dyDescent="0.2">
      <c r="A16" s="62" t="s">
        <v>39</v>
      </c>
      <c r="B16" s="62" t="s">
        <v>158</v>
      </c>
      <c r="C16" s="62" t="s">
        <v>200</v>
      </c>
      <c r="D16" s="62"/>
      <c r="E16" s="62">
        <f t="shared" si="2"/>
        <v>19</v>
      </c>
      <c r="F16" s="128">
        <v>117</v>
      </c>
      <c r="G16" s="129">
        <v>309.24802680277708</v>
      </c>
      <c r="H16" s="129">
        <v>254.80421799909209</v>
      </c>
      <c r="I16" s="129">
        <v>371.71597948083127</v>
      </c>
      <c r="J16" s="129"/>
      <c r="K16" s="129"/>
      <c r="L16" s="129"/>
      <c r="M16" s="60">
        <f t="shared" si="0"/>
        <v>5</v>
      </c>
      <c r="N16" s="61">
        <f t="shared" si="3"/>
        <v>73.523761865252311</v>
      </c>
      <c r="O16" s="61">
        <f t="shared" si="16"/>
        <v>211.23557809174056</v>
      </c>
      <c r="P16" s="129">
        <f t="shared" si="4"/>
        <v>290.20054734741814</v>
      </c>
      <c r="Q16" s="129">
        <f t="shared" si="5"/>
        <v>278.6946102872281</v>
      </c>
      <c r="R16" s="129">
        <f t="shared" si="6"/>
        <v>302.04499551087605</v>
      </c>
      <c r="S16" s="61">
        <f t="shared" si="7"/>
        <v>331.01909403215228</v>
      </c>
      <c r="T16" s="61">
        <f t="shared" si="1"/>
        <v>492.10422820753524</v>
      </c>
      <c r="U16" s="61">
        <f t="shared" si="17"/>
        <v>278.63788614394508</v>
      </c>
      <c r="V16" s="61"/>
      <c r="Y16" s="162" t="s">
        <v>36</v>
      </c>
      <c r="Z16" s="162" t="s">
        <v>61</v>
      </c>
      <c r="AA16" s="162" t="s">
        <v>201</v>
      </c>
      <c r="AB16" s="162">
        <f>RANK(AH16,$AH$14:$AH$22,1)</f>
        <v>2</v>
      </c>
      <c r="AC16" s="165">
        <f t="shared" si="19"/>
        <v>73.523761865252311</v>
      </c>
      <c r="AD16" s="165">
        <f t="shared" si="20"/>
        <v>492.10422820753524</v>
      </c>
      <c r="AE16" s="162"/>
      <c r="AF16" s="162">
        <f t="shared" si="10"/>
        <v>3</v>
      </c>
      <c r="AG16" s="167">
        <f t="shared" si="11"/>
        <v>123</v>
      </c>
      <c r="AH16" s="165">
        <f t="shared" si="12"/>
        <v>171.25919338621267</v>
      </c>
      <c r="AI16" s="165">
        <f t="shared" si="13"/>
        <v>86.797942292623588</v>
      </c>
      <c r="AJ16" s="165">
        <f t="shared" si="14"/>
        <v>267.83816621009026</v>
      </c>
      <c r="AK16" s="167">
        <f t="shared" si="15"/>
        <v>2</v>
      </c>
    </row>
    <row r="17" spans="1:37" x14ac:dyDescent="0.2">
      <c r="A17" s="62" t="s">
        <v>40</v>
      </c>
      <c r="B17" s="62" t="s">
        <v>63</v>
      </c>
      <c r="C17" s="62" t="s">
        <v>200</v>
      </c>
      <c r="D17" s="62"/>
      <c r="E17" s="62">
        <f t="shared" si="2"/>
        <v>16</v>
      </c>
      <c r="F17" s="128">
        <v>72</v>
      </c>
      <c r="G17" s="129">
        <v>299.9868932413579</v>
      </c>
      <c r="H17" s="129">
        <v>234.12797474857157</v>
      </c>
      <c r="I17" s="129">
        <v>378.48488124125419</v>
      </c>
      <c r="J17" s="129"/>
      <c r="K17" s="129"/>
      <c r="L17" s="129"/>
      <c r="M17" s="60">
        <f t="shared" si="0"/>
        <v>5</v>
      </c>
      <c r="N17" s="61">
        <f t="shared" si="3"/>
        <v>73.523761865252311</v>
      </c>
      <c r="O17" s="61">
        <f t="shared" si="16"/>
        <v>211.23557809174056</v>
      </c>
      <c r="P17" s="129">
        <f t="shared" si="4"/>
        <v>290.20054734741814</v>
      </c>
      <c r="Q17" s="129">
        <f t="shared" si="5"/>
        <v>278.6946102872281</v>
      </c>
      <c r="R17" s="129">
        <f t="shared" si="6"/>
        <v>302.04499551087605</v>
      </c>
      <c r="S17" s="61">
        <f t="shared" si="7"/>
        <v>331.01909403215228</v>
      </c>
      <c r="T17" s="61">
        <f t="shared" si="1"/>
        <v>492.10422820753524</v>
      </c>
      <c r="U17" s="61">
        <f t="shared" si="17"/>
        <v>278.63788614394508</v>
      </c>
      <c r="V17" s="61"/>
      <c r="Y17" s="162" t="s">
        <v>37</v>
      </c>
      <c r="Z17" s="162" t="s">
        <v>157</v>
      </c>
      <c r="AA17" s="162" t="s">
        <v>201</v>
      </c>
      <c r="AB17" s="162">
        <f t="shared" ref="AB17:AB22" si="21">RANK(AH17,$AH$14:$AH$22,1)</f>
        <v>6</v>
      </c>
      <c r="AC17" s="165">
        <f t="shared" si="19"/>
        <v>73.523761865252311</v>
      </c>
      <c r="AD17" s="165">
        <f>MAX($AH$14:$AH$22)</f>
        <v>492.10422820753524</v>
      </c>
      <c r="AE17" s="162"/>
      <c r="AF17" s="162">
        <f t="shared" si="10"/>
        <v>12</v>
      </c>
      <c r="AG17" s="167">
        <f t="shared" si="11"/>
        <v>181</v>
      </c>
      <c r="AH17" s="165">
        <f t="shared" si="12"/>
        <v>261.659324795788</v>
      </c>
      <c r="AI17" s="165">
        <f t="shared" si="13"/>
        <v>215.77872620664033</v>
      </c>
      <c r="AJ17" s="165">
        <f t="shared" si="14"/>
        <v>312.89513601526636</v>
      </c>
      <c r="AK17" s="167">
        <f t="shared" si="15"/>
        <v>5</v>
      </c>
    </row>
    <row r="18" spans="1:37" x14ac:dyDescent="0.2">
      <c r="A18" s="62" t="s">
        <v>41</v>
      </c>
      <c r="B18" s="62" t="s">
        <v>64</v>
      </c>
      <c r="C18" s="62" t="s">
        <v>163</v>
      </c>
      <c r="D18" s="62"/>
      <c r="E18" s="62">
        <f t="shared" si="2"/>
        <v>23</v>
      </c>
      <c r="F18" s="128">
        <v>136</v>
      </c>
      <c r="G18" s="129">
        <v>368.55460653030627</v>
      </c>
      <c r="H18" s="129">
        <v>309.0543463402974</v>
      </c>
      <c r="I18" s="129">
        <v>436.14332727932964</v>
      </c>
      <c r="J18" s="129"/>
      <c r="K18" s="129"/>
      <c r="L18" s="129"/>
      <c r="M18" s="60">
        <f t="shared" si="0"/>
        <v>1</v>
      </c>
      <c r="N18" s="61">
        <f t="shared" si="3"/>
        <v>73.523761865252311</v>
      </c>
      <c r="O18" s="61">
        <f t="shared" si="16"/>
        <v>211.23557809174056</v>
      </c>
      <c r="P18" s="129">
        <f t="shared" si="4"/>
        <v>290.20054734741814</v>
      </c>
      <c r="Q18" s="129">
        <f t="shared" si="5"/>
        <v>278.6946102872281</v>
      </c>
      <c r="R18" s="129">
        <f t="shared" si="6"/>
        <v>302.04499551087605</v>
      </c>
      <c r="S18" s="61">
        <f t="shared" si="7"/>
        <v>331.01909403215228</v>
      </c>
      <c r="T18" s="61">
        <f t="shared" si="1"/>
        <v>492.10422820753524</v>
      </c>
      <c r="U18" s="61">
        <f t="shared" si="17"/>
        <v>320.80300218877915</v>
      </c>
      <c r="V18" s="61"/>
      <c r="Y18" s="162" t="s">
        <v>38</v>
      </c>
      <c r="Z18" s="162" t="s">
        <v>62</v>
      </c>
      <c r="AA18" s="162" t="s">
        <v>201</v>
      </c>
      <c r="AB18" s="162">
        <f t="shared" si="21"/>
        <v>9</v>
      </c>
      <c r="AC18" s="165">
        <f t="shared" si="19"/>
        <v>73.523761865252311</v>
      </c>
      <c r="AD18" s="165">
        <f t="shared" si="20"/>
        <v>492.10422820753524</v>
      </c>
      <c r="AE18" s="162"/>
      <c r="AF18" s="162">
        <f t="shared" si="10"/>
        <v>26</v>
      </c>
      <c r="AG18" s="167">
        <f t="shared" si="11"/>
        <v>99</v>
      </c>
      <c r="AH18" s="165">
        <f t="shared" si="12"/>
        <v>492.10422820753524</v>
      </c>
      <c r="AI18" s="165">
        <f t="shared" si="13"/>
        <v>399.47344922560393</v>
      </c>
      <c r="AJ18" s="165">
        <f t="shared" si="14"/>
        <v>599.67674448918262</v>
      </c>
      <c r="AK18" s="167">
        <f t="shared" si="15"/>
        <v>1</v>
      </c>
    </row>
    <row r="19" spans="1:37" x14ac:dyDescent="0.2">
      <c r="A19" s="62" t="s">
        <v>42</v>
      </c>
      <c r="B19" s="62" t="s">
        <v>65</v>
      </c>
      <c r="C19" s="62" t="s">
        <v>200</v>
      </c>
      <c r="D19" s="62"/>
      <c r="E19" s="62">
        <f t="shared" si="2"/>
        <v>15</v>
      </c>
      <c r="F19" s="128">
        <v>46</v>
      </c>
      <c r="G19" s="129">
        <v>290.62546283186458</v>
      </c>
      <c r="H19" s="129">
        <v>207.25094312946274</v>
      </c>
      <c r="I19" s="129">
        <v>394.5218080102099</v>
      </c>
      <c r="J19" s="129"/>
      <c r="K19" s="129"/>
      <c r="L19" s="129"/>
      <c r="M19" s="60">
        <f t="shared" si="0"/>
        <v>5</v>
      </c>
      <c r="N19" s="61">
        <f t="shared" si="3"/>
        <v>73.523761865252311</v>
      </c>
      <c r="O19" s="61">
        <f t="shared" si="16"/>
        <v>211.23557809174056</v>
      </c>
      <c r="P19" s="129">
        <f t="shared" si="4"/>
        <v>290.20054734741814</v>
      </c>
      <c r="Q19" s="129">
        <f t="shared" si="5"/>
        <v>278.6946102872281</v>
      </c>
      <c r="R19" s="129">
        <f t="shared" si="6"/>
        <v>302.04499551087605</v>
      </c>
      <c r="S19" s="61">
        <f t="shared" si="7"/>
        <v>331.01909403215228</v>
      </c>
      <c r="T19" s="61">
        <f t="shared" si="1"/>
        <v>492.10422820753524</v>
      </c>
      <c r="U19" s="61">
        <f t="shared" si="17"/>
        <v>278.63788614394508</v>
      </c>
      <c r="V19" s="61"/>
      <c r="Y19" s="162" t="s">
        <v>43</v>
      </c>
      <c r="Z19" s="162" t="s">
        <v>159</v>
      </c>
      <c r="AA19" s="162" t="s">
        <v>201</v>
      </c>
      <c r="AB19" s="162">
        <f t="shared" si="21"/>
        <v>7</v>
      </c>
      <c r="AC19" s="165">
        <f t="shared" si="19"/>
        <v>73.523761865252311</v>
      </c>
      <c r="AD19" s="165">
        <f t="shared" si="20"/>
        <v>492.10422820753524</v>
      </c>
      <c r="AE19" s="162"/>
      <c r="AF19" s="162">
        <f t="shared" si="10"/>
        <v>20</v>
      </c>
      <c r="AG19" s="167">
        <f t="shared" si="11"/>
        <v>109</v>
      </c>
      <c r="AH19" s="165">
        <f t="shared" si="12"/>
        <v>331.01909403215228</v>
      </c>
      <c r="AI19" s="165">
        <f t="shared" si="13"/>
        <v>269.09213847605412</v>
      </c>
      <c r="AJ19" s="165">
        <f t="shared" si="14"/>
        <v>402.42843325990987</v>
      </c>
      <c r="AK19" s="167">
        <f t="shared" si="15"/>
        <v>5</v>
      </c>
    </row>
    <row r="20" spans="1:37" x14ac:dyDescent="0.2">
      <c r="A20" s="62" t="s">
        <v>43</v>
      </c>
      <c r="B20" s="62" t="s">
        <v>159</v>
      </c>
      <c r="C20" s="62" t="s">
        <v>201</v>
      </c>
      <c r="D20" s="62"/>
      <c r="E20" s="62">
        <f t="shared" si="2"/>
        <v>20</v>
      </c>
      <c r="F20" s="128">
        <v>109</v>
      </c>
      <c r="G20" s="129">
        <v>331.01909403215228</v>
      </c>
      <c r="H20" s="129">
        <v>269.09213847605412</v>
      </c>
      <c r="I20" s="129">
        <v>402.42843325990987</v>
      </c>
      <c r="J20" s="129"/>
      <c r="K20" s="129"/>
      <c r="L20" s="129"/>
      <c r="M20" s="60">
        <f t="shared" si="0"/>
        <v>5</v>
      </c>
      <c r="N20" s="61">
        <f t="shared" si="3"/>
        <v>73.523761865252311</v>
      </c>
      <c r="O20" s="61">
        <f t="shared" si="16"/>
        <v>211.23557809174056</v>
      </c>
      <c r="P20" s="129">
        <f t="shared" si="4"/>
        <v>290.20054734741814</v>
      </c>
      <c r="Q20" s="129">
        <f t="shared" si="5"/>
        <v>278.6946102872281</v>
      </c>
      <c r="R20" s="129">
        <f t="shared" si="6"/>
        <v>302.04499551087605</v>
      </c>
      <c r="S20" s="61">
        <f t="shared" si="7"/>
        <v>331.01909403215228</v>
      </c>
      <c r="T20" s="61">
        <f t="shared" si="1"/>
        <v>492.10422820753524</v>
      </c>
      <c r="U20" s="61">
        <f t="shared" si="17"/>
        <v>296.03110947575141</v>
      </c>
      <c r="V20" s="61"/>
      <c r="Y20" s="162" t="s">
        <v>48</v>
      </c>
      <c r="Z20" s="162" t="s">
        <v>160</v>
      </c>
      <c r="AA20" s="162" t="s">
        <v>201</v>
      </c>
      <c r="AB20" s="162">
        <f t="shared" si="21"/>
        <v>3</v>
      </c>
      <c r="AC20" s="165">
        <f t="shared" si="19"/>
        <v>73.523761865252311</v>
      </c>
      <c r="AD20" s="165">
        <f t="shared" si="20"/>
        <v>492.10422820753524</v>
      </c>
      <c r="AE20" s="162"/>
      <c r="AF20" s="162">
        <f t="shared" si="10"/>
        <v>4</v>
      </c>
      <c r="AG20" s="167">
        <f t="shared" si="11"/>
        <v>33</v>
      </c>
      <c r="AH20" s="165">
        <f t="shared" si="12"/>
        <v>176.24310171534958</v>
      </c>
      <c r="AI20" s="165">
        <f t="shared" si="13"/>
        <v>120.85014292546944</v>
      </c>
      <c r="AJ20" s="165">
        <f t="shared" si="14"/>
        <v>248.09958314503953</v>
      </c>
      <c r="AK20" s="167">
        <f t="shared" si="15"/>
        <v>2</v>
      </c>
    </row>
    <row r="21" spans="1:37" x14ac:dyDescent="0.2">
      <c r="A21" s="62" t="s">
        <v>44</v>
      </c>
      <c r="B21" s="62" t="s">
        <v>66</v>
      </c>
      <c r="C21" s="62" t="s">
        <v>200</v>
      </c>
      <c r="D21" s="62"/>
      <c r="E21" s="62">
        <f t="shared" si="2"/>
        <v>10</v>
      </c>
      <c r="F21" s="128">
        <v>28</v>
      </c>
      <c r="G21" s="129">
        <v>253.15178571912594</v>
      </c>
      <c r="H21" s="129">
        <v>165.51139059324467</v>
      </c>
      <c r="I21" s="129">
        <v>369.42958715838841</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5</v>
      </c>
      <c r="N21" s="61">
        <f t="shared" si="3"/>
        <v>73.523761865252311</v>
      </c>
      <c r="O21" s="61">
        <f t="shared" si="16"/>
        <v>211.23557809174056</v>
      </c>
      <c r="P21" s="129">
        <f t="shared" si="4"/>
        <v>290.20054734741814</v>
      </c>
      <c r="Q21" s="129">
        <f t="shared" si="5"/>
        <v>278.6946102872281</v>
      </c>
      <c r="R21" s="129">
        <f t="shared" si="6"/>
        <v>302.04499551087605</v>
      </c>
      <c r="S21" s="61">
        <f t="shared" si="7"/>
        <v>331.01909403215228</v>
      </c>
      <c r="T21" s="61">
        <f t="shared" si="1"/>
        <v>492.10422820753524</v>
      </c>
      <c r="U21" s="61">
        <f t="shared" si="17"/>
        <v>278.63788614394508</v>
      </c>
      <c r="V21" s="61"/>
      <c r="Y21" s="162" t="s">
        <v>52</v>
      </c>
      <c r="Z21" s="162" t="s">
        <v>72</v>
      </c>
      <c r="AA21" s="162" t="s">
        <v>201</v>
      </c>
      <c r="AB21" s="162">
        <f t="shared" si="21"/>
        <v>4</v>
      </c>
      <c r="AC21" s="165">
        <f t="shared" si="19"/>
        <v>73.523761865252311</v>
      </c>
      <c r="AD21" s="165">
        <f t="shared" si="20"/>
        <v>492.10422820753524</v>
      </c>
      <c r="AE21" s="162"/>
      <c r="AF21" s="162">
        <f t="shared" si="10"/>
        <v>5</v>
      </c>
      <c r="AG21" s="167">
        <f t="shared" si="11"/>
        <v>25</v>
      </c>
      <c r="AH21" s="165">
        <f t="shared" si="12"/>
        <v>179.61058664631418</v>
      </c>
      <c r="AI21" s="165">
        <f t="shared" si="13"/>
        <v>94.044258199714363</v>
      </c>
      <c r="AJ21" s="165">
        <f t="shared" si="14"/>
        <v>295.04475467328433</v>
      </c>
      <c r="AK21" s="167">
        <f t="shared" si="15"/>
        <v>5</v>
      </c>
    </row>
    <row r="22" spans="1:37" x14ac:dyDescent="0.2">
      <c r="A22" s="62" t="s">
        <v>45</v>
      </c>
      <c r="B22" s="62" t="s">
        <v>67</v>
      </c>
      <c r="C22" s="62" t="s">
        <v>163</v>
      </c>
      <c r="D22" s="62"/>
      <c r="E22" s="62">
        <f t="shared" si="2"/>
        <v>7</v>
      </c>
      <c r="F22" s="128">
        <v>55</v>
      </c>
      <c r="G22" s="129">
        <v>211.23557809174056</v>
      </c>
      <c r="H22" s="129">
        <v>158.86608905417464</v>
      </c>
      <c r="I22" s="129">
        <v>275.2692600339862</v>
      </c>
      <c r="J22" s="129"/>
      <c r="K22" s="129"/>
      <c r="L22" s="129"/>
      <c r="M22" s="60">
        <f t="shared" si="0"/>
        <v>2</v>
      </c>
      <c r="N22" s="61">
        <f t="shared" si="3"/>
        <v>73.523761865252311</v>
      </c>
      <c r="O22" s="61">
        <f t="shared" si="16"/>
        <v>211.23557809174056</v>
      </c>
      <c r="P22" s="129">
        <f t="shared" si="4"/>
        <v>290.20054734741814</v>
      </c>
      <c r="Q22" s="129">
        <f t="shared" si="5"/>
        <v>278.6946102872281</v>
      </c>
      <c r="R22" s="129">
        <f t="shared" si="6"/>
        <v>302.04499551087605</v>
      </c>
      <c r="S22" s="61">
        <f t="shared" si="7"/>
        <v>331.01909403215228</v>
      </c>
      <c r="T22" s="61">
        <f t="shared" si="1"/>
        <v>492.10422820753524</v>
      </c>
      <c r="U22" s="61">
        <f>VLOOKUP(C22,$C$43:$I$46,5,FALSE)</f>
        <v>320.80300218877915</v>
      </c>
      <c r="V22" s="61"/>
      <c r="Y22" s="162" t="s">
        <v>54</v>
      </c>
      <c r="Z22" s="162" t="s">
        <v>73</v>
      </c>
      <c r="AA22" s="162" t="s">
        <v>201</v>
      </c>
      <c r="AB22" s="162">
        <f t="shared" si="21"/>
        <v>1</v>
      </c>
      <c r="AC22" s="165">
        <f t="shared" si="19"/>
        <v>73.523761865252311</v>
      </c>
      <c r="AD22" s="165">
        <f t="shared" si="20"/>
        <v>492.10422820753524</v>
      </c>
      <c r="AE22" s="162"/>
      <c r="AF22" s="162">
        <f t="shared" si="10"/>
        <v>1</v>
      </c>
      <c r="AG22" s="167">
        <f t="shared" si="11"/>
        <v>25</v>
      </c>
      <c r="AH22" s="165">
        <f t="shared" si="12"/>
        <v>73.523761865252311</v>
      </c>
      <c r="AI22" s="165">
        <f t="shared" si="13"/>
        <v>43.749228698211425</v>
      </c>
      <c r="AJ22" s="165">
        <f t="shared" si="14"/>
        <v>113.69141340441764</v>
      </c>
      <c r="AK22" s="167">
        <f t="shared" si="15"/>
        <v>2</v>
      </c>
    </row>
    <row r="23" spans="1:37" x14ac:dyDescent="0.2">
      <c r="A23" s="62" t="s">
        <v>46</v>
      </c>
      <c r="B23" s="62" t="s">
        <v>68</v>
      </c>
      <c r="C23" s="62" t="s">
        <v>163</v>
      </c>
      <c r="D23" s="62"/>
      <c r="E23" s="62">
        <f t="shared" si="2"/>
        <v>17</v>
      </c>
      <c r="F23" s="128">
        <v>105</v>
      </c>
      <c r="G23" s="129">
        <v>303.24749802380842</v>
      </c>
      <c r="H23" s="129">
        <v>247.77103936493091</v>
      </c>
      <c r="I23" s="129">
        <v>367.39198837040635</v>
      </c>
      <c r="J23" s="129"/>
      <c r="K23" s="129"/>
      <c r="L23" s="129"/>
      <c r="M23" s="60">
        <f t="shared" si="0"/>
        <v>5</v>
      </c>
      <c r="N23" s="61">
        <f t="shared" si="3"/>
        <v>73.523761865252311</v>
      </c>
      <c r="O23" s="61">
        <f t="shared" si="16"/>
        <v>211.23557809174056</v>
      </c>
      <c r="P23" s="129">
        <f t="shared" si="4"/>
        <v>290.20054734741814</v>
      </c>
      <c r="Q23" s="129">
        <f t="shared" si="5"/>
        <v>278.6946102872281</v>
      </c>
      <c r="R23" s="129">
        <f t="shared" si="6"/>
        <v>302.04499551087605</v>
      </c>
      <c r="S23" s="61">
        <f t="shared" si="7"/>
        <v>331.01909403215228</v>
      </c>
      <c r="T23" s="61">
        <f t="shared" si="1"/>
        <v>492.10422820753524</v>
      </c>
      <c r="U23" s="61">
        <f t="shared" si="17"/>
        <v>320.80300218877915</v>
      </c>
      <c r="V23" s="61"/>
      <c r="Y23" s="163" t="s">
        <v>30</v>
      </c>
      <c r="Z23" s="163" t="s">
        <v>56</v>
      </c>
      <c r="AA23" s="163" t="s">
        <v>200</v>
      </c>
      <c r="AB23" s="163">
        <f>RANK(AH23,$AH$23:$AH$31,1)</f>
        <v>4</v>
      </c>
      <c r="AC23" s="166">
        <f>MIN($AH$23:$AH$31)</f>
        <v>224.14872164757634</v>
      </c>
      <c r="AD23" s="166">
        <f>MAX($AH$23:$AH$31)</f>
        <v>365.71138751537922</v>
      </c>
      <c r="AE23" s="163"/>
      <c r="AF23" s="163">
        <f t="shared" si="10"/>
        <v>13</v>
      </c>
      <c r="AG23" s="168">
        <f t="shared" si="11"/>
        <v>85</v>
      </c>
      <c r="AH23" s="166">
        <f t="shared" si="12"/>
        <v>267.5662358454905</v>
      </c>
      <c r="AI23" s="166">
        <f t="shared" si="13"/>
        <v>213.32256392379338</v>
      </c>
      <c r="AJ23" s="166">
        <f t="shared" si="14"/>
        <v>331.31581600644887</v>
      </c>
      <c r="AK23" s="168">
        <f t="shared" si="15"/>
        <v>5</v>
      </c>
    </row>
    <row r="24" spans="1:37" x14ac:dyDescent="0.2">
      <c r="A24" s="62" t="s">
        <v>47</v>
      </c>
      <c r="B24" s="62" t="s">
        <v>69</v>
      </c>
      <c r="C24" s="62" t="s">
        <v>163</v>
      </c>
      <c r="D24" s="62"/>
      <c r="E24" s="62">
        <f t="shared" si="2"/>
        <v>2</v>
      </c>
      <c r="F24" s="128">
        <v>24</v>
      </c>
      <c r="G24" s="129">
        <v>145.54438811249003</v>
      </c>
      <c r="H24" s="129">
        <v>93.147836711304379</v>
      </c>
      <c r="I24" s="129">
        <v>216.67322320043579</v>
      </c>
      <c r="J24" s="129"/>
      <c r="K24" s="129"/>
      <c r="L24" s="129"/>
      <c r="M24" s="60">
        <f t="shared" si="0"/>
        <v>2</v>
      </c>
      <c r="N24" s="61">
        <f t="shared" si="3"/>
        <v>73.523761865252311</v>
      </c>
      <c r="O24" s="61">
        <f t="shared" si="16"/>
        <v>211.23557809174056</v>
      </c>
      <c r="P24" s="129">
        <f t="shared" si="4"/>
        <v>290.20054734741814</v>
      </c>
      <c r="Q24" s="129">
        <f t="shared" si="5"/>
        <v>278.6946102872281</v>
      </c>
      <c r="R24" s="129">
        <f t="shared" si="6"/>
        <v>302.04499551087605</v>
      </c>
      <c r="S24" s="61">
        <f t="shared" si="7"/>
        <v>331.01909403215228</v>
      </c>
      <c r="T24" s="61">
        <f t="shared" si="1"/>
        <v>492.10422820753524</v>
      </c>
      <c r="U24" s="61">
        <f t="shared" si="17"/>
        <v>320.80300218877915</v>
      </c>
      <c r="V24" s="61"/>
      <c r="Y24" s="163" t="s">
        <v>31</v>
      </c>
      <c r="Z24" s="163" t="s">
        <v>57</v>
      </c>
      <c r="AA24" s="163" t="s">
        <v>200</v>
      </c>
      <c r="AB24" s="163">
        <f t="shared" ref="AB24:AB31" si="22">RANK(AH24,$AH$23:$AH$31,1)</f>
        <v>1</v>
      </c>
      <c r="AC24" s="166">
        <f t="shared" ref="AC24:AC31" si="23">MIN($AH$23:$AH$31)</f>
        <v>224.14872164757634</v>
      </c>
      <c r="AD24" s="166">
        <f t="shared" ref="AD24:AD31" si="24">MAX($AH$23:$AH$31)</f>
        <v>365.71138751537922</v>
      </c>
      <c r="AE24" s="163"/>
      <c r="AF24" s="163">
        <f t="shared" si="10"/>
        <v>8</v>
      </c>
      <c r="AG24" s="168">
        <f t="shared" si="11"/>
        <v>82</v>
      </c>
      <c r="AH24" s="166">
        <f t="shared" si="12"/>
        <v>224.14872164757634</v>
      </c>
      <c r="AI24" s="166">
        <f t="shared" si="13"/>
        <v>178.08251190101282</v>
      </c>
      <c r="AJ24" s="166">
        <f t="shared" si="14"/>
        <v>278.44766503662834</v>
      </c>
      <c r="AK24" s="168">
        <f t="shared" si="15"/>
        <v>2</v>
      </c>
    </row>
    <row r="25" spans="1:37" x14ac:dyDescent="0.2">
      <c r="A25" s="62" t="s">
        <v>48</v>
      </c>
      <c r="B25" s="62" t="s">
        <v>160</v>
      </c>
      <c r="C25" s="62" t="s">
        <v>201</v>
      </c>
      <c r="D25" s="62"/>
      <c r="E25" s="62">
        <f t="shared" si="2"/>
        <v>4</v>
      </c>
      <c r="F25" s="128">
        <v>33</v>
      </c>
      <c r="G25" s="129">
        <v>176.24310171534958</v>
      </c>
      <c r="H25" s="129">
        <v>120.85014292546944</v>
      </c>
      <c r="I25" s="129">
        <v>248.09958314503953</v>
      </c>
      <c r="J25" s="129"/>
      <c r="K25" s="129"/>
      <c r="L25" s="129"/>
      <c r="M25" s="60">
        <f t="shared" si="0"/>
        <v>2</v>
      </c>
      <c r="N25" s="61">
        <f t="shared" si="3"/>
        <v>73.523761865252311</v>
      </c>
      <c r="O25" s="61">
        <f t="shared" si="16"/>
        <v>211.23557809174056</v>
      </c>
      <c r="P25" s="129">
        <f t="shared" si="4"/>
        <v>290.20054734741814</v>
      </c>
      <c r="Q25" s="129">
        <f t="shared" si="5"/>
        <v>278.6946102872281</v>
      </c>
      <c r="R25" s="129">
        <f t="shared" si="6"/>
        <v>302.04499551087605</v>
      </c>
      <c r="S25" s="61">
        <f t="shared" si="7"/>
        <v>331.01909403215228</v>
      </c>
      <c r="T25" s="61">
        <f t="shared" si="1"/>
        <v>492.10422820753524</v>
      </c>
      <c r="U25" s="61">
        <f t="shared" si="17"/>
        <v>296.03110947575141</v>
      </c>
      <c r="V25" s="61"/>
      <c r="Y25" s="163" t="s">
        <v>34</v>
      </c>
      <c r="Z25" s="163" t="s">
        <v>59</v>
      </c>
      <c r="AA25" s="163" t="s">
        <v>200</v>
      </c>
      <c r="AB25" s="163">
        <f t="shared" si="22"/>
        <v>5</v>
      </c>
      <c r="AC25" s="166">
        <f t="shared" si="23"/>
        <v>224.14872164757634</v>
      </c>
      <c r="AD25" s="166">
        <f t="shared" si="24"/>
        <v>365.71138751537922</v>
      </c>
      <c r="AE25" s="163"/>
      <c r="AF25" s="163">
        <f t="shared" si="10"/>
        <v>14</v>
      </c>
      <c r="AG25" s="168">
        <f t="shared" si="11"/>
        <v>138</v>
      </c>
      <c r="AH25" s="166">
        <f t="shared" si="12"/>
        <v>289.56888477977259</v>
      </c>
      <c r="AI25" s="166">
        <f t="shared" si="13"/>
        <v>242.62139026305368</v>
      </c>
      <c r="AJ25" s="166">
        <f t="shared" si="14"/>
        <v>342.84871052414576</v>
      </c>
      <c r="AK25" s="168">
        <f t="shared" si="15"/>
        <v>5</v>
      </c>
    </row>
    <row r="26" spans="1:37" x14ac:dyDescent="0.2">
      <c r="A26" s="62" t="s">
        <v>49</v>
      </c>
      <c r="B26" s="62" t="s">
        <v>70</v>
      </c>
      <c r="C26" s="62" t="s">
        <v>200</v>
      </c>
      <c r="D26" s="62"/>
      <c r="E26" s="62">
        <f t="shared" si="2"/>
        <v>11</v>
      </c>
      <c r="F26" s="128">
        <v>60</v>
      </c>
      <c r="G26" s="129">
        <v>255.0052491953609</v>
      </c>
      <c r="H26" s="129">
        <v>190.77556657567939</v>
      </c>
      <c r="I26" s="129">
        <v>332.86581337619549</v>
      </c>
      <c r="J26" s="129"/>
      <c r="K26" s="129"/>
      <c r="L26" s="129"/>
      <c r="M26" s="60">
        <f t="shared" si="0"/>
        <v>5</v>
      </c>
      <c r="N26" s="61">
        <f t="shared" si="3"/>
        <v>73.523761865252311</v>
      </c>
      <c r="O26" s="61">
        <f t="shared" si="16"/>
        <v>211.23557809174056</v>
      </c>
      <c r="P26" s="129">
        <f t="shared" si="4"/>
        <v>290.20054734741814</v>
      </c>
      <c r="Q26" s="129">
        <f t="shared" si="5"/>
        <v>278.6946102872281</v>
      </c>
      <c r="R26" s="129">
        <f t="shared" si="6"/>
        <v>302.04499551087605</v>
      </c>
      <c r="S26" s="61">
        <f t="shared" si="7"/>
        <v>331.01909403215228</v>
      </c>
      <c r="T26" s="61">
        <f t="shared" si="1"/>
        <v>492.10422820753524</v>
      </c>
      <c r="U26" s="61">
        <f t="shared" si="17"/>
        <v>278.63788614394508</v>
      </c>
      <c r="V26" s="61"/>
      <c r="Y26" s="163" t="s">
        <v>39</v>
      </c>
      <c r="Z26" s="163" t="s">
        <v>158</v>
      </c>
      <c r="AA26" s="163" t="s">
        <v>200</v>
      </c>
      <c r="AB26" s="163">
        <f t="shared" si="22"/>
        <v>8</v>
      </c>
      <c r="AC26" s="166">
        <f t="shared" si="23"/>
        <v>224.14872164757634</v>
      </c>
      <c r="AD26" s="166">
        <f t="shared" si="24"/>
        <v>365.71138751537922</v>
      </c>
      <c r="AE26" s="163"/>
      <c r="AF26" s="163">
        <f t="shared" si="10"/>
        <v>19</v>
      </c>
      <c r="AG26" s="168">
        <f t="shared" si="11"/>
        <v>117</v>
      </c>
      <c r="AH26" s="166">
        <f t="shared" si="12"/>
        <v>309.24802680277708</v>
      </c>
      <c r="AI26" s="166">
        <f t="shared" si="13"/>
        <v>254.80421799909209</v>
      </c>
      <c r="AJ26" s="166">
        <f t="shared" si="14"/>
        <v>371.71597948083127</v>
      </c>
      <c r="AK26" s="168">
        <f t="shared" si="15"/>
        <v>5</v>
      </c>
    </row>
    <row r="27" spans="1:37" x14ac:dyDescent="0.2">
      <c r="A27" s="62" t="s">
        <v>50</v>
      </c>
      <c r="B27" s="62" t="s">
        <v>161</v>
      </c>
      <c r="C27" s="62" t="s">
        <v>163</v>
      </c>
      <c r="D27" s="62"/>
      <c r="E27" s="62">
        <f t="shared" si="2"/>
        <v>9</v>
      </c>
      <c r="F27" s="128">
        <v>38</v>
      </c>
      <c r="G27" s="129">
        <v>234.19727845551481</v>
      </c>
      <c r="H27" s="129">
        <v>165.26010070930329</v>
      </c>
      <c r="I27" s="129">
        <v>322.03765448865221</v>
      </c>
      <c r="J27" s="129"/>
      <c r="K27" s="129"/>
      <c r="L27" s="129"/>
      <c r="M27" s="60">
        <f t="shared" si="0"/>
        <v>5</v>
      </c>
      <c r="N27" s="61">
        <f t="shared" si="3"/>
        <v>73.523761865252311</v>
      </c>
      <c r="O27" s="61">
        <f t="shared" si="16"/>
        <v>211.23557809174056</v>
      </c>
      <c r="P27" s="129">
        <f t="shared" si="4"/>
        <v>290.20054734741814</v>
      </c>
      <c r="Q27" s="129">
        <f t="shared" si="5"/>
        <v>278.6946102872281</v>
      </c>
      <c r="R27" s="129">
        <f t="shared" si="6"/>
        <v>302.04499551087605</v>
      </c>
      <c r="S27" s="61">
        <f t="shared" si="7"/>
        <v>331.01909403215228</v>
      </c>
      <c r="T27" s="61">
        <f t="shared" si="1"/>
        <v>492.10422820753524</v>
      </c>
      <c r="U27" s="61">
        <f t="shared" si="17"/>
        <v>320.80300218877915</v>
      </c>
      <c r="V27" s="61"/>
      <c r="Y27" s="163" t="s">
        <v>40</v>
      </c>
      <c r="Z27" s="163" t="s">
        <v>63</v>
      </c>
      <c r="AA27" s="163" t="s">
        <v>200</v>
      </c>
      <c r="AB27" s="163">
        <f t="shared" si="22"/>
        <v>7</v>
      </c>
      <c r="AC27" s="166">
        <f t="shared" si="23"/>
        <v>224.14872164757634</v>
      </c>
      <c r="AD27" s="166">
        <f t="shared" si="24"/>
        <v>365.71138751537922</v>
      </c>
      <c r="AE27" s="163"/>
      <c r="AF27" s="163">
        <f t="shared" si="10"/>
        <v>16</v>
      </c>
      <c r="AG27" s="168">
        <f t="shared" si="11"/>
        <v>72</v>
      </c>
      <c r="AH27" s="166">
        <f t="shared" si="12"/>
        <v>299.9868932413579</v>
      </c>
      <c r="AI27" s="166">
        <f t="shared" si="13"/>
        <v>234.12797474857157</v>
      </c>
      <c r="AJ27" s="166">
        <f t="shared" si="14"/>
        <v>378.48488124125419</v>
      </c>
      <c r="AK27" s="168">
        <f t="shared" si="15"/>
        <v>5</v>
      </c>
    </row>
    <row r="28" spans="1:37" x14ac:dyDescent="0.2">
      <c r="A28" s="62" t="s">
        <v>51</v>
      </c>
      <c r="B28" s="62" t="s">
        <v>71</v>
      </c>
      <c r="C28" s="62" t="s">
        <v>200</v>
      </c>
      <c r="D28" s="62"/>
      <c r="E28" s="62">
        <f t="shared" si="2"/>
        <v>21</v>
      </c>
      <c r="F28" s="128">
        <v>58</v>
      </c>
      <c r="G28" s="129">
        <v>365.71138751537922</v>
      </c>
      <c r="H28" s="129">
        <v>276.64704596884297</v>
      </c>
      <c r="I28" s="129">
        <v>474.03582453168531</v>
      </c>
      <c r="J28" s="129"/>
      <c r="K28" s="129"/>
      <c r="L28" s="129"/>
      <c r="M28" s="60">
        <f t="shared" si="0"/>
        <v>5</v>
      </c>
      <c r="N28" s="61">
        <f t="shared" si="3"/>
        <v>73.523761865252311</v>
      </c>
      <c r="O28" s="61">
        <f t="shared" si="16"/>
        <v>211.23557809174056</v>
      </c>
      <c r="P28" s="129">
        <f t="shared" si="4"/>
        <v>290.20054734741814</v>
      </c>
      <c r="Q28" s="129">
        <f t="shared" si="5"/>
        <v>278.6946102872281</v>
      </c>
      <c r="R28" s="129">
        <f t="shared" si="6"/>
        <v>302.04499551087605</v>
      </c>
      <c r="S28" s="61">
        <f t="shared" si="7"/>
        <v>331.01909403215228</v>
      </c>
      <c r="T28" s="61">
        <f t="shared" si="1"/>
        <v>492.10422820753524</v>
      </c>
      <c r="U28" s="61">
        <f t="shared" si="17"/>
        <v>278.63788614394508</v>
      </c>
      <c r="V28" s="61"/>
      <c r="Y28" s="163" t="s">
        <v>42</v>
      </c>
      <c r="Z28" s="163" t="s">
        <v>65</v>
      </c>
      <c r="AA28" s="163" t="s">
        <v>200</v>
      </c>
      <c r="AB28" s="163">
        <f t="shared" si="22"/>
        <v>6</v>
      </c>
      <c r="AC28" s="166">
        <f t="shared" si="23"/>
        <v>224.14872164757634</v>
      </c>
      <c r="AD28" s="166">
        <f t="shared" si="24"/>
        <v>365.71138751537922</v>
      </c>
      <c r="AE28" s="163"/>
      <c r="AF28" s="163">
        <f t="shared" si="10"/>
        <v>15</v>
      </c>
      <c r="AG28" s="168">
        <f t="shared" si="11"/>
        <v>46</v>
      </c>
      <c r="AH28" s="166">
        <f t="shared" si="12"/>
        <v>290.62546283186458</v>
      </c>
      <c r="AI28" s="166">
        <f t="shared" si="13"/>
        <v>207.25094312946274</v>
      </c>
      <c r="AJ28" s="166">
        <f t="shared" si="14"/>
        <v>394.5218080102099</v>
      </c>
      <c r="AK28" s="168">
        <f t="shared" si="15"/>
        <v>5</v>
      </c>
    </row>
    <row r="29" spans="1:37" x14ac:dyDescent="0.2">
      <c r="A29" s="62" t="s">
        <v>52</v>
      </c>
      <c r="B29" s="62" t="s">
        <v>72</v>
      </c>
      <c r="C29" s="62" t="s">
        <v>201</v>
      </c>
      <c r="D29" s="62"/>
      <c r="E29" s="62">
        <f t="shared" si="2"/>
        <v>5</v>
      </c>
      <c r="F29" s="128">
        <v>25</v>
      </c>
      <c r="G29" s="129">
        <v>179.61058664631418</v>
      </c>
      <c r="H29" s="129">
        <v>94.044258199714363</v>
      </c>
      <c r="I29" s="129">
        <v>295.04475467328433</v>
      </c>
      <c r="J29" s="129"/>
      <c r="K29" s="129"/>
      <c r="L29" s="129"/>
      <c r="M29" s="60">
        <f t="shared" si="0"/>
        <v>5</v>
      </c>
      <c r="N29" s="61">
        <f t="shared" si="3"/>
        <v>73.523761865252311</v>
      </c>
      <c r="O29" s="61">
        <f t="shared" si="16"/>
        <v>211.23557809174056</v>
      </c>
      <c r="P29" s="129">
        <f t="shared" si="4"/>
        <v>290.20054734741814</v>
      </c>
      <c r="Q29" s="129">
        <f t="shared" si="5"/>
        <v>278.6946102872281</v>
      </c>
      <c r="R29" s="129">
        <f t="shared" si="6"/>
        <v>302.04499551087605</v>
      </c>
      <c r="S29" s="61">
        <f t="shared" si="7"/>
        <v>331.01909403215228</v>
      </c>
      <c r="T29" s="61">
        <f t="shared" si="1"/>
        <v>492.10422820753524</v>
      </c>
      <c r="U29" s="61">
        <f t="shared" si="17"/>
        <v>296.03110947575141</v>
      </c>
      <c r="V29" s="61"/>
      <c r="Y29" s="163" t="s">
        <v>44</v>
      </c>
      <c r="Z29" s="163" t="s">
        <v>66</v>
      </c>
      <c r="AA29" s="163" t="s">
        <v>200</v>
      </c>
      <c r="AB29" s="163">
        <f t="shared" si="22"/>
        <v>2</v>
      </c>
      <c r="AC29" s="166">
        <f t="shared" si="23"/>
        <v>224.14872164757634</v>
      </c>
      <c r="AD29" s="166">
        <f t="shared" si="24"/>
        <v>365.71138751537922</v>
      </c>
      <c r="AE29" s="163"/>
      <c r="AF29" s="163">
        <f t="shared" si="10"/>
        <v>10</v>
      </c>
      <c r="AG29" s="168">
        <f t="shared" si="11"/>
        <v>28</v>
      </c>
      <c r="AH29" s="166">
        <f t="shared" si="12"/>
        <v>253.15178571912594</v>
      </c>
      <c r="AI29" s="166">
        <f t="shared" si="13"/>
        <v>165.51139059324467</v>
      </c>
      <c r="AJ29" s="166">
        <f t="shared" si="14"/>
        <v>369.42958715838841</v>
      </c>
      <c r="AK29" s="168">
        <f t="shared" si="15"/>
        <v>5</v>
      </c>
    </row>
    <row r="30" spans="1:37" x14ac:dyDescent="0.2">
      <c r="A30" s="62" t="s">
        <v>53</v>
      </c>
      <c r="B30" s="62" t="s">
        <v>162</v>
      </c>
      <c r="C30" s="62" t="s">
        <v>163</v>
      </c>
      <c r="D30" s="62"/>
      <c r="E30" s="62">
        <f t="shared" si="2"/>
        <v>18</v>
      </c>
      <c r="F30" s="128">
        <v>255</v>
      </c>
      <c r="G30" s="129">
        <v>305.58989295148643</v>
      </c>
      <c r="H30" s="129">
        <v>268.95369481111186</v>
      </c>
      <c r="I30" s="129">
        <v>345.79390286578342</v>
      </c>
      <c r="J30" s="129"/>
      <c r="K30" s="129"/>
      <c r="L30" s="129"/>
      <c r="M30" s="60">
        <f t="shared" si="0"/>
        <v>5</v>
      </c>
      <c r="N30" s="61">
        <f t="shared" si="3"/>
        <v>73.523761865252311</v>
      </c>
      <c r="O30" s="61">
        <f t="shared" si="16"/>
        <v>211.23557809174056</v>
      </c>
      <c r="P30" s="129">
        <f>$G$32</f>
        <v>290.20054734741814</v>
      </c>
      <c r="Q30" s="129">
        <f t="shared" si="5"/>
        <v>278.6946102872281</v>
      </c>
      <c r="R30" s="129">
        <f t="shared" si="6"/>
        <v>302.04499551087605</v>
      </c>
      <c r="S30" s="61">
        <f t="shared" si="7"/>
        <v>331.01909403215228</v>
      </c>
      <c r="T30" s="61">
        <f t="shared" si="1"/>
        <v>492.10422820753524</v>
      </c>
      <c r="U30" s="61">
        <f t="shared" si="17"/>
        <v>320.80300218877915</v>
      </c>
      <c r="V30" s="61"/>
      <c r="Y30" s="163" t="s">
        <v>49</v>
      </c>
      <c r="Z30" s="163" t="s">
        <v>70</v>
      </c>
      <c r="AA30" s="163" t="s">
        <v>200</v>
      </c>
      <c r="AB30" s="163">
        <f t="shared" si="22"/>
        <v>3</v>
      </c>
      <c r="AC30" s="166">
        <f t="shared" si="23"/>
        <v>224.14872164757634</v>
      </c>
      <c r="AD30" s="166">
        <f t="shared" si="24"/>
        <v>365.71138751537922</v>
      </c>
      <c r="AE30" s="163"/>
      <c r="AF30" s="163">
        <f t="shared" si="10"/>
        <v>11</v>
      </c>
      <c r="AG30" s="168">
        <f t="shared" si="11"/>
        <v>60</v>
      </c>
      <c r="AH30" s="166">
        <f t="shared" si="12"/>
        <v>255.0052491953609</v>
      </c>
      <c r="AI30" s="166">
        <f t="shared" si="13"/>
        <v>190.77556657567939</v>
      </c>
      <c r="AJ30" s="166">
        <f t="shared" si="14"/>
        <v>332.86581337619549</v>
      </c>
      <c r="AK30" s="168">
        <f t="shared" si="15"/>
        <v>5</v>
      </c>
    </row>
    <row r="31" spans="1:37" x14ac:dyDescent="0.2">
      <c r="A31" s="62" t="s">
        <v>54</v>
      </c>
      <c r="B31" s="62" t="s">
        <v>73</v>
      </c>
      <c r="C31" s="62" t="s">
        <v>201</v>
      </c>
      <c r="D31" s="62"/>
      <c r="E31" s="62">
        <f t="shared" si="2"/>
        <v>1</v>
      </c>
      <c r="F31" s="128">
        <v>25</v>
      </c>
      <c r="G31" s="129">
        <v>73.523761865252311</v>
      </c>
      <c r="H31" s="129">
        <v>43.749228698211425</v>
      </c>
      <c r="I31" s="129">
        <v>113.69141340441764</v>
      </c>
      <c r="J31" s="129"/>
      <c r="K31" s="129"/>
      <c r="L31" s="129"/>
      <c r="M31" s="60">
        <f t="shared" si="0"/>
        <v>2</v>
      </c>
      <c r="N31" s="61">
        <f t="shared" si="3"/>
        <v>73.523761865252311</v>
      </c>
      <c r="O31" s="61">
        <f t="shared" si="16"/>
        <v>211.23557809174056</v>
      </c>
      <c r="P31" s="129">
        <f t="shared" si="4"/>
        <v>290.20054734741814</v>
      </c>
      <c r="Q31" s="129">
        <f t="shared" si="5"/>
        <v>278.6946102872281</v>
      </c>
      <c r="R31" s="129">
        <f t="shared" si="6"/>
        <v>302.04499551087605</v>
      </c>
      <c r="S31" s="61">
        <f t="shared" si="7"/>
        <v>331.01909403215228</v>
      </c>
      <c r="T31" s="61">
        <f t="shared" si="1"/>
        <v>492.10422820753524</v>
      </c>
      <c r="U31" s="61">
        <f t="shared" si="17"/>
        <v>296.03110947575141</v>
      </c>
      <c r="V31" s="61"/>
      <c r="Y31" s="163" t="s">
        <v>51</v>
      </c>
      <c r="Z31" s="163" t="s">
        <v>71</v>
      </c>
      <c r="AA31" s="163" t="s">
        <v>200</v>
      </c>
      <c r="AB31" s="163">
        <f t="shared" si="22"/>
        <v>9</v>
      </c>
      <c r="AC31" s="166">
        <f t="shared" si="23"/>
        <v>224.14872164757634</v>
      </c>
      <c r="AD31" s="166">
        <f t="shared" si="24"/>
        <v>365.71138751537922</v>
      </c>
      <c r="AE31" s="163"/>
      <c r="AF31" s="163">
        <f t="shared" si="10"/>
        <v>21</v>
      </c>
      <c r="AG31" s="168">
        <f t="shared" si="11"/>
        <v>58</v>
      </c>
      <c r="AH31" s="166">
        <f t="shared" si="12"/>
        <v>365.71138751537922</v>
      </c>
      <c r="AI31" s="166">
        <f t="shared" si="13"/>
        <v>276.64704596884297</v>
      </c>
      <c r="AJ31" s="166">
        <f t="shared" si="14"/>
        <v>474.03582453168531</v>
      </c>
      <c r="AK31" s="168">
        <f t="shared" si="15"/>
        <v>5</v>
      </c>
    </row>
    <row r="32" spans="1:37" x14ac:dyDescent="0.2">
      <c r="A32" s="62"/>
      <c r="B32" s="62" t="s">
        <v>171</v>
      </c>
      <c r="C32" s="62"/>
      <c r="D32" s="62"/>
      <c r="E32" s="62"/>
      <c r="F32" s="128">
        <v>2602</v>
      </c>
      <c r="G32" s="129">
        <v>290.20054734741814</v>
      </c>
      <c r="H32" s="129">
        <v>278.6946102872281</v>
      </c>
      <c r="I32" s="129">
        <v>302.04499551087605</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935</v>
      </c>
      <c r="G44" s="344">
        <v>320.80300218877915</v>
      </c>
      <c r="H44" s="344">
        <v>300.47187337833486</v>
      </c>
      <c r="I44" s="344">
        <v>342.14281607345168</v>
      </c>
      <c r="J44" s="344">
        <f>VLOOKUP($C44,$AA$6:$AD$13,3,FALSE)</f>
        <v>145.54438811249003</v>
      </c>
      <c r="K44" s="344">
        <f>VLOOKUP($C44,$AA$6:$AD$13,4,FALSE)</f>
        <v>489.94712425848331</v>
      </c>
      <c r="L44" s="344"/>
      <c r="M44" s="60">
        <f>IF($C$2="Significance not measured",6,IF(AND($C$2="Better / Worse",$K$2="Low = Worst",I44&lt;Q44),1,IF(AND($C$2="Better / Worse",$K$2="Low = Worst",H44&gt;R44),2,IF(AND($C$2="Better / Worse",$K$2="High = Worst",I44&lt;Q44),2,IF(AND($C$2="Better / Worse",$K$2="High = Worst",H44&gt;R44),1,IF(AND($C$2="Higher / Lower",I44&lt;Q44),3,IF(AND($C$2="Higher / Lower",H44&gt;R44),4,5)))))))</f>
        <v>5</v>
      </c>
      <c r="N44" s="60">
        <f>MIN($G$6:$G$31)</f>
        <v>73.523761865252311</v>
      </c>
      <c r="O44" s="60">
        <f>VLOOKUP(7,$E$5:$G$39,3,FALSE)</f>
        <v>211.23557809174056</v>
      </c>
      <c r="P44" s="344">
        <f>$G$32</f>
        <v>290.20054734741814</v>
      </c>
      <c r="Q44" s="344">
        <f>$H$32</f>
        <v>278.6946102872281</v>
      </c>
      <c r="R44" s="344">
        <f>$I$32</f>
        <v>302.04499551087605</v>
      </c>
      <c r="S44" s="60">
        <f>VLOOKUP(20,$E$5:$G$39,3,FALSE)</f>
        <v>331.01909403215228</v>
      </c>
      <c r="T44" s="60">
        <f>MAX($G$6:$G$31)</f>
        <v>492.10422820753524</v>
      </c>
    </row>
    <row r="45" spans="1:22" x14ac:dyDescent="0.2">
      <c r="C45" s="62" t="s">
        <v>201</v>
      </c>
      <c r="D45" s="62"/>
      <c r="E45" s="62"/>
      <c r="F45" s="128">
        <v>981</v>
      </c>
      <c r="G45" s="344">
        <v>296.03110947575141</v>
      </c>
      <c r="H45" s="344">
        <v>274.68906001059065</v>
      </c>
      <c r="I45" s="344">
        <v>318.40621316093495</v>
      </c>
      <c r="J45" s="344">
        <f>VLOOKUP($C45,$AA$14:$AD$22,3,FALSE)</f>
        <v>73.523761865252311</v>
      </c>
      <c r="K45" s="344">
        <f>VLOOKUP($C45,$AA$14:$AD$22,4,FALSE)</f>
        <v>492.10422820753524</v>
      </c>
      <c r="L45" s="344"/>
      <c r="M45" s="60">
        <f>IF($C$2="Significance not measured",6,IF(AND($C$2="Better / Worse",$K$2="Low = Worst",I45&lt;Q45),1,IF(AND($C$2="Better / Worse",$K$2="Low = Worst",H45&gt;R45),2,IF(AND($C$2="Better / Worse",$K$2="High = Worst",I45&lt;Q45),2,IF(AND($C$2="Better / Worse",$K$2="High = Worst",H45&gt;R45),1,IF(AND($C$2="Higher / Lower",I45&lt;Q45),3,IF(AND($C$2="Higher / Lower",H45&gt;R45),4,5)))))))</f>
        <v>5</v>
      </c>
      <c r="N45" s="60">
        <f>MIN($G$6:$G$31)</f>
        <v>73.523761865252311</v>
      </c>
      <c r="O45" s="60">
        <f>VLOOKUP(7,$E$5:$G$39,3,FALSE)</f>
        <v>211.23557809174056</v>
      </c>
      <c r="P45" s="344">
        <f>$G$32</f>
        <v>290.20054734741814</v>
      </c>
      <c r="Q45" s="344">
        <f t="shared" ref="Q45:Q46" si="25">$H$32</f>
        <v>278.6946102872281</v>
      </c>
      <c r="R45" s="344">
        <f t="shared" ref="R45:R46" si="26">$I$32</f>
        <v>302.04499551087605</v>
      </c>
      <c r="S45" s="60">
        <f>VLOOKUP(20,$E$5:$G$39,3,FALSE)</f>
        <v>331.01909403215228</v>
      </c>
      <c r="T45" s="60">
        <f t="shared" ref="T45:T46" si="27">MAX($G$6:$G$31)</f>
        <v>492.10422820753524</v>
      </c>
    </row>
    <row r="46" spans="1:22" x14ac:dyDescent="0.2">
      <c r="C46" s="62" t="s">
        <v>200</v>
      </c>
      <c r="D46" s="62"/>
      <c r="E46" s="62"/>
      <c r="F46" s="128">
        <v>686</v>
      </c>
      <c r="G46" s="344">
        <v>278.63788614394508</v>
      </c>
      <c r="H46" s="344">
        <v>257.88724940263626</v>
      </c>
      <c r="I46" s="344">
        <v>300.59587875020867</v>
      </c>
      <c r="J46" s="344">
        <f>VLOOKUP($C46,$AA$23:$AD$31,3,FALSE)</f>
        <v>224.14872164757634</v>
      </c>
      <c r="K46" s="344">
        <f>VLOOKUP($C46,$AA$23:$AD$31,4,FALSE)</f>
        <v>365.71138751537922</v>
      </c>
      <c r="L46" s="344"/>
      <c r="M46" s="60">
        <f>IF($C$2="Significance not measured",6,IF(AND($C$2="Better / Worse",$K$2="Low = Worst",I46&lt;Q46),1,IF(AND($C$2="Better / Worse",$K$2="Low = Worst",H46&gt;R46),2,IF(AND($C$2="Better / Worse",$K$2="High = Worst",I46&lt;Q46),2,IF(AND($C$2="Better / Worse",$K$2="High = Worst",H46&gt;R46),1,IF(AND($C$2="Higher / Lower",I46&lt;Q46),3,IF(AND($C$2="Higher / Lower",H46&gt;R46),4,5)))))))</f>
        <v>5</v>
      </c>
      <c r="N46" s="60">
        <f>MIN($G$6:$G$31)</f>
        <v>73.523761865252311</v>
      </c>
      <c r="O46" s="60">
        <f>VLOOKUP(7,$E$5:$G$39,3,FALSE)</f>
        <v>211.23557809174056</v>
      </c>
      <c r="P46" s="344">
        <f t="shared" ref="P46" si="28">$G$32</f>
        <v>290.20054734741814</v>
      </c>
      <c r="Q46" s="344">
        <f t="shared" si="25"/>
        <v>278.6946102872281</v>
      </c>
      <c r="R46" s="344">
        <f t="shared" si="26"/>
        <v>302.04499551087605</v>
      </c>
      <c r="S46" s="60">
        <f>VLOOKUP(20,$E$5:$G$39,3,FALSE)</f>
        <v>331.01909403215228</v>
      </c>
      <c r="T46" s="60">
        <f t="shared" si="27"/>
        <v>492.10422820753524</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C2:D2" xr:uid="{00000000-0002-0000-2A00-000000000000}">
      <formula1>"Better / Worse,Higher / Lower,Significance not measured"</formula1>
    </dataValidation>
    <dataValidation type="list" allowBlank="1" showInputMessage="1" showErrorMessage="1" sqref="K2:N2" xr:uid="{00000000-0002-0000-2A00-000001000000}">
      <formula1>"High = Worst,Low = Worst"</formula1>
    </dataValidation>
  </dataValidations>
  <pageMargins left="0.75" right="0.75" top="1" bottom="1" header="0.5" footer="0.5"/>
  <pageSetup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9">
    <tabColor theme="6" tint="0.39997558519241921"/>
  </sheetPr>
  <dimension ref="A1:AK55"/>
  <sheetViews>
    <sheetView workbookViewId="0">
      <selection activeCell="F6" sqref="F6:F31"/>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8" width="7.33203125" style="21" customWidth="1"/>
    <col min="9" max="9" width="6.886718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5.554687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3</v>
      </c>
      <c r="F6" s="128">
        <v>27</v>
      </c>
      <c r="G6" s="129">
        <v>81.580137379413671</v>
      </c>
      <c r="H6" s="129">
        <v>52.267727363817528</v>
      </c>
      <c r="I6" s="129">
        <v>120.67518246063264</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2</v>
      </c>
      <c r="N6" s="61">
        <f>MIN($G$6:$G$32)</f>
        <v>20.460780963236843</v>
      </c>
      <c r="O6" s="61">
        <f>VLOOKUP(7,$E$5:$G$39,3,FALSE)</f>
        <v>122.09624583832638</v>
      </c>
      <c r="P6" s="129">
        <f>$G$32</f>
        <v>190.10606641164873</v>
      </c>
      <c r="Q6" s="129">
        <f>$H$32</f>
        <v>180.82429826466208</v>
      </c>
      <c r="R6" s="129">
        <f>$I$32</f>
        <v>199.72799438444503</v>
      </c>
      <c r="S6" s="61">
        <f>VLOOKUP(20,$E$5:$G$39,3,FALSE)</f>
        <v>211.06475128261931</v>
      </c>
      <c r="T6" s="61">
        <f t="shared" ref="T6:T31" si="1">MAX($G$6:$G$31)</f>
        <v>304.38187960556934</v>
      </c>
      <c r="U6" s="61">
        <f>VLOOKUP(C6,$C$43:$I$46,5,FALSE)</f>
        <v>262.27155741279864</v>
      </c>
      <c r="V6" s="61"/>
      <c r="Y6" s="159" t="s">
        <v>33</v>
      </c>
      <c r="Z6" s="159" t="s">
        <v>58</v>
      </c>
      <c r="AA6" s="159" t="s">
        <v>163</v>
      </c>
      <c r="AB6" s="159">
        <f>RANK(AH6,$AH$6:$AH$13,1)</f>
        <v>8</v>
      </c>
      <c r="AC6" s="164">
        <f>MIN($AH$6:$AH$13)</f>
        <v>86.044809111084533</v>
      </c>
      <c r="AD6" s="164">
        <f>MAX($AH$6:$AH$13)</f>
        <v>211.06475128261931</v>
      </c>
      <c r="AE6" s="159"/>
      <c r="AF6" s="159">
        <f>VLOOKUP($Y6,$A$6:$I$31,5,FALSE)</f>
        <v>20</v>
      </c>
      <c r="AG6" s="160">
        <f>VLOOKUP($Y6,$A$6:$I$31,6,FALSE)</f>
        <v>77</v>
      </c>
      <c r="AH6" s="161">
        <f>VLOOKUP($Y6,$A$6:$I$31,7,FALSE)</f>
        <v>211.06475128261931</v>
      </c>
      <c r="AI6" s="161">
        <f>VLOOKUP($Y6,$A$6:$I$31,8,FALSE)</f>
        <v>165.65972950557733</v>
      </c>
      <c r="AJ6" s="161">
        <f>VLOOKUP($Y6,$A$6:$I$31,9,FALSE)</f>
        <v>264.86843319367864</v>
      </c>
      <c r="AK6" s="160">
        <f>VLOOKUP($Y6,$A$6:$M$31,13,FALSE)</f>
        <v>5</v>
      </c>
    </row>
    <row r="7" spans="1:37" x14ac:dyDescent="0.2">
      <c r="A7" s="62" t="s">
        <v>30</v>
      </c>
      <c r="B7" s="62" t="s">
        <v>56</v>
      </c>
      <c r="C7" s="62" t="s">
        <v>200</v>
      </c>
      <c r="D7" s="62"/>
      <c r="E7" s="62">
        <f t="shared" ref="E7:E31" si="2">RANK(G7,$G$6:$G$31,1)</f>
        <v>18</v>
      </c>
      <c r="F7" s="128">
        <v>59</v>
      </c>
      <c r="G7" s="129">
        <v>180.76126511804324</v>
      </c>
      <c r="H7" s="129">
        <v>137.37760855716681</v>
      </c>
      <c r="I7" s="129">
        <v>233.4380337985495</v>
      </c>
      <c r="J7" s="129"/>
      <c r="K7" s="129"/>
      <c r="L7" s="129"/>
      <c r="M7" s="60">
        <f t="shared" si="0"/>
        <v>5</v>
      </c>
      <c r="N7" s="61">
        <f t="shared" ref="N7:N31" si="3">MIN($G$6:$G$32)</f>
        <v>20.460780963236843</v>
      </c>
      <c r="O7" s="61">
        <f>VLOOKUP(7,$E$5:$G$39,3,FALSE)</f>
        <v>122.09624583832638</v>
      </c>
      <c r="P7" s="129">
        <f t="shared" ref="P7:P31" si="4">$G$32</f>
        <v>190.10606641164873</v>
      </c>
      <c r="Q7" s="129">
        <f t="shared" ref="Q7:Q31" si="5">$H$32</f>
        <v>180.82429826466208</v>
      </c>
      <c r="R7" s="129">
        <f t="shared" ref="R7:R31" si="6">$I$32</f>
        <v>199.72799438444503</v>
      </c>
      <c r="S7" s="61">
        <f t="shared" ref="S7:S31" si="7">VLOOKUP(20,$E$5:$G$39,3,FALSE)</f>
        <v>211.06475128261931</v>
      </c>
      <c r="T7" s="61">
        <f t="shared" si="1"/>
        <v>304.38187960556934</v>
      </c>
      <c r="U7" s="61">
        <f>VLOOKUP(C7,$C$43:$I$46,5,FALSE)</f>
        <v>183.15120565728034</v>
      </c>
      <c r="V7" s="61"/>
      <c r="Y7" s="159" t="s">
        <v>35</v>
      </c>
      <c r="Z7" s="159" t="s">
        <v>60</v>
      </c>
      <c r="AA7" s="159" t="s">
        <v>163</v>
      </c>
      <c r="AB7" s="159">
        <f t="shared" ref="AB7:AB12" si="8">RANK(AH7,$AH$6:$AH$13,1)</f>
        <v>6</v>
      </c>
      <c r="AC7" s="164">
        <f>MIN($AH$6:$AH$13)</f>
        <v>86.044809111084533</v>
      </c>
      <c r="AD7" s="164">
        <f t="shared" ref="AD7:AD13" si="9">MAX($AH$6:$AH$13)</f>
        <v>211.06475128261931</v>
      </c>
      <c r="AE7" s="159"/>
      <c r="AF7" s="159">
        <f t="shared" ref="AF7:AF31" si="10">VLOOKUP($Y7,$A$6:$I$31,5,FALSE)</f>
        <v>14</v>
      </c>
      <c r="AG7" s="160">
        <f t="shared" ref="AG7:AG31" si="11">VLOOKUP($Y7,$A$6:$I$31,6,FALSE)</f>
        <v>59</v>
      </c>
      <c r="AH7" s="161">
        <f t="shared" ref="AH7:AH31" si="12">VLOOKUP($Y7,$A$6:$I$31,7,FALSE)</f>
        <v>142.45118489722887</v>
      </c>
      <c r="AI7" s="161">
        <f t="shared" ref="AI7:AI31" si="13">VLOOKUP($Y7,$A$6:$I$31,8,FALSE)</f>
        <v>108.27907490957983</v>
      </c>
      <c r="AJ7" s="161">
        <f t="shared" ref="AJ7:AJ31" si="14">VLOOKUP($Y7,$A$6:$I$31,9,FALSE)</f>
        <v>183.94322304800852</v>
      </c>
      <c r="AK7" s="160">
        <f t="shared" ref="AK7:AK31" si="15">VLOOKUP($Y7,$A$6:$M$31,13,FALSE)</f>
        <v>5</v>
      </c>
    </row>
    <row r="8" spans="1:37" x14ac:dyDescent="0.2">
      <c r="A8" s="62" t="s">
        <v>31</v>
      </c>
      <c r="B8" s="62" t="s">
        <v>57</v>
      </c>
      <c r="C8" s="62" t="s">
        <v>200</v>
      </c>
      <c r="D8" s="62"/>
      <c r="E8" s="62">
        <f t="shared" si="2"/>
        <v>8</v>
      </c>
      <c r="F8" s="128">
        <v>47</v>
      </c>
      <c r="G8" s="129">
        <v>123.15185279676864</v>
      </c>
      <c r="H8" s="129">
        <v>90.261873838779692</v>
      </c>
      <c r="I8" s="129">
        <v>164.04016649193659</v>
      </c>
      <c r="J8" s="129"/>
      <c r="K8" s="129"/>
      <c r="L8" s="129"/>
      <c r="M8" s="60">
        <f t="shared" si="0"/>
        <v>2</v>
      </c>
      <c r="N8" s="61">
        <f t="shared" si="3"/>
        <v>20.460780963236843</v>
      </c>
      <c r="O8" s="61">
        <f t="shared" ref="O8:O31" si="16">VLOOKUP(7,$E$5:$G$39,3,FALSE)</f>
        <v>122.09624583832638</v>
      </c>
      <c r="P8" s="129">
        <f t="shared" si="4"/>
        <v>190.10606641164873</v>
      </c>
      <c r="Q8" s="129">
        <f t="shared" si="5"/>
        <v>180.82429826466208</v>
      </c>
      <c r="R8" s="129">
        <f t="shared" si="6"/>
        <v>199.72799438444503</v>
      </c>
      <c r="S8" s="61">
        <f t="shared" si="7"/>
        <v>211.06475128261931</v>
      </c>
      <c r="T8" s="61">
        <f t="shared" si="1"/>
        <v>304.38187960556934</v>
      </c>
      <c r="U8" s="61">
        <f t="shared" ref="U8:U31" si="17">VLOOKUP(C8,$C$43:$I$46,5,FALSE)</f>
        <v>183.15120565728034</v>
      </c>
      <c r="V8" s="61"/>
      <c r="Y8" s="159" t="s">
        <v>41</v>
      </c>
      <c r="Z8" s="159" t="s">
        <v>64</v>
      </c>
      <c r="AA8" s="159" t="s">
        <v>163</v>
      </c>
      <c r="AB8" s="159">
        <f t="shared" si="8"/>
        <v>7</v>
      </c>
      <c r="AC8" s="164">
        <f t="shared" ref="AC8:AC13" si="18">MIN($AH$6:$AH$13)</f>
        <v>86.044809111084533</v>
      </c>
      <c r="AD8" s="164">
        <f>MAX($AH$6:$AH$13)</f>
        <v>211.06475128261931</v>
      </c>
      <c r="AE8" s="159"/>
      <c r="AF8" s="159">
        <f t="shared" si="10"/>
        <v>19</v>
      </c>
      <c r="AG8" s="160">
        <f t="shared" si="11"/>
        <v>66</v>
      </c>
      <c r="AH8" s="161">
        <f t="shared" si="12"/>
        <v>185.00005567759089</v>
      </c>
      <c r="AI8" s="161">
        <f t="shared" si="13"/>
        <v>142.95211819037351</v>
      </c>
      <c r="AJ8" s="161">
        <f t="shared" si="14"/>
        <v>235.51338852235631</v>
      </c>
      <c r="AK8" s="160">
        <f t="shared" si="15"/>
        <v>5</v>
      </c>
    </row>
    <row r="9" spans="1:37" x14ac:dyDescent="0.2">
      <c r="A9" s="62" t="s">
        <v>32</v>
      </c>
      <c r="B9" s="62" t="s">
        <v>156</v>
      </c>
      <c r="C9" s="62" t="s">
        <v>201</v>
      </c>
      <c r="D9" s="62"/>
      <c r="E9" s="62">
        <f t="shared" si="2"/>
        <v>25</v>
      </c>
      <c r="F9" s="128">
        <v>140</v>
      </c>
      <c r="G9" s="129">
        <v>301.11304339689912</v>
      </c>
      <c r="H9" s="129">
        <v>249.05649478192638</v>
      </c>
      <c r="I9" s="129">
        <v>360.13716075011831</v>
      </c>
      <c r="J9" s="129"/>
      <c r="K9" s="129"/>
      <c r="L9" s="129"/>
      <c r="M9" s="60">
        <f t="shared" si="0"/>
        <v>1</v>
      </c>
      <c r="N9" s="61">
        <f t="shared" si="3"/>
        <v>20.460780963236843</v>
      </c>
      <c r="O9" s="61">
        <f t="shared" si="16"/>
        <v>122.09624583832638</v>
      </c>
      <c r="P9" s="129">
        <f t="shared" si="4"/>
        <v>190.10606641164873</v>
      </c>
      <c r="Q9" s="129">
        <f t="shared" si="5"/>
        <v>180.82429826466208</v>
      </c>
      <c r="R9" s="129">
        <f t="shared" si="6"/>
        <v>199.72799438444503</v>
      </c>
      <c r="S9" s="61">
        <f t="shared" si="7"/>
        <v>211.06475128261931</v>
      </c>
      <c r="T9" s="61">
        <f t="shared" si="1"/>
        <v>304.38187960556934</v>
      </c>
      <c r="U9" s="61">
        <f t="shared" si="17"/>
        <v>262.27155741279864</v>
      </c>
      <c r="V9" s="61"/>
      <c r="X9" s="63"/>
      <c r="Y9" s="159" t="s">
        <v>45</v>
      </c>
      <c r="Z9" s="159" t="s">
        <v>67</v>
      </c>
      <c r="AA9" s="159" t="s">
        <v>163</v>
      </c>
      <c r="AB9" s="159">
        <f t="shared" si="8"/>
        <v>1</v>
      </c>
      <c r="AC9" s="164">
        <f t="shared" si="18"/>
        <v>86.044809111084533</v>
      </c>
      <c r="AD9" s="164">
        <f t="shared" si="9"/>
        <v>211.06475128261931</v>
      </c>
      <c r="AE9" s="159"/>
      <c r="AF9" s="159">
        <f t="shared" si="10"/>
        <v>4</v>
      </c>
      <c r="AG9" s="160">
        <f t="shared" si="11"/>
        <v>23</v>
      </c>
      <c r="AH9" s="161">
        <f t="shared" si="12"/>
        <v>86.044809111084533</v>
      </c>
      <c r="AI9" s="161">
        <f t="shared" si="13"/>
        <v>54.395941730930396</v>
      </c>
      <c r="AJ9" s="161">
        <f t="shared" si="14"/>
        <v>129.29506878636005</v>
      </c>
      <c r="AK9" s="160">
        <f t="shared" si="15"/>
        <v>2</v>
      </c>
    </row>
    <row r="10" spans="1:37" x14ac:dyDescent="0.2">
      <c r="A10" s="62" t="s">
        <v>33</v>
      </c>
      <c r="B10" s="62" t="s">
        <v>58</v>
      </c>
      <c r="C10" s="62" t="s">
        <v>163</v>
      </c>
      <c r="D10" s="62"/>
      <c r="E10" s="62">
        <f t="shared" si="2"/>
        <v>20</v>
      </c>
      <c r="F10" s="128">
        <v>77</v>
      </c>
      <c r="G10" s="129">
        <v>211.06475128261931</v>
      </c>
      <c r="H10" s="129">
        <v>165.65972950557733</v>
      </c>
      <c r="I10" s="129">
        <v>264.86843319367864</v>
      </c>
      <c r="J10" s="129"/>
      <c r="K10" s="129"/>
      <c r="L10" s="129"/>
      <c r="M10" s="60">
        <f t="shared" si="0"/>
        <v>5</v>
      </c>
      <c r="N10" s="61">
        <f t="shared" si="3"/>
        <v>20.460780963236843</v>
      </c>
      <c r="O10" s="61">
        <f t="shared" si="16"/>
        <v>122.09624583832638</v>
      </c>
      <c r="P10" s="129">
        <f t="shared" si="4"/>
        <v>190.10606641164873</v>
      </c>
      <c r="Q10" s="129">
        <f t="shared" si="5"/>
        <v>180.82429826466208</v>
      </c>
      <c r="R10" s="129">
        <f t="shared" si="6"/>
        <v>199.72799438444503</v>
      </c>
      <c r="S10" s="61">
        <f t="shared" si="7"/>
        <v>211.06475128261931</v>
      </c>
      <c r="T10" s="61">
        <f t="shared" si="1"/>
        <v>304.38187960556934</v>
      </c>
      <c r="U10" s="61">
        <f t="shared" si="17"/>
        <v>147.50493055819391</v>
      </c>
      <c r="V10" s="61"/>
      <c r="Y10" s="159" t="s">
        <v>46</v>
      </c>
      <c r="Z10" s="159" t="s">
        <v>68</v>
      </c>
      <c r="AA10" s="159" t="s">
        <v>163</v>
      </c>
      <c r="AB10" s="159">
        <f t="shared" si="8"/>
        <v>5</v>
      </c>
      <c r="AC10" s="164">
        <f t="shared" si="18"/>
        <v>86.044809111084533</v>
      </c>
      <c r="AD10" s="164">
        <f t="shared" si="9"/>
        <v>211.06475128261931</v>
      </c>
      <c r="AE10" s="159"/>
      <c r="AF10" s="159">
        <f t="shared" si="10"/>
        <v>13</v>
      </c>
      <c r="AG10" s="160">
        <f t="shared" si="11"/>
        <v>49</v>
      </c>
      <c r="AH10" s="161">
        <f t="shared" si="12"/>
        <v>141.98802970251612</v>
      </c>
      <c r="AI10" s="161">
        <f t="shared" si="13"/>
        <v>104.94258932787064</v>
      </c>
      <c r="AJ10" s="161">
        <f t="shared" si="14"/>
        <v>187.83427057451527</v>
      </c>
      <c r="AK10" s="160">
        <f t="shared" si="15"/>
        <v>5</v>
      </c>
    </row>
    <row r="11" spans="1:37" x14ac:dyDescent="0.2">
      <c r="A11" s="62" t="s">
        <v>34</v>
      </c>
      <c r="B11" s="62" t="s">
        <v>59</v>
      </c>
      <c r="C11" s="62" t="s">
        <v>200</v>
      </c>
      <c r="D11" s="62"/>
      <c r="E11" s="62">
        <f t="shared" si="2"/>
        <v>24</v>
      </c>
      <c r="F11" s="128">
        <v>132</v>
      </c>
      <c r="G11" s="129">
        <v>276.54389442143446</v>
      </c>
      <c r="H11" s="129">
        <v>230.65672558335285</v>
      </c>
      <c r="I11" s="129">
        <v>328.76957874846988</v>
      </c>
      <c r="J11" s="129"/>
      <c r="K11" s="129"/>
      <c r="L11" s="129"/>
      <c r="M11" s="60">
        <f t="shared" si="0"/>
        <v>1</v>
      </c>
      <c r="N11" s="61">
        <f t="shared" si="3"/>
        <v>20.460780963236843</v>
      </c>
      <c r="O11" s="61">
        <f t="shared" si="16"/>
        <v>122.09624583832638</v>
      </c>
      <c r="P11" s="129">
        <f t="shared" si="4"/>
        <v>190.10606641164873</v>
      </c>
      <c r="Q11" s="129">
        <f t="shared" si="5"/>
        <v>180.82429826466208</v>
      </c>
      <c r="R11" s="129">
        <f t="shared" si="6"/>
        <v>199.72799438444503</v>
      </c>
      <c r="S11" s="61">
        <f t="shared" si="7"/>
        <v>211.06475128261931</v>
      </c>
      <c r="T11" s="61">
        <f t="shared" si="1"/>
        <v>304.38187960556934</v>
      </c>
      <c r="U11" s="61">
        <f t="shared" si="17"/>
        <v>183.15120565728034</v>
      </c>
      <c r="V11" s="61"/>
      <c r="Y11" s="159" t="s">
        <v>47</v>
      </c>
      <c r="Z11" s="159" t="s">
        <v>69</v>
      </c>
      <c r="AA11" s="159" t="s">
        <v>163</v>
      </c>
      <c r="AB11" s="159">
        <f t="shared" si="8"/>
        <v>2</v>
      </c>
      <c r="AC11" s="164">
        <f t="shared" si="18"/>
        <v>86.044809111084533</v>
      </c>
      <c r="AD11" s="164">
        <f t="shared" si="9"/>
        <v>211.06475128261931</v>
      </c>
      <c r="AE11" s="159"/>
      <c r="AF11" s="159">
        <f t="shared" si="10"/>
        <v>7</v>
      </c>
      <c r="AG11" s="160">
        <f t="shared" si="11"/>
        <v>20</v>
      </c>
      <c r="AH11" s="161">
        <f t="shared" si="12"/>
        <v>122.09624583832638</v>
      </c>
      <c r="AI11" s="161">
        <f t="shared" si="13"/>
        <v>74.162244746910332</v>
      </c>
      <c r="AJ11" s="161">
        <f t="shared" si="14"/>
        <v>189.11695174647704</v>
      </c>
      <c r="AK11" s="160">
        <f t="shared" si="15"/>
        <v>5</v>
      </c>
    </row>
    <row r="12" spans="1:37" x14ac:dyDescent="0.2">
      <c r="A12" s="62" t="s">
        <v>35</v>
      </c>
      <c r="B12" s="62" t="s">
        <v>60</v>
      </c>
      <c r="C12" s="62" t="s">
        <v>163</v>
      </c>
      <c r="D12" s="62"/>
      <c r="E12" s="62">
        <f t="shared" si="2"/>
        <v>14</v>
      </c>
      <c r="F12" s="128">
        <v>59</v>
      </c>
      <c r="G12" s="129">
        <v>142.45118489722887</v>
      </c>
      <c r="H12" s="129">
        <v>108.27907490957983</v>
      </c>
      <c r="I12" s="129">
        <v>183.94322304800852</v>
      </c>
      <c r="J12" s="129"/>
      <c r="K12" s="129"/>
      <c r="L12" s="129"/>
      <c r="M12" s="60">
        <f t="shared" si="0"/>
        <v>5</v>
      </c>
      <c r="N12" s="61">
        <f t="shared" si="3"/>
        <v>20.460780963236843</v>
      </c>
      <c r="O12" s="61">
        <f t="shared" si="16"/>
        <v>122.09624583832638</v>
      </c>
      <c r="P12" s="129">
        <f t="shared" si="4"/>
        <v>190.10606641164873</v>
      </c>
      <c r="Q12" s="129">
        <f t="shared" si="5"/>
        <v>180.82429826466208</v>
      </c>
      <c r="R12" s="129">
        <f t="shared" si="6"/>
        <v>199.72799438444503</v>
      </c>
      <c r="S12" s="61">
        <f t="shared" si="7"/>
        <v>211.06475128261931</v>
      </c>
      <c r="T12" s="61">
        <f t="shared" si="1"/>
        <v>304.38187960556934</v>
      </c>
      <c r="U12" s="61">
        <f t="shared" si="17"/>
        <v>147.50493055819391</v>
      </c>
      <c r="V12" s="61"/>
      <c r="Y12" s="159" t="s">
        <v>50</v>
      </c>
      <c r="Z12" s="159" t="s">
        <v>161</v>
      </c>
      <c r="AA12" s="159" t="s">
        <v>163</v>
      </c>
      <c r="AB12" s="159">
        <f t="shared" si="8"/>
        <v>3</v>
      </c>
      <c r="AC12" s="164">
        <f t="shared" si="18"/>
        <v>86.044809111084533</v>
      </c>
      <c r="AD12" s="164">
        <f t="shared" si="9"/>
        <v>211.06475128261931</v>
      </c>
      <c r="AE12" s="159"/>
      <c r="AF12" s="159">
        <f t="shared" si="10"/>
        <v>10</v>
      </c>
      <c r="AG12" s="160">
        <f t="shared" si="11"/>
        <v>23</v>
      </c>
      <c r="AH12" s="161">
        <f t="shared" si="12"/>
        <v>133.41608007885563</v>
      </c>
      <c r="AI12" s="161">
        <f t="shared" si="13"/>
        <v>84.10676118981786</v>
      </c>
      <c r="AJ12" s="161">
        <f t="shared" si="14"/>
        <v>200.80050874561906</v>
      </c>
      <c r="AK12" s="160">
        <f t="shared" si="15"/>
        <v>5</v>
      </c>
    </row>
    <row r="13" spans="1:37" x14ac:dyDescent="0.2">
      <c r="A13" s="62" t="s">
        <v>36</v>
      </c>
      <c r="B13" s="62" t="s">
        <v>61</v>
      </c>
      <c r="C13" s="62" t="s">
        <v>201</v>
      </c>
      <c r="D13" s="62"/>
      <c r="E13" s="62">
        <f t="shared" si="2"/>
        <v>1</v>
      </c>
      <c r="F13" s="128">
        <v>20</v>
      </c>
      <c r="G13" s="129">
        <v>20.460780963236843</v>
      </c>
      <c r="H13" s="129">
        <v>-1.946509777272468</v>
      </c>
      <c r="I13" s="129">
        <v>51.790367660038456</v>
      </c>
      <c r="J13" s="129"/>
      <c r="K13" s="129"/>
      <c r="L13" s="129"/>
      <c r="M13" s="60">
        <f t="shared" si="0"/>
        <v>2</v>
      </c>
      <c r="N13" s="61">
        <f t="shared" si="3"/>
        <v>20.460780963236843</v>
      </c>
      <c r="O13" s="61">
        <f t="shared" si="16"/>
        <v>122.09624583832638</v>
      </c>
      <c r="P13" s="129">
        <f t="shared" si="4"/>
        <v>190.10606641164873</v>
      </c>
      <c r="Q13" s="129">
        <f t="shared" si="5"/>
        <v>180.82429826466208</v>
      </c>
      <c r="R13" s="129">
        <f t="shared" si="6"/>
        <v>199.72799438444503</v>
      </c>
      <c r="S13" s="61">
        <f t="shared" si="7"/>
        <v>211.06475128261931</v>
      </c>
      <c r="T13" s="61">
        <f t="shared" si="1"/>
        <v>304.38187960556934</v>
      </c>
      <c r="U13" s="61">
        <f t="shared" si="17"/>
        <v>262.27155741279864</v>
      </c>
      <c r="V13" s="61"/>
      <c r="Y13" s="159" t="s">
        <v>53</v>
      </c>
      <c r="Z13" s="159" t="s">
        <v>162</v>
      </c>
      <c r="AA13" s="159" t="s">
        <v>163</v>
      </c>
      <c r="AB13" s="159">
        <f>RANK(AH13,$AH$6:$AH$13,1)</f>
        <v>4</v>
      </c>
      <c r="AC13" s="164">
        <f t="shared" si="18"/>
        <v>86.044809111084533</v>
      </c>
      <c r="AD13" s="164">
        <f t="shared" si="9"/>
        <v>211.06475128261931</v>
      </c>
      <c r="AE13" s="159"/>
      <c r="AF13" s="159">
        <f t="shared" si="10"/>
        <v>12</v>
      </c>
      <c r="AG13" s="160">
        <f t="shared" si="11"/>
        <v>116</v>
      </c>
      <c r="AH13" s="161">
        <f t="shared" si="12"/>
        <v>139.70014780871651</v>
      </c>
      <c r="AI13" s="161">
        <f t="shared" si="13"/>
        <v>115.1258189878952</v>
      </c>
      <c r="AJ13" s="161">
        <f t="shared" si="14"/>
        <v>167.91312339685607</v>
      </c>
      <c r="AK13" s="160">
        <f t="shared" si="15"/>
        <v>2</v>
      </c>
    </row>
    <row r="14" spans="1:37" x14ac:dyDescent="0.2">
      <c r="A14" s="62" t="s">
        <v>37</v>
      </c>
      <c r="B14" s="62" t="s">
        <v>157</v>
      </c>
      <c r="C14" s="62" t="s">
        <v>201</v>
      </c>
      <c r="D14" s="62"/>
      <c r="E14" s="62">
        <f t="shared" si="2"/>
        <v>23</v>
      </c>
      <c r="F14" s="128">
        <v>170</v>
      </c>
      <c r="G14" s="129">
        <v>254.22840158333631</v>
      </c>
      <c r="H14" s="129">
        <v>211.40899535283071</v>
      </c>
      <c r="I14" s="129">
        <v>302.21504541515526</v>
      </c>
      <c r="J14" s="129"/>
      <c r="K14" s="129"/>
      <c r="L14" s="129"/>
      <c r="M14" s="60">
        <f t="shared" si="0"/>
        <v>1</v>
      </c>
      <c r="N14" s="61">
        <f t="shared" si="3"/>
        <v>20.460780963236843</v>
      </c>
      <c r="O14" s="61">
        <f t="shared" si="16"/>
        <v>122.09624583832638</v>
      </c>
      <c r="P14" s="129">
        <f t="shared" si="4"/>
        <v>190.10606641164873</v>
      </c>
      <c r="Q14" s="129">
        <f t="shared" si="5"/>
        <v>180.82429826466208</v>
      </c>
      <c r="R14" s="129">
        <f t="shared" si="6"/>
        <v>199.72799438444503</v>
      </c>
      <c r="S14" s="61">
        <f t="shared" si="7"/>
        <v>211.06475128261931</v>
      </c>
      <c r="T14" s="61">
        <f t="shared" si="1"/>
        <v>304.38187960556934</v>
      </c>
      <c r="U14" s="61">
        <f t="shared" si="17"/>
        <v>262.27155741279864</v>
      </c>
      <c r="V14" s="61"/>
      <c r="Y14" s="162" t="s">
        <v>29</v>
      </c>
      <c r="Z14" s="162" t="s">
        <v>55</v>
      </c>
      <c r="AA14" s="162" t="s">
        <v>201</v>
      </c>
      <c r="AB14" s="162">
        <f>RANK(AH14,$AH$14:$AH$22,1)</f>
        <v>3</v>
      </c>
      <c r="AC14" s="165">
        <f t="shared" ref="AC14:AC22" si="19">MIN($AH$14:$AH$22)</f>
        <v>20.460780963236843</v>
      </c>
      <c r="AD14" s="165">
        <f>MAX($AH$14:$AH$22)</f>
        <v>304.38187960556934</v>
      </c>
      <c r="AE14" s="162"/>
      <c r="AF14" s="162">
        <f t="shared" si="10"/>
        <v>3</v>
      </c>
      <c r="AG14" s="167">
        <f t="shared" si="11"/>
        <v>27</v>
      </c>
      <c r="AH14" s="165">
        <f t="shared" si="12"/>
        <v>81.580137379413671</v>
      </c>
      <c r="AI14" s="165">
        <f t="shared" si="13"/>
        <v>52.267727363817528</v>
      </c>
      <c r="AJ14" s="165">
        <f t="shared" si="14"/>
        <v>120.67518246063264</v>
      </c>
      <c r="AK14" s="167">
        <f t="shared" si="15"/>
        <v>2</v>
      </c>
    </row>
    <row r="15" spans="1:37" x14ac:dyDescent="0.2">
      <c r="A15" s="62" t="s">
        <v>38</v>
      </c>
      <c r="B15" s="62" t="s">
        <v>62</v>
      </c>
      <c r="C15" s="62" t="s">
        <v>201</v>
      </c>
      <c r="D15" s="62"/>
      <c r="E15" s="62">
        <f t="shared" si="2"/>
        <v>16</v>
      </c>
      <c r="F15" s="128">
        <v>36</v>
      </c>
      <c r="G15" s="129">
        <v>170.45127860487318</v>
      </c>
      <c r="H15" s="129">
        <v>119.07448984174043</v>
      </c>
      <c r="I15" s="129">
        <v>236.35653397383058</v>
      </c>
      <c r="J15" s="129"/>
      <c r="K15" s="129"/>
      <c r="L15" s="129"/>
      <c r="M15" s="60">
        <f t="shared" si="0"/>
        <v>5</v>
      </c>
      <c r="N15" s="61">
        <f t="shared" si="3"/>
        <v>20.460780963236843</v>
      </c>
      <c r="O15" s="61">
        <f t="shared" si="16"/>
        <v>122.09624583832638</v>
      </c>
      <c r="P15" s="129">
        <f t="shared" si="4"/>
        <v>190.10606641164873</v>
      </c>
      <c r="Q15" s="129">
        <f t="shared" si="5"/>
        <v>180.82429826466208</v>
      </c>
      <c r="R15" s="129">
        <f t="shared" si="6"/>
        <v>199.72799438444503</v>
      </c>
      <c r="S15" s="61">
        <f t="shared" si="7"/>
        <v>211.06475128261931</v>
      </c>
      <c r="T15" s="61">
        <f t="shared" si="1"/>
        <v>304.38187960556934</v>
      </c>
      <c r="U15" s="61">
        <f t="shared" si="17"/>
        <v>262.27155741279864</v>
      </c>
      <c r="V15" s="61"/>
      <c r="Y15" s="162" t="s">
        <v>32</v>
      </c>
      <c r="Z15" s="162" t="s">
        <v>156</v>
      </c>
      <c r="AA15" s="162" t="s">
        <v>201</v>
      </c>
      <c r="AB15" s="162">
        <f>RANK(AH15,$AH$14:$AH$22,1)</f>
        <v>8</v>
      </c>
      <c r="AC15" s="165">
        <f t="shared" si="19"/>
        <v>20.460780963236843</v>
      </c>
      <c r="AD15" s="165">
        <f t="shared" ref="AD15:AD22" si="20">MAX($AH$14:$AH$22)</f>
        <v>304.38187960556934</v>
      </c>
      <c r="AE15" s="162"/>
      <c r="AF15" s="162">
        <f t="shared" si="10"/>
        <v>25</v>
      </c>
      <c r="AG15" s="167">
        <f t="shared" si="11"/>
        <v>140</v>
      </c>
      <c r="AH15" s="165">
        <f t="shared" si="12"/>
        <v>301.11304339689912</v>
      </c>
      <c r="AI15" s="165">
        <f t="shared" si="13"/>
        <v>249.05649478192638</v>
      </c>
      <c r="AJ15" s="165">
        <f t="shared" si="14"/>
        <v>360.13716075011831</v>
      </c>
      <c r="AK15" s="167">
        <f t="shared" si="15"/>
        <v>1</v>
      </c>
    </row>
    <row r="16" spans="1:37" x14ac:dyDescent="0.2">
      <c r="A16" s="62" t="s">
        <v>39</v>
      </c>
      <c r="B16" s="62" t="s">
        <v>158</v>
      </c>
      <c r="C16" s="62" t="s">
        <v>200</v>
      </c>
      <c r="D16" s="62"/>
      <c r="E16" s="62">
        <f t="shared" si="2"/>
        <v>9</v>
      </c>
      <c r="F16" s="128">
        <v>52</v>
      </c>
      <c r="G16" s="129">
        <v>128.00151535581202</v>
      </c>
      <c r="H16" s="129">
        <v>95.1062214872792</v>
      </c>
      <c r="I16" s="129">
        <v>168.45625255177393</v>
      </c>
      <c r="J16" s="129"/>
      <c r="K16" s="129"/>
      <c r="L16" s="129"/>
      <c r="M16" s="60">
        <f t="shared" si="0"/>
        <v>2</v>
      </c>
      <c r="N16" s="61">
        <f t="shared" si="3"/>
        <v>20.460780963236843</v>
      </c>
      <c r="O16" s="61">
        <f t="shared" si="16"/>
        <v>122.09624583832638</v>
      </c>
      <c r="P16" s="129">
        <f t="shared" si="4"/>
        <v>190.10606641164873</v>
      </c>
      <c r="Q16" s="129">
        <f t="shared" si="5"/>
        <v>180.82429826466208</v>
      </c>
      <c r="R16" s="129">
        <f t="shared" si="6"/>
        <v>199.72799438444503</v>
      </c>
      <c r="S16" s="61">
        <f t="shared" si="7"/>
        <v>211.06475128261931</v>
      </c>
      <c r="T16" s="61">
        <f t="shared" si="1"/>
        <v>304.38187960556934</v>
      </c>
      <c r="U16" s="61">
        <f t="shared" si="17"/>
        <v>183.15120565728034</v>
      </c>
      <c r="V16" s="61"/>
      <c r="Y16" s="162" t="s">
        <v>36</v>
      </c>
      <c r="Z16" s="162" t="s">
        <v>61</v>
      </c>
      <c r="AA16" s="162" t="s">
        <v>201</v>
      </c>
      <c r="AB16" s="162">
        <f>RANK(AH16,$AH$14:$AH$22,1)</f>
        <v>1</v>
      </c>
      <c r="AC16" s="165">
        <f t="shared" si="19"/>
        <v>20.460780963236843</v>
      </c>
      <c r="AD16" s="165">
        <f t="shared" si="20"/>
        <v>304.38187960556934</v>
      </c>
      <c r="AE16" s="162"/>
      <c r="AF16" s="162">
        <f t="shared" si="10"/>
        <v>1</v>
      </c>
      <c r="AG16" s="167">
        <f t="shared" si="11"/>
        <v>20</v>
      </c>
      <c r="AH16" s="165">
        <f t="shared" si="12"/>
        <v>20.460780963236843</v>
      </c>
      <c r="AI16" s="165">
        <f t="shared" si="13"/>
        <v>-1.946509777272468</v>
      </c>
      <c r="AJ16" s="165">
        <f t="shared" si="14"/>
        <v>51.790367660038456</v>
      </c>
      <c r="AK16" s="167">
        <f t="shared" si="15"/>
        <v>2</v>
      </c>
    </row>
    <row r="17" spans="1:37" x14ac:dyDescent="0.2">
      <c r="A17" s="62" t="s">
        <v>40</v>
      </c>
      <c r="B17" s="62" t="s">
        <v>63</v>
      </c>
      <c r="C17" s="62" t="s">
        <v>200</v>
      </c>
      <c r="D17" s="62"/>
      <c r="E17" s="62">
        <f t="shared" si="2"/>
        <v>22</v>
      </c>
      <c r="F17" s="128">
        <v>59</v>
      </c>
      <c r="G17" s="129">
        <v>251.22677305213006</v>
      </c>
      <c r="H17" s="129">
        <v>190.22115719874634</v>
      </c>
      <c r="I17" s="129">
        <v>325.30025991949884</v>
      </c>
      <c r="J17" s="129"/>
      <c r="K17" s="129"/>
      <c r="L17" s="129"/>
      <c r="M17" s="60">
        <f t="shared" si="0"/>
        <v>5</v>
      </c>
      <c r="N17" s="61">
        <f t="shared" si="3"/>
        <v>20.460780963236843</v>
      </c>
      <c r="O17" s="61">
        <f t="shared" si="16"/>
        <v>122.09624583832638</v>
      </c>
      <c r="P17" s="129">
        <f t="shared" si="4"/>
        <v>190.10606641164873</v>
      </c>
      <c r="Q17" s="129">
        <f t="shared" si="5"/>
        <v>180.82429826466208</v>
      </c>
      <c r="R17" s="129">
        <f t="shared" si="6"/>
        <v>199.72799438444503</v>
      </c>
      <c r="S17" s="61">
        <f t="shared" si="7"/>
        <v>211.06475128261931</v>
      </c>
      <c r="T17" s="61">
        <f t="shared" si="1"/>
        <v>304.38187960556934</v>
      </c>
      <c r="U17" s="61">
        <f t="shared" si="17"/>
        <v>183.15120565728034</v>
      </c>
      <c r="V17" s="61"/>
      <c r="Y17" s="162" t="s">
        <v>37</v>
      </c>
      <c r="Z17" s="162" t="s">
        <v>157</v>
      </c>
      <c r="AA17" s="162" t="s">
        <v>201</v>
      </c>
      <c r="AB17" s="162">
        <f t="shared" ref="AB17:AB22" si="21">RANK(AH17,$AH$14:$AH$22,1)</f>
        <v>7</v>
      </c>
      <c r="AC17" s="165">
        <f t="shared" si="19"/>
        <v>20.460780963236843</v>
      </c>
      <c r="AD17" s="165">
        <f>MAX($AH$14:$AH$22)</f>
        <v>304.38187960556934</v>
      </c>
      <c r="AE17" s="162"/>
      <c r="AF17" s="162">
        <f t="shared" si="10"/>
        <v>23</v>
      </c>
      <c r="AG17" s="167">
        <f t="shared" si="11"/>
        <v>170</v>
      </c>
      <c r="AH17" s="165">
        <f t="shared" si="12"/>
        <v>254.22840158333631</v>
      </c>
      <c r="AI17" s="165">
        <f t="shared" si="13"/>
        <v>211.40899535283071</v>
      </c>
      <c r="AJ17" s="165">
        <f t="shared" si="14"/>
        <v>302.21504541515526</v>
      </c>
      <c r="AK17" s="167">
        <f t="shared" si="15"/>
        <v>1</v>
      </c>
    </row>
    <row r="18" spans="1:37" x14ac:dyDescent="0.2">
      <c r="A18" s="62" t="s">
        <v>41</v>
      </c>
      <c r="B18" s="62" t="s">
        <v>64</v>
      </c>
      <c r="C18" s="62" t="s">
        <v>163</v>
      </c>
      <c r="D18" s="62"/>
      <c r="E18" s="62">
        <f t="shared" si="2"/>
        <v>19</v>
      </c>
      <c r="F18" s="128">
        <v>66</v>
      </c>
      <c r="G18" s="129">
        <v>185.00005567759089</v>
      </c>
      <c r="H18" s="129">
        <v>142.95211819037351</v>
      </c>
      <c r="I18" s="129">
        <v>235.51338852235631</v>
      </c>
      <c r="J18" s="129"/>
      <c r="K18" s="129"/>
      <c r="L18" s="129"/>
      <c r="M18" s="60">
        <f t="shared" si="0"/>
        <v>5</v>
      </c>
      <c r="N18" s="61">
        <f t="shared" si="3"/>
        <v>20.460780963236843</v>
      </c>
      <c r="O18" s="61">
        <f t="shared" si="16"/>
        <v>122.09624583832638</v>
      </c>
      <c r="P18" s="129">
        <f t="shared" si="4"/>
        <v>190.10606641164873</v>
      </c>
      <c r="Q18" s="129">
        <f t="shared" si="5"/>
        <v>180.82429826466208</v>
      </c>
      <c r="R18" s="129">
        <f t="shared" si="6"/>
        <v>199.72799438444503</v>
      </c>
      <c r="S18" s="61">
        <f t="shared" si="7"/>
        <v>211.06475128261931</v>
      </c>
      <c r="T18" s="61">
        <f t="shared" si="1"/>
        <v>304.38187960556934</v>
      </c>
      <c r="U18" s="61">
        <f t="shared" si="17"/>
        <v>147.50493055819391</v>
      </c>
      <c r="V18" s="61"/>
      <c r="Y18" s="162" t="s">
        <v>38</v>
      </c>
      <c r="Z18" s="162" t="s">
        <v>62</v>
      </c>
      <c r="AA18" s="162" t="s">
        <v>201</v>
      </c>
      <c r="AB18" s="162">
        <f t="shared" si="21"/>
        <v>6</v>
      </c>
      <c r="AC18" s="165">
        <f t="shared" si="19"/>
        <v>20.460780963236843</v>
      </c>
      <c r="AD18" s="165">
        <f t="shared" si="20"/>
        <v>304.38187960556934</v>
      </c>
      <c r="AE18" s="162"/>
      <c r="AF18" s="162">
        <f t="shared" si="10"/>
        <v>16</v>
      </c>
      <c r="AG18" s="167">
        <f t="shared" si="11"/>
        <v>36</v>
      </c>
      <c r="AH18" s="165">
        <f t="shared" si="12"/>
        <v>170.45127860487318</v>
      </c>
      <c r="AI18" s="165">
        <f t="shared" si="13"/>
        <v>119.07448984174043</v>
      </c>
      <c r="AJ18" s="165">
        <f t="shared" si="14"/>
        <v>236.35653397383058</v>
      </c>
      <c r="AK18" s="167">
        <f t="shared" si="15"/>
        <v>5</v>
      </c>
    </row>
    <row r="19" spans="1:37" x14ac:dyDescent="0.2">
      <c r="A19" s="62" t="s">
        <v>42</v>
      </c>
      <c r="B19" s="62" t="s">
        <v>65</v>
      </c>
      <c r="C19" s="62" t="s">
        <v>200</v>
      </c>
      <c r="D19" s="62"/>
      <c r="E19" s="62">
        <f t="shared" si="2"/>
        <v>21</v>
      </c>
      <c r="F19" s="128">
        <v>38</v>
      </c>
      <c r="G19" s="129">
        <v>211.72782482695158</v>
      </c>
      <c r="H19" s="129">
        <v>146.7309348896907</v>
      </c>
      <c r="I19" s="129">
        <v>294.54745045903223</v>
      </c>
      <c r="J19" s="129"/>
      <c r="K19" s="129"/>
      <c r="L19" s="129"/>
      <c r="M19" s="60">
        <f t="shared" si="0"/>
        <v>5</v>
      </c>
      <c r="N19" s="61">
        <f t="shared" si="3"/>
        <v>20.460780963236843</v>
      </c>
      <c r="O19" s="61">
        <f t="shared" si="16"/>
        <v>122.09624583832638</v>
      </c>
      <c r="P19" s="129">
        <f t="shared" si="4"/>
        <v>190.10606641164873</v>
      </c>
      <c r="Q19" s="129">
        <f t="shared" si="5"/>
        <v>180.82429826466208</v>
      </c>
      <c r="R19" s="129">
        <f t="shared" si="6"/>
        <v>199.72799438444503</v>
      </c>
      <c r="S19" s="61">
        <f t="shared" si="7"/>
        <v>211.06475128261931</v>
      </c>
      <c r="T19" s="61">
        <f t="shared" si="1"/>
        <v>304.38187960556934</v>
      </c>
      <c r="U19" s="61">
        <f t="shared" si="17"/>
        <v>183.15120565728034</v>
      </c>
      <c r="V19" s="61"/>
      <c r="Y19" s="162" t="s">
        <v>43</v>
      </c>
      <c r="Z19" s="162" t="s">
        <v>159</v>
      </c>
      <c r="AA19" s="162" t="s">
        <v>201</v>
      </c>
      <c r="AB19" s="162">
        <f t="shared" si="21"/>
        <v>9</v>
      </c>
      <c r="AC19" s="165">
        <f t="shared" si="19"/>
        <v>20.460780963236843</v>
      </c>
      <c r="AD19" s="165">
        <f t="shared" si="20"/>
        <v>304.38187960556934</v>
      </c>
      <c r="AE19" s="162"/>
      <c r="AF19" s="162">
        <f t="shared" si="10"/>
        <v>26</v>
      </c>
      <c r="AG19" s="167">
        <f t="shared" si="11"/>
        <v>108</v>
      </c>
      <c r="AH19" s="165">
        <f t="shared" si="12"/>
        <v>304.38187960556934</v>
      </c>
      <c r="AI19" s="165">
        <f t="shared" si="13"/>
        <v>248.55791350060582</v>
      </c>
      <c r="AJ19" s="165">
        <f t="shared" si="14"/>
        <v>368.79638163173502</v>
      </c>
      <c r="AK19" s="167">
        <f t="shared" si="15"/>
        <v>1</v>
      </c>
    </row>
    <row r="20" spans="1:37" x14ac:dyDescent="0.2">
      <c r="A20" s="62" t="s">
        <v>43</v>
      </c>
      <c r="B20" s="62" t="s">
        <v>159</v>
      </c>
      <c r="C20" s="62" t="s">
        <v>201</v>
      </c>
      <c r="D20" s="62"/>
      <c r="E20" s="62">
        <f t="shared" si="2"/>
        <v>26</v>
      </c>
      <c r="F20" s="128">
        <v>108</v>
      </c>
      <c r="G20" s="129">
        <v>304.38187960556934</v>
      </c>
      <c r="H20" s="129">
        <v>248.55791350060582</v>
      </c>
      <c r="I20" s="129">
        <v>368.79638163173502</v>
      </c>
      <c r="J20" s="129"/>
      <c r="K20" s="129"/>
      <c r="L20" s="129"/>
      <c r="M20" s="60">
        <f t="shared" si="0"/>
        <v>1</v>
      </c>
      <c r="N20" s="61">
        <f t="shared" si="3"/>
        <v>20.460780963236843</v>
      </c>
      <c r="O20" s="61">
        <f t="shared" si="16"/>
        <v>122.09624583832638</v>
      </c>
      <c r="P20" s="129">
        <f t="shared" si="4"/>
        <v>190.10606641164873</v>
      </c>
      <c r="Q20" s="129">
        <f t="shared" si="5"/>
        <v>180.82429826466208</v>
      </c>
      <c r="R20" s="129">
        <f t="shared" si="6"/>
        <v>199.72799438444503</v>
      </c>
      <c r="S20" s="61">
        <f t="shared" si="7"/>
        <v>211.06475128261931</v>
      </c>
      <c r="T20" s="61">
        <f t="shared" si="1"/>
        <v>304.38187960556934</v>
      </c>
      <c r="U20" s="61">
        <f t="shared" si="17"/>
        <v>262.27155741279864</v>
      </c>
      <c r="V20" s="61"/>
      <c r="Y20" s="162" t="s">
        <v>48</v>
      </c>
      <c r="Z20" s="162" t="s">
        <v>160</v>
      </c>
      <c r="AA20" s="162" t="s">
        <v>201</v>
      </c>
      <c r="AB20" s="162">
        <f t="shared" si="21"/>
        <v>5</v>
      </c>
      <c r="AC20" s="165">
        <f t="shared" si="19"/>
        <v>20.460780963236843</v>
      </c>
      <c r="AD20" s="165">
        <f t="shared" si="20"/>
        <v>304.38187960556934</v>
      </c>
      <c r="AE20" s="162"/>
      <c r="AF20" s="162">
        <f t="shared" si="10"/>
        <v>11</v>
      </c>
      <c r="AG20" s="167">
        <f t="shared" si="11"/>
        <v>29</v>
      </c>
      <c r="AH20" s="165">
        <f t="shared" si="12"/>
        <v>139.03297823598277</v>
      </c>
      <c r="AI20" s="165">
        <f t="shared" si="13"/>
        <v>92.566482371158358</v>
      </c>
      <c r="AJ20" s="165">
        <f t="shared" si="14"/>
        <v>200.37727885326063</v>
      </c>
      <c r="AK20" s="167">
        <f t="shared" si="15"/>
        <v>5</v>
      </c>
    </row>
    <row r="21" spans="1:37" x14ac:dyDescent="0.2">
      <c r="A21" s="62" t="s">
        <v>44</v>
      </c>
      <c r="B21" s="62" t="s">
        <v>66</v>
      </c>
      <c r="C21" s="62" t="s">
        <v>200</v>
      </c>
      <c r="D21" s="62"/>
      <c r="E21" s="62">
        <f t="shared" si="2"/>
        <v>5</v>
      </c>
      <c r="F21" s="128">
        <v>12</v>
      </c>
      <c r="G21" s="129">
        <v>92.727443782532447</v>
      </c>
      <c r="H21" s="129">
        <v>46.617202454924843</v>
      </c>
      <c r="I21" s="129">
        <v>163.90289343773492</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2</v>
      </c>
      <c r="N21" s="61">
        <f t="shared" si="3"/>
        <v>20.460780963236843</v>
      </c>
      <c r="O21" s="61">
        <f t="shared" si="16"/>
        <v>122.09624583832638</v>
      </c>
      <c r="P21" s="129">
        <f t="shared" si="4"/>
        <v>190.10606641164873</v>
      </c>
      <c r="Q21" s="129">
        <f t="shared" si="5"/>
        <v>180.82429826466208</v>
      </c>
      <c r="R21" s="129">
        <f t="shared" si="6"/>
        <v>199.72799438444503</v>
      </c>
      <c r="S21" s="61">
        <f t="shared" si="7"/>
        <v>211.06475128261931</v>
      </c>
      <c r="T21" s="61">
        <f t="shared" si="1"/>
        <v>304.38187960556934</v>
      </c>
      <c r="U21" s="61">
        <f t="shared" si="17"/>
        <v>183.15120565728034</v>
      </c>
      <c r="V21" s="61"/>
      <c r="Y21" s="162" t="s">
        <v>52</v>
      </c>
      <c r="Z21" s="162" t="s">
        <v>72</v>
      </c>
      <c r="AA21" s="162" t="s">
        <v>201</v>
      </c>
      <c r="AB21" s="162">
        <f t="shared" si="21"/>
        <v>4</v>
      </c>
      <c r="AC21" s="165">
        <f t="shared" si="19"/>
        <v>20.460780963236843</v>
      </c>
      <c r="AD21" s="165">
        <f t="shared" si="20"/>
        <v>304.38187960556934</v>
      </c>
      <c r="AE21" s="162"/>
      <c r="AF21" s="162">
        <f t="shared" si="10"/>
        <v>6</v>
      </c>
      <c r="AG21" s="167">
        <f t="shared" si="11"/>
        <v>9</v>
      </c>
      <c r="AH21" s="165">
        <f t="shared" si="12"/>
        <v>94.003698821338702</v>
      </c>
      <c r="AI21" s="165">
        <f t="shared" si="13"/>
        <v>28.220217274471182</v>
      </c>
      <c r="AJ21" s="165">
        <f t="shared" si="14"/>
        <v>202.70966778522811</v>
      </c>
      <c r="AK21" s="167">
        <f t="shared" si="15"/>
        <v>5</v>
      </c>
    </row>
    <row r="22" spans="1:37" x14ac:dyDescent="0.2">
      <c r="A22" s="62" t="s">
        <v>45</v>
      </c>
      <c r="B22" s="62" t="s">
        <v>67</v>
      </c>
      <c r="C22" s="62" t="s">
        <v>163</v>
      </c>
      <c r="D22" s="62"/>
      <c r="E22" s="62">
        <f t="shared" si="2"/>
        <v>4</v>
      </c>
      <c r="F22" s="128">
        <v>23</v>
      </c>
      <c r="G22" s="129">
        <v>86.044809111084533</v>
      </c>
      <c r="H22" s="129">
        <v>54.395941730930396</v>
      </c>
      <c r="I22" s="129">
        <v>129.29506878636005</v>
      </c>
      <c r="J22" s="129"/>
      <c r="K22" s="129"/>
      <c r="L22" s="129"/>
      <c r="M22" s="60">
        <f t="shared" si="0"/>
        <v>2</v>
      </c>
      <c r="N22" s="61">
        <f t="shared" si="3"/>
        <v>20.460780963236843</v>
      </c>
      <c r="O22" s="61">
        <f t="shared" si="16"/>
        <v>122.09624583832638</v>
      </c>
      <c r="P22" s="129">
        <f t="shared" si="4"/>
        <v>190.10606641164873</v>
      </c>
      <c r="Q22" s="129">
        <f t="shared" si="5"/>
        <v>180.82429826466208</v>
      </c>
      <c r="R22" s="129">
        <f t="shared" si="6"/>
        <v>199.72799438444503</v>
      </c>
      <c r="S22" s="61">
        <f t="shared" si="7"/>
        <v>211.06475128261931</v>
      </c>
      <c r="T22" s="61">
        <f t="shared" si="1"/>
        <v>304.38187960556934</v>
      </c>
      <c r="U22" s="61">
        <f>VLOOKUP(C22,$C$43:$I$46,5,FALSE)</f>
        <v>147.50493055819391</v>
      </c>
      <c r="V22" s="61"/>
      <c r="Y22" s="162" t="s">
        <v>54</v>
      </c>
      <c r="Z22" s="162" t="s">
        <v>73</v>
      </c>
      <c r="AA22" s="162" t="s">
        <v>201</v>
      </c>
      <c r="AB22" s="162">
        <f t="shared" si="21"/>
        <v>2</v>
      </c>
      <c r="AC22" s="165">
        <f t="shared" si="19"/>
        <v>20.460780963236843</v>
      </c>
      <c r="AD22" s="165">
        <f t="shared" si="20"/>
        <v>304.38187960556934</v>
      </c>
      <c r="AE22" s="162"/>
      <c r="AF22" s="162">
        <f t="shared" si="10"/>
        <v>2</v>
      </c>
      <c r="AG22" s="167">
        <f t="shared" si="11"/>
        <v>7</v>
      </c>
      <c r="AH22" s="165">
        <f t="shared" si="12"/>
        <v>42.907563592807904</v>
      </c>
      <c r="AI22" s="165">
        <f t="shared" si="13"/>
        <v>7.4761649859563688</v>
      </c>
      <c r="AJ22" s="165">
        <f t="shared" si="14"/>
        <v>105.59668990252858</v>
      </c>
      <c r="AK22" s="167">
        <f t="shared" si="15"/>
        <v>2</v>
      </c>
    </row>
    <row r="23" spans="1:37" x14ac:dyDescent="0.2">
      <c r="A23" s="62" t="s">
        <v>46</v>
      </c>
      <c r="B23" s="62" t="s">
        <v>68</v>
      </c>
      <c r="C23" s="62" t="s">
        <v>163</v>
      </c>
      <c r="D23" s="62"/>
      <c r="E23" s="62">
        <f t="shared" si="2"/>
        <v>13</v>
      </c>
      <c r="F23" s="128">
        <v>49</v>
      </c>
      <c r="G23" s="129">
        <v>141.98802970251612</v>
      </c>
      <c r="H23" s="129">
        <v>104.94258932787064</v>
      </c>
      <c r="I23" s="129">
        <v>187.83427057451527</v>
      </c>
      <c r="J23" s="129"/>
      <c r="K23" s="129"/>
      <c r="L23" s="129"/>
      <c r="M23" s="60">
        <f t="shared" si="0"/>
        <v>5</v>
      </c>
      <c r="N23" s="61">
        <f t="shared" si="3"/>
        <v>20.460780963236843</v>
      </c>
      <c r="O23" s="61">
        <f t="shared" si="16"/>
        <v>122.09624583832638</v>
      </c>
      <c r="P23" s="129">
        <f t="shared" si="4"/>
        <v>190.10606641164873</v>
      </c>
      <c r="Q23" s="129">
        <f t="shared" si="5"/>
        <v>180.82429826466208</v>
      </c>
      <c r="R23" s="129">
        <f t="shared" si="6"/>
        <v>199.72799438444503</v>
      </c>
      <c r="S23" s="61">
        <f t="shared" si="7"/>
        <v>211.06475128261931</v>
      </c>
      <c r="T23" s="61">
        <f t="shared" si="1"/>
        <v>304.38187960556934</v>
      </c>
      <c r="U23" s="61">
        <f t="shared" si="17"/>
        <v>147.50493055819391</v>
      </c>
      <c r="V23" s="61"/>
      <c r="Y23" s="163" t="s">
        <v>30</v>
      </c>
      <c r="Z23" s="163" t="s">
        <v>56</v>
      </c>
      <c r="AA23" s="163" t="s">
        <v>200</v>
      </c>
      <c r="AB23" s="163">
        <f>RANK(AH23,$AH$23:$AH$31,1)</f>
        <v>6</v>
      </c>
      <c r="AC23" s="166">
        <f>MIN($AH$23:$AH$31)</f>
        <v>92.727443782532447</v>
      </c>
      <c r="AD23" s="166">
        <f>MAX($AH$23:$AH$31)</f>
        <v>276.54389442143446</v>
      </c>
      <c r="AE23" s="163"/>
      <c r="AF23" s="163">
        <f t="shared" si="10"/>
        <v>18</v>
      </c>
      <c r="AG23" s="168">
        <f t="shared" si="11"/>
        <v>59</v>
      </c>
      <c r="AH23" s="166">
        <f t="shared" si="12"/>
        <v>180.76126511804324</v>
      </c>
      <c r="AI23" s="166">
        <f t="shared" si="13"/>
        <v>137.37760855716681</v>
      </c>
      <c r="AJ23" s="166">
        <f t="shared" si="14"/>
        <v>233.4380337985495</v>
      </c>
      <c r="AK23" s="168">
        <f t="shared" si="15"/>
        <v>5</v>
      </c>
    </row>
    <row r="24" spans="1:37" x14ac:dyDescent="0.2">
      <c r="A24" s="62" t="s">
        <v>47</v>
      </c>
      <c r="B24" s="62" t="s">
        <v>69</v>
      </c>
      <c r="C24" s="62" t="s">
        <v>163</v>
      </c>
      <c r="D24" s="62"/>
      <c r="E24" s="62">
        <f t="shared" si="2"/>
        <v>7</v>
      </c>
      <c r="F24" s="128">
        <v>20</v>
      </c>
      <c r="G24" s="129">
        <v>122.09624583832638</v>
      </c>
      <c r="H24" s="129">
        <v>74.162244746910332</v>
      </c>
      <c r="I24" s="129">
        <v>189.11695174647704</v>
      </c>
      <c r="J24" s="129"/>
      <c r="K24" s="129"/>
      <c r="L24" s="129"/>
      <c r="M24" s="60">
        <f t="shared" si="0"/>
        <v>5</v>
      </c>
      <c r="N24" s="61">
        <f t="shared" si="3"/>
        <v>20.460780963236843</v>
      </c>
      <c r="O24" s="61">
        <f t="shared" si="16"/>
        <v>122.09624583832638</v>
      </c>
      <c r="P24" s="129">
        <f t="shared" si="4"/>
        <v>190.10606641164873</v>
      </c>
      <c r="Q24" s="129">
        <f t="shared" si="5"/>
        <v>180.82429826466208</v>
      </c>
      <c r="R24" s="129">
        <f t="shared" si="6"/>
        <v>199.72799438444503</v>
      </c>
      <c r="S24" s="61">
        <f t="shared" si="7"/>
        <v>211.06475128261931</v>
      </c>
      <c r="T24" s="61">
        <f t="shared" si="1"/>
        <v>304.38187960556934</v>
      </c>
      <c r="U24" s="61">
        <f t="shared" si="17"/>
        <v>147.50493055819391</v>
      </c>
      <c r="V24" s="61"/>
      <c r="Y24" s="163" t="s">
        <v>31</v>
      </c>
      <c r="Z24" s="163" t="s">
        <v>57</v>
      </c>
      <c r="AA24" s="163" t="s">
        <v>200</v>
      </c>
      <c r="AB24" s="163">
        <f t="shared" ref="AB24:AB31" si="22">RANK(AH24,$AH$23:$AH$31,1)</f>
        <v>2</v>
      </c>
      <c r="AC24" s="166">
        <f t="shared" ref="AC24:AC31" si="23">MIN($AH$23:$AH$31)</f>
        <v>92.727443782532447</v>
      </c>
      <c r="AD24" s="166">
        <f t="shared" ref="AD24:AD31" si="24">MAX($AH$23:$AH$31)</f>
        <v>276.54389442143446</v>
      </c>
      <c r="AE24" s="163"/>
      <c r="AF24" s="163">
        <f t="shared" si="10"/>
        <v>8</v>
      </c>
      <c r="AG24" s="168">
        <f t="shared" si="11"/>
        <v>47</v>
      </c>
      <c r="AH24" s="166">
        <f t="shared" si="12"/>
        <v>123.15185279676864</v>
      </c>
      <c r="AI24" s="166">
        <f t="shared" si="13"/>
        <v>90.261873838779692</v>
      </c>
      <c r="AJ24" s="166">
        <f t="shared" si="14"/>
        <v>164.04016649193659</v>
      </c>
      <c r="AK24" s="168">
        <f t="shared" si="15"/>
        <v>2</v>
      </c>
    </row>
    <row r="25" spans="1:37" x14ac:dyDescent="0.2">
      <c r="A25" s="62" t="s">
        <v>48</v>
      </c>
      <c r="B25" s="62" t="s">
        <v>160</v>
      </c>
      <c r="C25" s="62" t="s">
        <v>201</v>
      </c>
      <c r="D25" s="62"/>
      <c r="E25" s="62">
        <f t="shared" si="2"/>
        <v>11</v>
      </c>
      <c r="F25" s="128">
        <v>29</v>
      </c>
      <c r="G25" s="129">
        <v>139.03297823598277</v>
      </c>
      <c r="H25" s="129">
        <v>92.566482371158358</v>
      </c>
      <c r="I25" s="129">
        <v>200.37727885326063</v>
      </c>
      <c r="J25" s="129"/>
      <c r="K25" s="129"/>
      <c r="L25" s="129"/>
      <c r="M25" s="60">
        <f t="shared" si="0"/>
        <v>5</v>
      </c>
      <c r="N25" s="61">
        <f t="shared" si="3"/>
        <v>20.460780963236843</v>
      </c>
      <c r="O25" s="61">
        <f t="shared" si="16"/>
        <v>122.09624583832638</v>
      </c>
      <c r="P25" s="129">
        <f t="shared" si="4"/>
        <v>190.10606641164873</v>
      </c>
      <c r="Q25" s="129">
        <f t="shared" si="5"/>
        <v>180.82429826466208</v>
      </c>
      <c r="R25" s="129">
        <f t="shared" si="6"/>
        <v>199.72799438444503</v>
      </c>
      <c r="S25" s="61">
        <f t="shared" si="7"/>
        <v>211.06475128261931</v>
      </c>
      <c r="T25" s="61">
        <f t="shared" si="1"/>
        <v>304.38187960556934</v>
      </c>
      <c r="U25" s="61">
        <f t="shared" si="17"/>
        <v>262.27155741279864</v>
      </c>
      <c r="V25" s="61"/>
      <c r="Y25" s="163" t="s">
        <v>34</v>
      </c>
      <c r="Z25" s="163" t="s">
        <v>59</v>
      </c>
      <c r="AA25" s="163" t="s">
        <v>200</v>
      </c>
      <c r="AB25" s="163">
        <f t="shared" si="22"/>
        <v>9</v>
      </c>
      <c r="AC25" s="166">
        <f t="shared" si="23"/>
        <v>92.727443782532447</v>
      </c>
      <c r="AD25" s="166">
        <f t="shared" si="24"/>
        <v>276.54389442143446</v>
      </c>
      <c r="AE25" s="163"/>
      <c r="AF25" s="163">
        <f t="shared" si="10"/>
        <v>24</v>
      </c>
      <c r="AG25" s="168">
        <f t="shared" si="11"/>
        <v>132</v>
      </c>
      <c r="AH25" s="166">
        <f t="shared" si="12"/>
        <v>276.54389442143446</v>
      </c>
      <c r="AI25" s="166">
        <f t="shared" si="13"/>
        <v>230.65672558335285</v>
      </c>
      <c r="AJ25" s="166">
        <f t="shared" si="14"/>
        <v>328.76957874846988</v>
      </c>
      <c r="AK25" s="168">
        <f t="shared" si="15"/>
        <v>1</v>
      </c>
    </row>
    <row r="26" spans="1:37" x14ac:dyDescent="0.2">
      <c r="A26" s="62" t="s">
        <v>49</v>
      </c>
      <c r="B26" s="62" t="s">
        <v>70</v>
      </c>
      <c r="C26" s="62" t="s">
        <v>200</v>
      </c>
      <c r="D26" s="62"/>
      <c r="E26" s="62">
        <f t="shared" si="2"/>
        <v>15</v>
      </c>
      <c r="F26" s="128">
        <v>43</v>
      </c>
      <c r="G26" s="129">
        <v>154.27748746743424</v>
      </c>
      <c r="H26" s="129">
        <v>109.24669813903461</v>
      </c>
      <c r="I26" s="129">
        <v>210.82123703344791</v>
      </c>
      <c r="J26" s="129"/>
      <c r="K26" s="129"/>
      <c r="L26" s="129"/>
      <c r="M26" s="60">
        <f t="shared" si="0"/>
        <v>5</v>
      </c>
      <c r="N26" s="61">
        <f t="shared" si="3"/>
        <v>20.460780963236843</v>
      </c>
      <c r="O26" s="61">
        <f t="shared" si="16"/>
        <v>122.09624583832638</v>
      </c>
      <c r="P26" s="129">
        <f t="shared" si="4"/>
        <v>190.10606641164873</v>
      </c>
      <c r="Q26" s="129">
        <f t="shared" si="5"/>
        <v>180.82429826466208</v>
      </c>
      <c r="R26" s="129">
        <f t="shared" si="6"/>
        <v>199.72799438444503</v>
      </c>
      <c r="S26" s="61">
        <f t="shared" si="7"/>
        <v>211.06475128261931</v>
      </c>
      <c r="T26" s="61">
        <f t="shared" si="1"/>
        <v>304.38187960556934</v>
      </c>
      <c r="U26" s="61">
        <f t="shared" si="17"/>
        <v>183.15120565728034</v>
      </c>
      <c r="V26" s="61"/>
      <c r="Y26" s="163" t="s">
        <v>39</v>
      </c>
      <c r="Z26" s="163" t="s">
        <v>158</v>
      </c>
      <c r="AA26" s="163" t="s">
        <v>200</v>
      </c>
      <c r="AB26" s="163">
        <f t="shared" si="22"/>
        <v>3</v>
      </c>
      <c r="AC26" s="166">
        <f t="shared" si="23"/>
        <v>92.727443782532447</v>
      </c>
      <c r="AD26" s="166">
        <f t="shared" si="24"/>
        <v>276.54389442143446</v>
      </c>
      <c r="AE26" s="163"/>
      <c r="AF26" s="163">
        <f t="shared" si="10"/>
        <v>9</v>
      </c>
      <c r="AG26" s="168">
        <f t="shared" si="11"/>
        <v>52</v>
      </c>
      <c r="AH26" s="166">
        <f t="shared" si="12"/>
        <v>128.00151535581202</v>
      </c>
      <c r="AI26" s="166">
        <f t="shared" si="13"/>
        <v>95.1062214872792</v>
      </c>
      <c r="AJ26" s="166">
        <f t="shared" si="14"/>
        <v>168.45625255177393</v>
      </c>
      <c r="AK26" s="168">
        <f t="shared" si="15"/>
        <v>2</v>
      </c>
    </row>
    <row r="27" spans="1:37" x14ac:dyDescent="0.2">
      <c r="A27" s="62" t="s">
        <v>50</v>
      </c>
      <c r="B27" s="62" t="s">
        <v>161</v>
      </c>
      <c r="C27" s="62" t="s">
        <v>163</v>
      </c>
      <c r="D27" s="62"/>
      <c r="E27" s="62">
        <f t="shared" si="2"/>
        <v>10</v>
      </c>
      <c r="F27" s="128">
        <v>23</v>
      </c>
      <c r="G27" s="129">
        <v>133.41608007885563</v>
      </c>
      <c r="H27" s="129">
        <v>84.10676118981786</v>
      </c>
      <c r="I27" s="129">
        <v>200.80050874561906</v>
      </c>
      <c r="J27" s="129"/>
      <c r="K27" s="129"/>
      <c r="L27" s="129"/>
      <c r="M27" s="60">
        <f t="shared" si="0"/>
        <v>5</v>
      </c>
      <c r="N27" s="61">
        <f t="shared" si="3"/>
        <v>20.460780963236843</v>
      </c>
      <c r="O27" s="61">
        <f t="shared" si="16"/>
        <v>122.09624583832638</v>
      </c>
      <c r="P27" s="129">
        <f t="shared" si="4"/>
        <v>190.10606641164873</v>
      </c>
      <c r="Q27" s="129">
        <f t="shared" si="5"/>
        <v>180.82429826466208</v>
      </c>
      <c r="R27" s="129">
        <f t="shared" si="6"/>
        <v>199.72799438444503</v>
      </c>
      <c r="S27" s="61">
        <f t="shared" si="7"/>
        <v>211.06475128261931</v>
      </c>
      <c r="T27" s="61">
        <f t="shared" si="1"/>
        <v>304.38187960556934</v>
      </c>
      <c r="U27" s="61">
        <f t="shared" si="17"/>
        <v>147.50493055819391</v>
      </c>
      <c r="V27" s="61"/>
      <c r="Y27" s="163" t="s">
        <v>40</v>
      </c>
      <c r="Z27" s="163" t="s">
        <v>63</v>
      </c>
      <c r="AA27" s="163" t="s">
        <v>200</v>
      </c>
      <c r="AB27" s="163">
        <f t="shared" si="22"/>
        <v>8</v>
      </c>
      <c r="AC27" s="166">
        <f t="shared" si="23"/>
        <v>92.727443782532447</v>
      </c>
      <c r="AD27" s="166">
        <f t="shared" si="24"/>
        <v>276.54389442143446</v>
      </c>
      <c r="AE27" s="163"/>
      <c r="AF27" s="163">
        <f t="shared" si="10"/>
        <v>22</v>
      </c>
      <c r="AG27" s="168">
        <f t="shared" si="11"/>
        <v>59</v>
      </c>
      <c r="AH27" s="166">
        <f t="shared" si="12"/>
        <v>251.22677305213006</v>
      </c>
      <c r="AI27" s="166">
        <f t="shared" si="13"/>
        <v>190.22115719874634</v>
      </c>
      <c r="AJ27" s="166">
        <f t="shared" si="14"/>
        <v>325.30025991949884</v>
      </c>
      <c r="AK27" s="168">
        <f t="shared" si="15"/>
        <v>5</v>
      </c>
    </row>
    <row r="28" spans="1:37" x14ac:dyDescent="0.2">
      <c r="A28" s="62" t="s">
        <v>51</v>
      </c>
      <c r="B28" s="62" t="s">
        <v>71</v>
      </c>
      <c r="C28" s="62" t="s">
        <v>200</v>
      </c>
      <c r="D28" s="62"/>
      <c r="E28" s="62">
        <f t="shared" si="2"/>
        <v>17</v>
      </c>
      <c r="F28" s="128">
        <v>27</v>
      </c>
      <c r="G28" s="129">
        <v>176.84221437610296</v>
      </c>
      <c r="H28" s="129">
        <v>116.21229222842172</v>
      </c>
      <c r="I28" s="129">
        <v>257.70658337111979</v>
      </c>
      <c r="J28" s="129"/>
      <c r="K28" s="129"/>
      <c r="L28" s="129"/>
      <c r="M28" s="60">
        <f t="shared" si="0"/>
        <v>5</v>
      </c>
      <c r="N28" s="61">
        <f t="shared" si="3"/>
        <v>20.460780963236843</v>
      </c>
      <c r="O28" s="61">
        <f t="shared" si="16"/>
        <v>122.09624583832638</v>
      </c>
      <c r="P28" s="129">
        <f t="shared" si="4"/>
        <v>190.10606641164873</v>
      </c>
      <c r="Q28" s="129">
        <f t="shared" si="5"/>
        <v>180.82429826466208</v>
      </c>
      <c r="R28" s="129">
        <f t="shared" si="6"/>
        <v>199.72799438444503</v>
      </c>
      <c r="S28" s="61">
        <f t="shared" si="7"/>
        <v>211.06475128261931</v>
      </c>
      <c r="T28" s="61">
        <f t="shared" si="1"/>
        <v>304.38187960556934</v>
      </c>
      <c r="U28" s="61">
        <f t="shared" si="17"/>
        <v>183.15120565728034</v>
      </c>
      <c r="V28" s="61"/>
      <c r="Y28" s="163" t="s">
        <v>42</v>
      </c>
      <c r="Z28" s="163" t="s">
        <v>65</v>
      </c>
      <c r="AA28" s="163" t="s">
        <v>200</v>
      </c>
      <c r="AB28" s="163">
        <f t="shared" si="22"/>
        <v>7</v>
      </c>
      <c r="AC28" s="166">
        <f t="shared" si="23"/>
        <v>92.727443782532447</v>
      </c>
      <c r="AD28" s="166">
        <f t="shared" si="24"/>
        <v>276.54389442143446</v>
      </c>
      <c r="AE28" s="163"/>
      <c r="AF28" s="163">
        <f t="shared" si="10"/>
        <v>21</v>
      </c>
      <c r="AG28" s="168">
        <f t="shared" si="11"/>
        <v>38</v>
      </c>
      <c r="AH28" s="166">
        <f t="shared" si="12"/>
        <v>211.72782482695158</v>
      </c>
      <c r="AI28" s="166">
        <f t="shared" si="13"/>
        <v>146.7309348896907</v>
      </c>
      <c r="AJ28" s="166">
        <f t="shared" si="14"/>
        <v>294.54745045903223</v>
      </c>
      <c r="AK28" s="168">
        <f t="shared" si="15"/>
        <v>5</v>
      </c>
    </row>
    <row r="29" spans="1:37" x14ac:dyDescent="0.2">
      <c r="A29" s="62" t="s">
        <v>52</v>
      </c>
      <c r="B29" s="62" t="s">
        <v>72</v>
      </c>
      <c r="C29" s="62" t="s">
        <v>201</v>
      </c>
      <c r="D29" s="62"/>
      <c r="E29" s="62">
        <f t="shared" si="2"/>
        <v>6</v>
      </c>
      <c r="F29" s="128">
        <v>9</v>
      </c>
      <c r="G29" s="129">
        <v>94.003698821338702</v>
      </c>
      <c r="H29" s="129">
        <v>28.220217274471182</v>
      </c>
      <c r="I29" s="129">
        <v>202.70966778522811</v>
      </c>
      <c r="J29" s="129"/>
      <c r="K29" s="129"/>
      <c r="L29" s="129"/>
      <c r="M29" s="60">
        <f t="shared" si="0"/>
        <v>5</v>
      </c>
      <c r="N29" s="61">
        <f t="shared" si="3"/>
        <v>20.460780963236843</v>
      </c>
      <c r="O29" s="61">
        <f t="shared" si="16"/>
        <v>122.09624583832638</v>
      </c>
      <c r="P29" s="129">
        <f t="shared" si="4"/>
        <v>190.10606641164873</v>
      </c>
      <c r="Q29" s="129">
        <f t="shared" si="5"/>
        <v>180.82429826466208</v>
      </c>
      <c r="R29" s="129">
        <f t="shared" si="6"/>
        <v>199.72799438444503</v>
      </c>
      <c r="S29" s="61">
        <f t="shared" si="7"/>
        <v>211.06475128261931</v>
      </c>
      <c r="T29" s="61">
        <f t="shared" si="1"/>
        <v>304.38187960556934</v>
      </c>
      <c r="U29" s="61">
        <f t="shared" si="17"/>
        <v>262.27155741279864</v>
      </c>
      <c r="V29" s="61"/>
      <c r="Y29" s="163" t="s">
        <v>44</v>
      </c>
      <c r="Z29" s="163" t="s">
        <v>66</v>
      </c>
      <c r="AA29" s="163" t="s">
        <v>200</v>
      </c>
      <c r="AB29" s="163">
        <f t="shared" si="22"/>
        <v>1</v>
      </c>
      <c r="AC29" s="166">
        <f t="shared" si="23"/>
        <v>92.727443782532447</v>
      </c>
      <c r="AD29" s="166">
        <f t="shared" si="24"/>
        <v>276.54389442143446</v>
      </c>
      <c r="AE29" s="163"/>
      <c r="AF29" s="163">
        <f t="shared" si="10"/>
        <v>5</v>
      </c>
      <c r="AG29" s="168">
        <f t="shared" si="11"/>
        <v>12</v>
      </c>
      <c r="AH29" s="166">
        <f t="shared" si="12"/>
        <v>92.727443782532447</v>
      </c>
      <c r="AI29" s="166">
        <f t="shared" si="13"/>
        <v>46.617202454924843</v>
      </c>
      <c r="AJ29" s="166">
        <f t="shared" si="14"/>
        <v>163.90289343773492</v>
      </c>
      <c r="AK29" s="168">
        <f t="shared" si="15"/>
        <v>2</v>
      </c>
    </row>
    <row r="30" spans="1:37" x14ac:dyDescent="0.2">
      <c r="A30" s="62" t="s">
        <v>53</v>
      </c>
      <c r="B30" s="62" t="s">
        <v>162</v>
      </c>
      <c r="C30" s="62" t="s">
        <v>163</v>
      </c>
      <c r="D30" s="62"/>
      <c r="E30" s="62">
        <f t="shared" si="2"/>
        <v>12</v>
      </c>
      <c r="F30" s="128">
        <v>116</v>
      </c>
      <c r="G30" s="129">
        <v>139.70014780871651</v>
      </c>
      <c r="H30" s="129">
        <v>115.1258189878952</v>
      </c>
      <c r="I30" s="129">
        <v>167.91312339685607</v>
      </c>
      <c r="J30" s="129"/>
      <c r="K30" s="129"/>
      <c r="L30" s="129"/>
      <c r="M30" s="60">
        <f t="shared" si="0"/>
        <v>2</v>
      </c>
      <c r="N30" s="61">
        <f t="shared" si="3"/>
        <v>20.460780963236843</v>
      </c>
      <c r="O30" s="61">
        <f t="shared" si="16"/>
        <v>122.09624583832638</v>
      </c>
      <c r="P30" s="129">
        <f>$G$32</f>
        <v>190.10606641164873</v>
      </c>
      <c r="Q30" s="129">
        <f t="shared" si="5"/>
        <v>180.82429826466208</v>
      </c>
      <c r="R30" s="129">
        <f t="shared" si="6"/>
        <v>199.72799438444503</v>
      </c>
      <c r="S30" s="61">
        <f t="shared" si="7"/>
        <v>211.06475128261931</v>
      </c>
      <c r="T30" s="61">
        <f t="shared" si="1"/>
        <v>304.38187960556934</v>
      </c>
      <c r="U30" s="61">
        <f t="shared" si="17"/>
        <v>147.50493055819391</v>
      </c>
      <c r="V30" s="61"/>
      <c r="Y30" s="163" t="s">
        <v>49</v>
      </c>
      <c r="Z30" s="163" t="s">
        <v>70</v>
      </c>
      <c r="AA30" s="163" t="s">
        <v>200</v>
      </c>
      <c r="AB30" s="163">
        <f t="shared" si="22"/>
        <v>4</v>
      </c>
      <c r="AC30" s="166">
        <f t="shared" si="23"/>
        <v>92.727443782532447</v>
      </c>
      <c r="AD30" s="166">
        <f t="shared" si="24"/>
        <v>276.54389442143446</v>
      </c>
      <c r="AE30" s="163"/>
      <c r="AF30" s="163">
        <f t="shared" si="10"/>
        <v>15</v>
      </c>
      <c r="AG30" s="168">
        <f t="shared" si="11"/>
        <v>43</v>
      </c>
      <c r="AH30" s="166">
        <f t="shared" si="12"/>
        <v>154.27748746743424</v>
      </c>
      <c r="AI30" s="166">
        <f t="shared" si="13"/>
        <v>109.24669813903461</v>
      </c>
      <c r="AJ30" s="166">
        <f t="shared" si="14"/>
        <v>210.82123703344791</v>
      </c>
      <c r="AK30" s="168">
        <f t="shared" si="15"/>
        <v>5</v>
      </c>
    </row>
    <row r="31" spans="1:37" x14ac:dyDescent="0.2">
      <c r="A31" s="62" t="s">
        <v>54</v>
      </c>
      <c r="B31" s="62" t="s">
        <v>73</v>
      </c>
      <c r="C31" s="62" t="s">
        <v>201</v>
      </c>
      <c r="D31" s="62"/>
      <c r="E31" s="62">
        <f t="shared" si="2"/>
        <v>2</v>
      </c>
      <c r="F31" s="128">
        <v>7</v>
      </c>
      <c r="G31" s="129">
        <v>42.907563592807904</v>
      </c>
      <c r="H31" s="129">
        <v>7.4761649859563688</v>
      </c>
      <c r="I31" s="129">
        <v>105.59668990252858</v>
      </c>
      <c r="J31" s="129"/>
      <c r="K31" s="129"/>
      <c r="L31" s="129"/>
      <c r="M31" s="60">
        <f t="shared" si="0"/>
        <v>2</v>
      </c>
      <c r="N31" s="61">
        <f t="shared" si="3"/>
        <v>20.460780963236843</v>
      </c>
      <c r="O31" s="61">
        <f t="shared" si="16"/>
        <v>122.09624583832638</v>
      </c>
      <c r="P31" s="129">
        <f t="shared" si="4"/>
        <v>190.10606641164873</v>
      </c>
      <c r="Q31" s="129">
        <f t="shared" si="5"/>
        <v>180.82429826466208</v>
      </c>
      <c r="R31" s="129">
        <f t="shared" si="6"/>
        <v>199.72799438444503</v>
      </c>
      <c r="S31" s="61">
        <f t="shared" si="7"/>
        <v>211.06475128261931</v>
      </c>
      <c r="T31" s="61">
        <f t="shared" si="1"/>
        <v>304.38187960556934</v>
      </c>
      <c r="U31" s="61">
        <f t="shared" si="17"/>
        <v>262.27155741279864</v>
      </c>
      <c r="V31" s="61"/>
      <c r="Y31" s="163" t="s">
        <v>51</v>
      </c>
      <c r="Z31" s="163" t="s">
        <v>71</v>
      </c>
      <c r="AA31" s="163" t="s">
        <v>200</v>
      </c>
      <c r="AB31" s="163">
        <f t="shared" si="22"/>
        <v>5</v>
      </c>
      <c r="AC31" s="166">
        <f t="shared" si="23"/>
        <v>92.727443782532447</v>
      </c>
      <c r="AD31" s="166">
        <f t="shared" si="24"/>
        <v>276.54389442143446</v>
      </c>
      <c r="AE31" s="163"/>
      <c r="AF31" s="163">
        <f t="shared" si="10"/>
        <v>17</v>
      </c>
      <c r="AG31" s="168">
        <f t="shared" si="11"/>
        <v>27</v>
      </c>
      <c r="AH31" s="166">
        <f t="shared" si="12"/>
        <v>176.84221437610296</v>
      </c>
      <c r="AI31" s="166">
        <f t="shared" si="13"/>
        <v>116.21229222842172</v>
      </c>
      <c r="AJ31" s="166">
        <f t="shared" si="14"/>
        <v>257.70658337111979</v>
      </c>
      <c r="AK31" s="168">
        <f t="shared" si="15"/>
        <v>5</v>
      </c>
    </row>
    <row r="32" spans="1:37" x14ac:dyDescent="0.2">
      <c r="A32" s="62"/>
      <c r="B32" s="62" t="s">
        <v>171</v>
      </c>
      <c r="C32" s="62"/>
      <c r="D32" s="62"/>
      <c r="E32" s="62"/>
      <c r="F32" s="128">
        <v>1690</v>
      </c>
      <c r="G32" s="129">
        <v>190.10606641164873</v>
      </c>
      <c r="H32" s="129">
        <v>180.82429826466208</v>
      </c>
      <c r="I32" s="129">
        <v>199.72799438444503</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344">
        <v>433</v>
      </c>
      <c r="G44" s="344">
        <v>147.50493055819391</v>
      </c>
      <c r="H44" s="344">
        <v>133.85737988108212</v>
      </c>
      <c r="I44" s="344">
        <v>162.16017062079044</v>
      </c>
      <c r="J44" s="344">
        <f>VLOOKUP($C44,$AA$6:$AD$13,3,FALSE)</f>
        <v>86.044809111084533</v>
      </c>
      <c r="K44" s="344">
        <f>VLOOKUP($C44,$AA$6:$AD$13,4,FALSE)</f>
        <v>211.06475128261931</v>
      </c>
      <c r="L44" s="344"/>
      <c r="M44" s="60">
        <f>IF($C$2="Significance not measured",6,IF(AND($C$2="Better / Worse",$K$2="Low = Worst",I44&lt;Q44),1,IF(AND($C$2="Better / Worse",$K$2="Low = Worst",H44&gt;R44),2,IF(AND($C$2="Better / Worse",$K$2="High = Worst",I44&lt;Q44),2,IF(AND($C$2="Better / Worse",$K$2="High = Worst",H44&gt;R44),1,IF(AND($C$2="Higher / Lower",I44&lt;Q44),3,IF(AND($C$2="Higher / Lower",H44&gt;R44),4,5)))))))</f>
        <v>2</v>
      </c>
      <c r="N44" s="60">
        <f>MIN($G$6:$G$31)</f>
        <v>20.460780963236843</v>
      </c>
      <c r="O44" s="60">
        <f>VLOOKUP(7,$E$5:$G$39,3,FALSE)</f>
        <v>122.09624583832638</v>
      </c>
      <c r="P44" s="344">
        <f>$G$32</f>
        <v>190.10606641164873</v>
      </c>
      <c r="Q44" s="344">
        <f>$H$32</f>
        <v>180.82429826466208</v>
      </c>
      <c r="R44" s="344">
        <f>$I$32</f>
        <v>199.72799438444503</v>
      </c>
      <c r="S44" s="60">
        <f>VLOOKUP(20,$E$5:$G$39,3,FALSE)</f>
        <v>211.06475128261931</v>
      </c>
      <c r="T44" s="60">
        <f>MAX($G$6:$G$31)</f>
        <v>304.38187960556934</v>
      </c>
    </row>
    <row r="45" spans="1:22" x14ac:dyDescent="0.2">
      <c r="C45" s="62" t="s">
        <v>201</v>
      </c>
      <c r="D45" s="62"/>
      <c r="E45" s="62"/>
      <c r="F45" s="344">
        <v>788</v>
      </c>
      <c r="G45" s="344">
        <v>262.27155741279864</v>
      </c>
      <c r="H45" s="344">
        <v>242.11569150760243</v>
      </c>
      <c r="I45" s="344">
        <v>283.51933188414682</v>
      </c>
      <c r="J45" s="344">
        <f>VLOOKUP($C45,$AA$14:$AD$22,3,FALSE)</f>
        <v>20.460780963236843</v>
      </c>
      <c r="K45" s="344">
        <f>VLOOKUP($C45,$AA$14:$AD$22,4,FALSE)</f>
        <v>304.38187960556934</v>
      </c>
      <c r="L45" s="344"/>
      <c r="M45" s="60">
        <f>IF($C$2="Significance not measured",6,IF(AND($C$2="Better / Worse",$K$2="Low = Worst",I45&lt;Q45),1,IF(AND($C$2="Better / Worse",$K$2="Low = Worst",H45&gt;R45),2,IF(AND($C$2="Better / Worse",$K$2="High = Worst",I45&lt;Q45),2,IF(AND($C$2="Better / Worse",$K$2="High = Worst",H45&gt;R45),1,IF(AND($C$2="Higher / Lower",I45&lt;Q45),3,IF(AND($C$2="Higher / Lower",H45&gt;R45),4,5)))))))</f>
        <v>1</v>
      </c>
      <c r="N45" s="60">
        <f>MIN($G$6:$G$31)</f>
        <v>20.460780963236843</v>
      </c>
      <c r="O45" s="60">
        <f>VLOOKUP(7,$E$5:$G$39,3,FALSE)</f>
        <v>122.09624583832638</v>
      </c>
      <c r="P45" s="344">
        <f>$G$32</f>
        <v>190.10606641164873</v>
      </c>
      <c r="Q45" s="344">
        <f t="shared" ref="Q45:Q46" si="25">$H$32</f>
        <v>180.82429826466208</v>
      </c>
      <c r="R45" s="344">
        <f t="shared" ref="R45:R46" si="26">$I$32</f>
        <v>199.72799438444503</v>
      </c>
      <c r="S45" s="60">
        <f>VLOOKUP(20,$E$5:$G$39,3,FALSE)</f>
        <v>211.06475128261931</v>
      </c>
      <c r="T45" s="60">
        <f t="shared" ref="T45:T46" si="27">MAX($G$6:$G$31)</f>
        <v>304.38187960556934</v>
      </c>
    </row>
    <row r="46" spans="1:22" x14ac:dyDescent="0.2">
      <c r="C46" s="62" t="s">
        <v>200</v>
      </c>
      <c r="D46" s="62"/>
      <c r="E46" s="62"/>
      <c r="F46" s="344">
        <v>469</v>
      </c>
      <c r="G46" s="344">
        <v>183.15120565728034</v>
      </c>
      <c r="H46" s="344">
        <v>166.75729414371582</v>
      </c>
      <c r="I46" s="344">
        <v>200.7063932371521</v>
      </c>
      <c r="J46" s="344">
        <f>VLOOKUP($C46,$AA$23:$AD$31,3,FALSE)</f>
        <v>92.727443782532447</v>
      </c>
      <c r="K46" s="344">
        <f>VLOOKUP($C46,$AA$23:$AD$31,4,FALSE)</f>
        <v>276.54389442143446</v>
      </c>
      <c r="L46" s="344"/>
      <c r="M46" s="60">
        <f>IF($C$2="Significance not measured",6,IF(AND($C$2="Better / Worse",$K$2="Low = Worst",I46&lt;Q46),1,IF(AND($C$2="Better / Worse",$K$2="Low = Worst",H46&gt;R46),2,IF(AND($C$2="Better / Worse",$K$2="High = Worst",I46&lt;Q46),2,IF(AND($C$2="Better / Worse",$K$2="High = Worst",H46&gt;R46),1,IF(AND($C$2="Higher / Lower",I46&lt;Q46),3,IF(AND($C$2="Higher / Lower",H46&gt;R46),4,5)))))))</f>
        <v>5</v>
      </c>
      <c r="N46" s="60">
        <f>MIN($G$6:$G$31)</f>
        <v>20.460780963236843</v>
      </c>
      <c r="O46" s="60">
        <f>VLOOKUP(7,$E$5:$G$39,3,FALSE)</f>
        <v>122.09624583832638</v>
      </c>
      <c r="P46" s="344">
        <f t="shared" ref="P46" si="28">$G$32</f>
        <v>190.10606641164873</v>
      </c>
      <c r="Q46" s="344">
        <f t="shared" si="25"/>
        <v>180.82429826466208</v>
      </c>
      <c r="R46" s="344">
        <f t="shared" si="26"/>
        <v>199.72799438444503</v>
      </c>
      <c r="S46" s="60">
        <f>VLOOKUP(20,$E$5:$G$39,3,FALSE)</f>
        <v>211.06475128261931</v>
      </c>
      <c r="T46" s="60">
        <f t="shared" si="27"/>
        <v>304.38187960556934</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C2:D2" xr:uid="{00000000-0002-0000-2B00-000000000000}">
      <formula1>"Better / Worse,Higher / Lower,Significance not measured"</formula1>
    </dataValidation>
    <dataValidation type="list" allowBlank="1" showInputMessage="1" showErrorMessage="1" sqref="K2:N2" xr:uid="{00000000-0002-0000-2B00-000001000000}">
      <formula1>"High = Worst,Low = Worst"</formula1>
    </dataValidation>
  </dataValidations>
  <pageMargins left="0.75" right="0.75" top="1" bottom="1" header="0.5" footer="0.5"/>
  <pageSetup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2">
    <tabColor theme="6" tint="0.39997558519241921"/>
  </sheetPr>
  <dimension ref="A1:AK55"/>
  <sheetViews>
    <sheetView workbookViewId="0">
      <selection activeCell="G28" sqref="G28:M28"/>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8.33203125" style="21" customWidth="1"/>
    <col min="6" max="6" width="6.109375" style="21" customWidth="1"/>
    <col min="7" max="7" width="5.6640625" style="21" customWidth="1"/>
    <col min="8" max="8" width="7.33203125" style="21" customWidth="1"/>
    <col min="9" max="9" width="6.886718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5.554687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277</v>
      </c>
      <c r="P5" s="69" t="s">
        <v>92</v>
      </c>
      <c r="Q5" s="69" t="s">
        <v>25</v>
      </c>
      <c r="R5" s="69" t="s">
        <v>26</v>
      </c>
      <c r="S5" s="68" t="s">
        <v>278</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9</v>
      </c>
      <c r="F6" s="128" t="s">
        <v>79</v>
      </c>
      <c r="G6" s="129">
        <v>5.7017543859649127</v>
      </c>
      <c r="H6" s="129">
        <v>7.4534091105068492E-2</v>
      </c>
      <c r="I6" s="129">
        <v>31.723167794815087</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5</v>
      </c>
      <c r="N6" s="61">
        <f>MIN($G$6:$G$32)</f>
        <v>2.176848027564807</v>
      </c>
      <c r="O6" s="61">
        <f>VLOOKUP(6,$E$5:$G$39,3,FALSE)</f>
        <v>5.2631578947368425</v>
      </c>
      <c r="P6" s="129">
        <f>$G$32</f>
        <v>10.144808778604332</v>
      </c>
      <c r="Q6" s="129">
        <f>$H$32</f>
        <v>7.9354294487533332</v>
      </c>
      <c r="R6" s="129">
        <f>$I$32</f>
        <v>12.76286154087121</v>
      </c>
      <c r="S6" s="61">
        <f>VLOOKUP(18,$E$5:$G$39,3,FALSE)</f>
        <v>14.152708199516047</v>
      </c>
      <c r="T6" s="61">
        <f t="shared" ref="T6:T31" si="1">MAX($G$6:$G$31)</f>
        <v>23.858184065065792</v>
      </c>
      <c r="U6" s="61">
        <f>VLOOKUP(C6,$C$43:$I$46,5,FALSE)</f>
        <v>6.6346350673108638</v>
      </c>
      <c r="V6" s="61"/>
      <c r="Y6" s="159" t="s">
        <v>33</v>
      </c>
      <c r="Z6" s="159" t="s">
        <v>58</v>
      </c>
      <c r="AA6" s="159" t="s">
        <v>163</v>
      </c>
      <c r="AB6" s="159">
        <f>RANK(AH6,$AH$6:$AH$13,1)</f>
        <v>6</v>
      </c>
      <c r="AC6" s="164">
        <f>MIN($AH$6:$AH$13)</f>
        <v>3.8064165307232192</v>
      </c>
      <c r="AD6" s="164">
        <f>MAX($AH$6:$AH$13)</f>
        <v>14.152708199516047</v>
      </c>
      <c r="AE6" s="159"/>
      <c r="AF6" s="159">
        <f>VLOOKUP($Y6,$A$6:$I$31,5,FALSE)</f>
        <v>17</v>
      </c>
      <c r="AG6" s="160" t="str">
        <f>VLOOKUP($Y6,$A$6:$I$31,6,FALSE)</f>
        <v>N/A</v>
      </c>
      <c r="AH6" s="161">
        <f>VLOOKUP($Y6,$A$6:$I$31,7,FALSE)</f>
        <v>13.217776746061945</v>
      </c>
      <c r="AI6" s="161">
        <f>VLOOKUP($Y6,$A$6:$I$31,8,FALSE)</f>
        <v>3.5088853564076978</v>
      </c>
      <c r="AJ6" s="161">
        <f>VLOOKUP($Y6,$A$6:$I$31,9,FALSE)</f>
        <v>33.940727305105916</v>
      </c>
      <c r="AK6" s="160">
        <f>VLOOKUP($Y6,$A$6:$M$31,13,FALSE)</f>
        <v>5</v>
      </c>
    </row>
    <row r="7" spans="1:37" x14ac:dyDescent="0.2">
      <c r="A7" s="62" t="s">
        <v>30</v>
      </c>
      <c r="B7" s="62" t="s">
        <v>56</v>
      </c>
      <c r="C7" s="62" t="s">
        <v>200</v>
      </c>
      <c r="D7" s="62"/>
      <c r="E7" s="62">
        <f t="shared" ref="E7:E31" si="2">RANK(G7,$G$6:$G$31,1)</f>
        <v>8</v>
      </c>
      <c r="F7" s="128" t="s">
        <v>79</v>
      </c>
      <c r="G7" s="129">
        <v>5.4959686424595553</v>
      </c>
      <c r="H7" s="129">
        <v>0.61601620057544693</v>
      </c>
      <c r="I7" s="129">
        <v>19.846511746017995</v>
      </c>
      <c r="J7" s="129"/>
      <c r="K7" s="129"/>
      <c r="L7" s="129"/>
      <c r="M7" s="60">
        <f t="shared" si="0"/>
        <v>5</v>
      </c>
      <c r="N7" s="61">
        <f t="shared" ref="N7:N31" si="3">MIN($G$6:$G$32)</f>
        <v>2.176848027564807</v>
      </c>
      <c r="O7" s="61">
        <f t="shared" ref="O7:O31" si="4">VLOOKUP(6,$E$5:$G$39,3,FALSE)</f>
        <v>5.2631578947368425</v>
      </c>
      <c r="P7" s="129">
        <f t="shared" ref="P7:P31" si="5">$G$32</f>
        <v>10.144808778604332</v>
      </c>
      <c r="Q7" s="129">
        <f t="shared" ref="Q7:Q31" si="6">$H$32</f>
        <v>7.9354294487533332</v>
      </c>
      <c r="R7" s="129">
        <f t="shared" ref="R7:R31" si="7">$I$32</f>
        <v>12.76286154087121</v>
      </c>
      <c r="S7" s="61">
        <f t="shared" ref="S7:S31" si="8">VLOOKUP(18,$E$5:$G$39,3,FALSE)</f>
        <v>14.152708199516047</v>
      </c>
      <c r="T7" s="61">
        <f t="shared" si="1"/>
        <v>23.858184065065792</v>
      </c>
      <c r="U7" s="61">
        <f>VLOOKUP(C7,$C$43:$I$46,5,FALSE)</f>
        <v>12.803279629408211</v>
      </c>
      <c r="V7" s="61"/>
      <c r="Y7" s="159" t="s">
        <v>35</v>
      </c>
      <c r="Z7" s="159" t="s">
        <v>60</v>
      </c>
      <c r="AA7" s="159" t="s">
        <v>163</v>
      </c>
      <c r="AB7" s="159">
        <f t="shared" ref="AB7:AB12" si="9">RANK(AH7,$AH$6:$AH$13,1)</f>
        <v>4</v>
      </c>
      <c r="AC7" s="164">
        <f>MIN($AH$6:$AH$13)</f>
        <v>3.8064165307232192</v>
      </c>
      <c r="AD7" s="164">
        <f t="shared" ref="AD7:AD13" si="10">MAX($AH$6:$AH$13)</f>
        <v>14.152708199516047</v>
      </c>
      <c r="AE7" s="159"/>
      <c r="AF7" s="159">
        <f t="shared" ref="AF7:AF31" si="11">VLOOKUP($Y7,$A$6:$I$31,5,FALSE)</f>
        <v>15</v>
      </c>
      <c r="AG7" s="160" t="str">
        <f t="shared" ref="AG7:AG31" si="12">VLOOKUP($Y7,$A$6:$I$31,6,FALSE)</f>
        <v>N/A</v>
      </c>
      <c r="AH7" s="161">
        <f t="shared" ref="AH7:AH31" si="13">VLOOKUP($Y7,$A$6:$I$31,7,FALSE)</f>
        <v>12.080383765074934</v>
      </c>
      <c r="AI7" s="161">
        <f t="shared" ref="AI7:AI31" si="14">VLOOKUP($Y7,$A$6:$I$31,8,FALSE)</f>
        <v>3.8689502460364746</v>
      </c>
      <c r="AJ7" s="161">
        <f t="shared" ref="AJ7:AJ31" si="15">VLOOKUP($Y7,$A$6:$I$31,9,FALSE)</f>
        <v>28.238780024193744</v>
      </c>
      <c r="AK7" s="160">
        <f t="shared" ref="AK7:AK31" si="16">VLOOKUP($Y7,$A$6:$M$31,13,FALSE)</f>
        <v>5</v>
      </c>
    </row>
    <row r="8" spans="1:37" x14ac:dyDescent="0.2">
      <c r="A8" s="62" t="s">
        <v>31</v>
      </c>
      <c r="B8" s="62" t="s">
        <v>57</v>
      </c>
      <c r="C8" s="62" t="s">
        <v>200</v>
      </c>
      <c r="D8" s="62"/>
      <c r="E8" s="62">
        <f t="shared" si="2"/>
        <v>13</v>
      </c>
      <c r="F8" s="128" t="s">
        <v>79</v>
      </c>
      <c r="G8" s="129">
        <v>11.327817524203713</v>
      </c>
      <c r="H8" s="129">
        <v>3.0446235315525652</v>
      </c>
      <c r="I8" s="129">
        <v>29.007716566394222</v>
      </c>
      <c r="J8" s="129"/>
      <c r="K8" s="129"/>
      <c r="L8" s="129"/>
      <c r="M8" s="60">
        <f t="shared" si="0"/>
        <v>5</v>
      </c>
      <c r="N8" s="61">
        <f t="shared" si="3"/>
        <v>2.176848027564807</v>
      </c>
      <c r="O8" s="61">
        <f t="shared" si="4"/>
        <v>5.2631578947368425</v>
      </c>
      <c r="P8" s="129">
        <f t="shared" si="5"/>
        <v>10.144808778604332</v>
      </c>
      <c r="Q8" s="129">
        <f t="shared" si="6"/>
        <v>7.9354294487533332</v>
      </c>
      <c r="R8" s="129">
        <f t="shared" si="7"/>
        <v>12.76286154087121</v>
      </c>
      <c r="S8" s="61">
        <f t="shared" si="8"/>
        <v>14.152708199516047</v>
      </c>
      <c r="T8" s="61">
        <f t="shared" si="1"/>
        <v>23.858184065065792</v>
      </c>
      <c r="U8" s="61">
        <f t="shared" ref="U8:U31" si="17">VLOOKUP(C8,$C$43:$I$46,5,FALSE)</f>
        <v>12.803279629408211</v>
      </c>
      <c r="V8" s="61"/>
      <c r="Y8" s="159" t="s">
        <v>41</v>
      </c>
      <c r="Z8" s="159" t="s">
        <v>64</v>
      </c>
      <c r="AA8" s="159" t="s">
        <v>163</v>
      </c>
      <c r="AB8" s="159">
        <f t="shared" si="9"/>
        <v>7</v>
      </c>
      <c r="AC8" s="164">
        <f t="shared" ref="AC8:AC13" si="18">MIN($AH$6:$AH$13)</f>
        <v>3.8064165307232192</v>
      </c>
      <c r="AD8" s="164">
        <f>MAX($AH$6:$AH$13)</f>
        <v>14.152708199516047</v>
      </c>
      <c r="AE8" s="159"/>
      <c r="AF8" s="159">
        <f t="shared" si="11"/>
        <v>18</v>
      </c>
      <c r="AG8" s="160" t="str">
        <f t="shared" si="12"/>
        <v>N/A</v>
      </c>
      <c r="AH8" s="161">
        <f t="shared" si="13"/>
        <v>14.152708199516047</v>
      </c>
      <c r="AI8" s="161">
        <f t="shared" si="14"/>
        <v>4.5362039416578943</v>
      </c>
      <c r="AJ8" s="161">
        <f t="shared" si="15"/>
        <v>33.075991943542604</v>
      </c>
      <c r="AK8" s="160">
        <f t="shared" si="16"/>
        <v>5</v>
      </c>
    </row>
    <row r="9" spans="1:37" x14ac:dyDescent="0.2">
      <c r="A9" s="62" t="s">
        <v>32</v>
      </c>
      <c r="B9" s="62" t="s">
        <v>156</v>
      </c>
      <c r="C9" s="62" t="s">
        <v>201</v>
      </c>
      <c r="D9" s="62"/>
      <c r="E9" s="62">
        <f t="shared" si="2"/>
        <v>2</v>
      </c>
      <c r="F9" s="128" t="s">
        <v>79</v>
      </c>
      <c r="G9" s="129">
        <v>2.2236340533672174</v>
      </c>
      <c r="H9" s="129">
        <v>2.9067639869927372E-2</v>
      </c>
      <c r="I9" s="129">
        <v>12.371756377803946</v>
      </c>
      <c r="J9" s="129"/>
      <c r="K9" s="129"/>
      <c r="L9" s="129"/>
      <c r="M9" s="60">
        <f t="shared" si="0"/>
        <v>5</v>
      </c>
      <c r="N9" s="61">
        <f t="shared" si="3"/>
        <v>2.176848027564807</v>
      </c>
      <c r="O9" s="61">
        <f t="shared" si="4"/>
        <v>5.2631578947368425</v>
      </c>
      <c r="P9" s="129">
        <f t="shared" si="5"/>
        <v>10.144808778604332</v>
      </c>
      <c r="Q9" s="129">
        <f t="shared" si="6"/>
        <v>7.9354294487533332</v>
      </c>
      <c r="R9" s="129">
        <f t="shared" si="7"/>
        <v>12.76286154087121</v>
      </c>
      <c r="S9" s="61">
        <f t="shared" si="8"/>
        <v>14.152708199516047</v>
      </c>
      <c r="T9" s="61">
        <f t="shared" si="1"/>
        <v>23.858184065065792</v>
      </c>
      <c r="U9" s="61">
        <f t="shared" si="17"/>
        <v>6.6346350673108638</v>
      </c>
      <c r="V9" s="61"/>
      <c r="X9" s="63"/>
      <c r="Y9" s="159" t="s">
        <v>45</v>
      </c>
      <c r="Z9" s="159" t="s">
        <v>67</v>
      </c>
      <c r="AA9" s="159" t="s">
        <v>163</v>
      </c>
      <c r="AB9" s="159">
        <f t="shared" si="9"/>
        <v>1</v>
      </c>
      <c r="AC9" s="164">
        <f t="shared" si="18"/>
        <v>3.8064165307232192</v>
      </c>
      <c r="AD9" s="164">
        <f t="shared" si="10"/>
        <v>14.152708199516047</v>
      </c>
      <c r="AE9" s="159"/>
      <c r="AF9" s="159">
        <f t="shared" si="11"/>
        <v>3</v>
      </c>
      <c r="AG9" s="160" t="str">
        <f t="shared" si="12"/>
        <v>N/A</v>
      </c>
      <c r="AH9" s="161">
        <f t="shared" si="13"/>
        <v>3.8064165307232192</v>
      </c>
      <c r="AI9" s="161">
        <f t="shared" si="14"/>
        <v>4.975798276809712E-2</v>
      </c>
      <c r="AJ9" s="161">
        <f t="shared" si="15"/>
        <v>21.177971222037421</v>
      </c>
      <c r="AK9" s="160">
        <f t="shared" si="16"/>
        <v>5</v>
      </c>
    </row>
    <row r="10" spans="1:37" x14ac:dyDescent="0.2">
      <c r="A10" s="62" t="s">
        <v>33</v>
      </c>
      <c r="B10" s="62" t="s">
        <v>58</v>
      </c>
      <c r="C10" s="62" t="s">
        <v>163</v>
      </c>
      <c r="D10" s="62"/>
      <c r="E10" s="62">
        <f t="shared" si="2"/>
        <v>17</v>
      </c>
      <c r="F10" s="128" t="s">
        <v>79</v>
      </c>
      <c r="G10" s="129">
        <v>13.217776746061945</v>
      </c>
      <c r="H10" s="129">
        <v>3.5088853564076978</v>
      </c>
      <c r="I10" s="129">
        <v>33.940727305105916</v>
      </c>
      <c r="J10" s="129"/>
      <c r="K10" s="129"/>
      <c r="L10" s="129"/>
      <c r="M10" s="60">
        <f t="shared" si="0"/>
        <v>5</v>
      </c>
      <c r="N10" s="61">
        <f t="shared" si="3"/>
        <v>2.176848027564807</v>
      </c>
      <c r="O10" s="61">
        <f t="shared" si="4"/>
        <v>5.2631578947368425</v>
      </c>
      <c r="P10" s="129">
        <f t="shared" si="5"/>
        <v>10.144808778604332</v>
      </c>
      <c r="Q10" s="129">
        <f t="shared" si="6"/>
        <v>7.9354294487533332</v>
      </c>
      <c r="R10" s="129">
        <f t="shared" si="7"/>
        <v>12.76286154087121</v>
      </c>
      <c r="S10" s="61">
        <f t="shared" si="8"/>
        <v>14.152708199516047</v>
      </c>
      <c r="T10" s="61">
        <f t="shared" si="1"/>
        <v>23.858184065065792</v>
      </c>
      <c r="U10" s="61">
        <f t="shared" si="17"/>
        <v>10.231008827837405</v>
      </c>
      <c r="V10" s="61"/>
      <c r="Y10" s="159" t="s">
        <v>46</v>
      </c>
      <c r="Z10" s="159" t="s">
        <v>68</v>
      </c>
      <c r="AA10" s="159" t="s">
        <v>163</v>
      </c>
      <c r="AB10" s="159">
        <f t="shared" si="9"/>
        <v>2</v>
      </c>
      <c r="AC10" s="164">
        <f t="shared" si="18"/>
        <v>3.8064165307232192</v>
      </c>
      <c r="AD10" s="164">
        <f t="shared" si="10"/>
        <v>14.152708199516047</v>
      </c>
      <c r="AE10" s="159"/>
      <c r="AF10" s="159">
        <f t="shared" si="11"/>
        <v>7</v>
      </c>
      <c r="AG10" s="160" t="str">
        <f t="shared" si="12"/>
        <v>N/A</v>
      </c>
      <c r="AH10" s="161">
        <f t="shared" si="13"/>
        <v>5.311621368322399</v>
      </c>
      <c r="AI10" s="161">
        <f t="shared" si="14"/>
        <v>0.58845458792921468</v>
      </c>
      <c r="AJ10" s="161">
        <f t="shared" si="15"/>
        <v>19.201102725882194</v>
      </c>
      <c r="AK10" s="160">
        <f t="shared" si="16"/>
        <v>5</v>
      </c>
    </row>
    <row r="11" spans="1:37" x14ac:dyDescent="0.2">
      <c r="A11" s="62" t="s">
        <v>34</v>
      </c>
      <c r="B11" s="62" t="s">
        <v>59</v>
      </c>
      <c r="C11" s="62" t="s">
        <v>200</v>
      </c>
      <c r="D11" s="62"/>
      <c r="E11" s="62">
        <f t="shared" si="2"/>
        <v>23</v>
      </c>
      <c r="F11" s="128" t="s">
        <v>79</v>
      </c>
      <c r="G11" s="129">
        <v>23.858184065065792</v>
      </c>
      <c r="H11" s="129">
        <v>10.642204950583492</v>
      </c>
      <c r="I11" s="129">
        <v>45.697341580965528</v>
      </c>
      <c r="J11" s="129"/>
      <c r="K11" s="129"/>
      <c r="L11" s="129"/>
      <c r="M11" s="60">
        <f t="shared" si="0"/>
        <v>5</v>
      </c>
      <c r="N11" s="61">
        <f t="shared" si="3"/>
        <v>2.176848027564807</v>
      </c>
      <c r="O11" s="61">
        <f t="shared" si="4"/>
        <v>5.2631578947368425</v>
      </c>
      <c r="P11" s="129">
        <f t="shared" si="5"/>
        <v>10.144808778604332</v>
      </c>
      <c r="Q11" s="129">
        <f t="shared" si="6"/>
        <v>7.9354294487533332</v>
      </c>
      <c r="R11" s="129">
        <f t="shared" si="7"/>
        <v>12.76286154087121</v>
      </c>
      <c r="S11" s="61">
        <f t="shared" si="8"/>
        <v>14.152708199516047</v>
      </c>
      <c r="T11" s="61">
        <f t="shared" si="1"/>
        <v>23.858184065065792</v>
      </c>
      <c r="U11" s="61">
        <f t="shared" si="17"/>
        <v>12.803279629408211</v>
      </c>
      <c r="V11" s="61"/>
      <c r="Y11" s="159" t="s">
        <v>47</v>
      </c>
      <c r="Z11" s="159" t="s">
        <v>69</v>
      </c>
      <c r="AA11" s="159" t="s">
        <v>163</v>
      </c>
      <c r="AB11" s="159" t="e">
        <f t="shared" si="9"/>
        <v>#VALUE!</v>
      </c>
      <c r="AC11" s="164">
        <f t="shared" si="18"/>
        <v>3.8064165307232192</v>
      </c>
      <c r="AD11" s="164">
        <f t="shared" si="10"/>
        <v>14.152708199516047</v>
      </c>
      <c r="AE11" s="159"/>
      <c r="AF11" s="159" t="e">
        <f t="shared" si="11"/>
        <v>#VALUE!</v>
      </c>
      <c r="AG11" s="160" t="str">
        <f t="shared" si="12"/>
        <v>N/A</v>
      </c>
      <c r="AH11" s="161" t="str">
        <f t="shared" si="13"/>
        <v>N/A</v>
      </c>
      <c r="AI11" s="161" t="str">
        <f t="shared" si="14"/>
        <v>N/A</v>
      </c>
      <c r="AJ11" s="161" t="str">
        <f t="shared" si="15"/>
        <v>N/A</v>
      </c>
      <c r="AK11" s="160">
        <f t="shared" si="16"/>
        <v>0</v>
      </c>
    </row>
    <row r="12" spans="1:37" x14ac:dyDescent="0.2">
      <c r="A12" s="62" t="s">
        <v>35</v>
      </c>
      <c r="B12" s="62" t="s">
        <v>60</v>
      </c>
      <c r="C12" s="62" t="s">
        <v>163</v>
      </c>
      <c r="D12" s="62"/>
      <c r="E12" s="62">
        <f t="shared" si="2"/>
        <v>15</v>
      </c>
      <c r="F12" s="128" t="s">
        <v>79</v>
      </c>
      <c r="G12" s="129">
        <v>12.080383765074934</v>
      </c>
      <c r="H12" s="129">
        <v>3.8689502460364746</v>
      </c>
      <c r="I12" s="129">
        <v>28.238780024193744</v>
      </c>
      <c r="J12" s="129"/>
      <c r="K12" s="129"/>
      <c r="L12" s="129"/>
      <c r="M12" s="60">
        <f t="shared" si="0"/>
        <v>5</v>
      </c>
      <c r="N12" s="61">
        <f t="shared" si="3"/>
        <v>2.176848027564807</v>
      </c>
      <c r="O12" s="61">
        <f t="shared" si="4"/>
        <v>5.2631578947368425</v>
      </c>
      <c r="P12" s="129">
        <f t="shared" si="5"/>
        <v>10.144808778604332</v>
      </c>
      <c r="Q12" s="129">
        <f t="shared" si="6"/>
        <v>7.9354294487533332</v>
      </c>
      <c r="R12" s="129">
        <f t="shared" si="7"/>
        <v>12.76286154087121</v>
      </c>
      <c r="S12" s="61">
        <f t="shared" si="8"/>
        <v>14.152708199516047</v>
      </c>
      <c r="T12" s="61">
        <f t="shared" si="1"/>
        <v>23.858184065065792</v>
      </c>
      <c r="U12" s="61">
        <f t="shared" si="17"/>
        <v>10.231008827837405</v>
      </c>
      <c r="V12" s="61"/>
      <c r="Y12" s="159" t="s">
        <v>50</v>
      </c>
      <c r="Z12" s="159" t="s">
        <v>161</v>
      </c>
      <c r="AA12" s="159" t="s">
        <v>163</v>
      </c>
      <c r="AB12" s="159">
        <f t="shared" si="9"/>
        <v>5</v>
      </c>
      <c r="AC12" s="164">
        <f t="shared" si="18"/>
        <v>3.8064165307232192</v>
      </c>
      <c r="AD12" s="164">
        <f t="shared" si="10"/>
        <v>14.152708199516047</v>
      </c>
      <c r="AE12" s="159"/>
      <c r="AF12" s="159">
        <f t="shared" si="11"/>
        <v>16</v>
      </c>
      <c r="AG12" s="160" t="str">
        <f t="shared" si="12"/>
        <v>N/A</v>
      </c>
      <c r="AH12" s="161">
        <f t="shared" si="13"/>
        <v>13.114418453688399</v>
      </c>
      <c r="AI12" s="161">
        <f t="shared" si="14"/>
        <v>1.4638537401262925</v>
      </c>
      <c r="AJ12" s="161">
        <f t="shared" si="15"/>
        <v>47.375393963978119</v>
      </c>
      <c r="AK12" s="160">
        <f t="shared" si="16"/>
        <v>5</v>
      </c>
    </row>
    <row r="13" spans="1:37" x14ac:dyDescent="0.2">
      <c r="A13" s="62" t="s">
        <v>36</v>
      </c>
      <c r="B13" s="62" t="s">
        <v>61</v>
      </c>
      <c r="C13" s="62" t="s">
        <v>201</v>
      </c>
      <c r="D13" s="62"/>
      <c r="E13" s="62">
        <f t="shared" si="2"/>
        <v>1</v>
      </c>
      <c r="F13" s="128" t="s">
        <v>79</v>
      </c>
      <c r="G13" s="129">
        <v>2.176848027564807</v>
      </c>
      <c r="H13" s="129">
        <v>0.26103631983042908</v>
      </c>
      <c r="I13" s="129">
        <v>6.7847855408674125</v>
      </c>
      <c r="J13" s="129"/>
      <c r="K13" s="129"/>
      <c r="L13" s="129"/>
      <c r="M13" s="60">
        <f t="shared" si="0"/>
        <v>2</v>
      </c>
      <c r="N13" s="61">
        <f t="shared" si="3"/>
        <v>2.176848027564807</v>
      </c>
      <c r="O13" s="61">
        <f t="shared" si="4"/>
        <v>5.2631578947368425</v>
      </c>
      <c r="P13" s="129">
        <f t="shared" si="5"/>
        <v>10.144808778604332</v>
      </c>
      <c r="Q13" s="129">
        <f t="shared" si="6"/>
        <v>7.9354294487533332</v>
      </c>
      <c r="R13" s="129">
        <f t="shared" si="7"/>
        <v>12.76286154087121</v>
      </c>
      <c r="S13" s="61">
        <f t="shared" si="8"/>
        <v>14.152708199516047</v>
      </c>
      <c r="T13" s="61">
        <f t="shared" si="1"/>
        <v>23.858184065065792</v>
      </c>
      <c r="U13" s="61">
        <f t="shared" si="17"/>
        <v>6.6346350673108638</v>
      </c>
      <c r="V13" s="61"/>
      <c r="Y13" s="159" t="s">
        <v>53</v>
      </c>
      <c r="Z13" s="159" t="s">
        <v>162</v>
      </c>
      <c r="AA13" s="159" t="s">
        <v>163</v>
      </c>
      <c r="AB13" s="159">
        <f>RANK(AH13,$AH$6:$AH$13,1)</f>
        <v>3</v>
      </c>
      <c r="AC13" s="164">
        <f t="shared" si="18"/>
        <v>3.8064165307232192</v>
      </c>
      <c r="AD13" s="164">
        <f t="shared" si="10"/>
        <v>14.152708199516047</v>
      </c>
      <c r="AE13" s="159"/>
      <c r="AF13" s="159">
        <f t="shared" si="11"/>
        <v>14</v>
      </c>
      <c r="AG13" s="160" t="str">
        <f t="shared" si="12"/>
        <v>N/A</v>
      </c>
      <c r="AH13" s="161">
        <f t="shared" si="13"/>
        <v>11.832967122797166</v>
      </c>
      <c r="AI13" s="161">
        <f t="shared" si="14"/>
        <v>5.6422286271004847</v>
      </c>
      <c r="AJ13" s="161">
        <f t="shared" si="15"/>
        <v>21.799168879765482</v>
      </c>
      <c r="AK13" s="160">
        <f t="shared" si="16"/>
        <v>5</v>
      </c>
    </row>
    <row r="14" spans="1:37" x14ac:dyDescent="0.2">
      <c r="A14" s="62" t="s">
        <v>37</v>
      </c>
      <c r="B14" s="62" t="s">
        <v>157</v>
      </c>
      <c r="C14" s="62" t="s">
        <v>201</v>
      </c>
      <c r="D14" s="62"/>
      <c r="E14" s="62">
        <f t="shared" si="2"/>
        <v>11</v>
      </c>
      <c r="F14" s="128" t="s">
        <v>79</v>
      </c>
      <c r="G14" s="129">
        <v>6.2261084749379112</v>
      </c>
      <c r="H14" s="129">
        <v>0.79236231400364765</v>
      </c>
      <c r="I14" s="129">
        <v>17.824060138443517</v>
      </c>
      <c r="J14" s="129"/>
      <c r="K14" s="129"/>
      <c r="L14" s="129"/>
      <c r="M14" s="60">
        <f t="shared" si="0"/>
        <v>5</v>
      </c>
      <c r="N14" s="61">
        <f t="shared" si="3"/>
        <v>2.176848027564807</v>
      </c>
      <c r="O14" s="61">
        <f t="shared" si="4"/>
        <v>5.2631578947368425</v>
      </c>
      <c r="P14" s="129">
        <f t="shared" si="5"/>
        <v>10.144808778604332</v>
      </c>
      <c r="Q14" s="129">
        <f t="shared" si="6"/>
        <v>7.9354294487533332</v>
      </c>
      <c r="R14" s="129">
        <f t="shared" si="7"/>
        <v>12.76286154087121</v>
      </c>
      <c r="S14" s="61">
        <f t="shared" si="8"/>
        <v>14.152708199516047</v>
      </c>
      <c r="T14" s="61">
        <f t="shared" si="1"/>
        <v>23.858184065065792</v>
      </c>
      <c r="U14" s="61">
        <f t="shared" si="17"/>
        <v>6.6346350673108638</v>
      </c>
      <c r="V14" s="61"/>
      <c r="Y14" s="162" t="s">
        <v>29</v>
      </c>
      <c r="Z14" s="162" t="s">
        <v>55</v>
      </c>
      <c r="AA14" s="162" t="s">
        <v>201</v>
      </c>
      <c r="AB14" s="162">
        <f>RANK(AH14,$AH$14:$AH$22,1)</f>
        <v>6</v>
      </c>
      <c r="AC14" s="165">
        <f t="shared" ref="AC14:AC22" si="19">MIN($AH$14:$AH$22)</f>
        <v>2.176848027564807</v>
      </c>
      <c r="AD14" s="165">
        <f>MAX($AH$14:$AH$22)</f>
        <v>18.786127167630056</v>
      </c>
      <c r="AE14" s="162"/>
      <c r="AF14" s="162">
        <f t="shared" si="11"/>
        <v>9</v>
      </c>
      <c r="AG14" s="167" t="str">
        <f t="shared" si="12"/>
        <v>N/A</v>
      </c>
      <c r="AH14" s="165">
        <f t="shared" si="13"/>
        <v>5.7017543859649127</v>
      </c>
      <c r="AI14" s="165">
        <f t="shared" si="14"/>
        <v>7.4534091105068492E-2</v>
      </c>
      <c r="AJ14" s="165">
        <f t="shared" si="15"/>
        <v>31.723167794815087</v>
      </c>
      <c r="AK14" s="167">
        <f t="shared" si="16"/>
        <v>5</v>
      </c>
    </row>
    <row r="15" spans="1:37" x14ac:dyDescent="0.2">
      <c r="A15" s="62" t="s">
        <v>38</v>
      </c>
      <c r="B15" s="62" t="s">
        <v>62</v>
      </c>
      <c r="C15" s="62" t="s">
        <v>201</v>
      </c>
      <c r="D15" s="62"/>
      <c r="E15" s="62">
        <f t="shared" si="2"/>
        <v>4</v>
      </c>
      <c r="F15" s="128" t="s">
        <v>79</v>
      </c>
      <c r="G15" s="129">
        <v>4.2523033309709426</v>
      </c>
      <c r="H15" s="129">
        <v>5.5586674279962014E-2</v>
      </c>
      <c r="I15" s="129">
        <v>23.658776396067729</v>
      </c>
      <c r="J15" s="129"/>
      <c r="K15" s="129"/>
      <c r="L15" s="129"/>
      <c r="M15" s="60">
        <f t="shared" si="0"/>
        <v>5</v>
      </c>
      <c r="N15" s="61">
        <f t="shared" si="3"/>
        <v>2.176848027564807</v>
      </c>
      <c r="O15" s="61">
        <f t="shared" si="4"/>
        <v>5.2631578947368425</v>
      </c>
      <c r="P15" s="129">
        <f t="shared" si="5"/>
        <v>10.144808778604332</v>
      </c>
      <c r="Q15" s="129">
        <f t="shared" si="6"/>
        <v>7.9354294487533332</v>
      </c>
      <c r="R15" s="129">
        <f t="shared" si="7"/>
        <v>12.76286154087121</v>
      </c>
      <c r="S15" s="61">
        <f t="shared" si="8"/>
        <v>14.152708199516047</v>
      </c>
      <c r="T15" s="61">
        <f t="shared" si="1"/>
        <v>23.858184065065792</v>
      </c>
      <c r="U15" s="61">
        <f t="shared" si="17"/>
        <v>6.6346350673108638</v>
      </c>
      <c r="V15" s="61"/>
      <c r="Y15" s="162" t="s">
        <v>32</v>
      </c>
      <c r="Z15" s="162" t="s">
        <v>156</v>
      </c>
      <c r="AA15" s="162" t="s">
        <v>201</v>
      </c>
      <c r="AB15" s="162">
        <f>RANK(AH15,$AH$14:$AH$22,1)</f>
        <v>2</v>
      </c>
      <c r="AC15" s="165">
        <f t="shared" si="19"/>
        <v>2.176848027564807</v>
      </c>
      <c r="AD15" s="165">
        <f t="shared" ref="AD15:AD22" si="20">MAX($AH$14:$AH$22)</f>
        <v>18.786127167630056</v>
      </c>
      <c r="AE15" s="162"/>
      <c r="AF15" s="162">
        <f t="shared" si="11"/>
        <v>2</v>
      </c>
      <c r="AG15" s="167" t="str">
        <f t="shared" si="12"/>
        <v>N/A</v>
      </c>
      <c r="AH15" s="165">
        <f t="shared" si="13"/>
        <v>2.2236340533672174</v>
      </c>
      <c r="AI15" s="165">
        <f t="shared" si="14"/>
        <v>2.9067639869927372E-2</v>
      </c>
      <c r="AJ15" s="165">
        <f t="shared" si="15"/>
        <v>12.371756377803946</v>
      </c>
      <c r="AK15" s="167">
        <f t="shared" si="16"/>
        <v>5</v>
      </c>
    </row>
    <row r="16" spans="1:37" x14ac:dyDescent="0.2">
      <c r="A16" s="62" t="s">
        <v>39</v>
      </c>
      <c r="B16" s="62" t="s">
        <v>158</v>
      </c>
      <c r="C16" s="62" t="s">
        <v>200</v>
      </c>
      <c r="D16" s="62"/>
      <c r="E16" s="62">
        <f t="shared" si="2"/>
        <v>12</v>
      </c>
      <c r="F16" s="128" t="s">
        <v>79</v>
      </c>
      <c r="G16" s="129">
        <v>11.22308618528573</v>
      </c>
      <c r="H16" s="129">
        <v>2.8744276697477846</v>
      </c>
      <c r="I16" s="129">
        <v>29.042714679244551</v>
      </c>
      <c r="J16" s="129"/>
      <c r="K16" s="129"/>
      <c r="L16" s="129"/>
      <c r="M16" s="60">
        <f t="shared" si="0"/>
        <v>5</v>
      </c>
      <c r="N16" s="61">
        <f t="shared" si="3"/>
        <v>2.176848027564807</v>
      </c>
      <c r="O16" s="61">
        <f t="shared" si="4"/>
        <v>5.2631578947368425</v>
      </c>
      <c r="P16" s="129">
        <f t="shared" si="5"/>
        <v>10.144808778604332</v>
      </c>
      <c r="Q16" s="129">
        <f t="shared" si="6"/>
        <v>7.9354294487533332</v>
      </c>
      <c r="R16" s="129">
        <f t="shared" si="7"/>
        <v>12.76286154087121</v>
      </c>
      <c r="S16" s="61">
        <f t="shared" si="8"/>
        <v>14.152708199516047</v>
      </c>
      <c r="T16" s="61">
        <f t="shared" si="1"/>
        <v>23.858184065065792</v>
      </c>
      <c r="U16" s="61">
        <f t="shared" si="17"/>
        <v>12.803279629408211</v>
      </c>
      <c r="V16" s="61"/>
      <c r="Y16" s="162" t="s">
        <v>36</v>
      </c>
      <c r="Z16" s="162" t="s">
        <v>61</v>
      </c>
      <c r="AA16" s="162" t="s">
        <v>201</v>
      </c>
      <c r="AB16" s="162">
        <f>RANK(AH16,$AH$14:$AH$22,1)</f>
        <v>1</v>
      </c>
      <c r="AC16" s="165">
        <f t="shared" si="19"/>
        <v>2.176848027564807</v>
      </c>
      <c r="AD16" s="165">
        <f t="shared" si="20"/>
        <v>18.786127167630056</v>
      </c>
      <c r="AE16" s="162"/>
      <c r="AF16" s="162">
        <f t="shared" si="11"/>
        <v>1</v>
      </c>
      <c r="AG16" s="167" t="str">
        <f t="shared" si="12"/>
        <v>N/A</v>
      </c>
      <c r="AH16" s="165">
        <f t="shared" si="13"/>
        <v>2.176848027564807</v>
      </c>
      <c r="AI16" s="165">
        <f t="shared" si="14"/>
        <v>0.26103631983042908</v>
      </c>
      <c r="AJ16" s="165">
        <f t="shared" si="15"/>
        <v>6.7847855408674125</v>
      </c>
      <c r="AK16" s="167">
        <f t="shared" si="16"/>
        <v>2</v>
      </c>
    </row>
    <row r="17" spans="1:37" x14ac:dyDescent="0.2">
      <c r="A17" s="62" t="s">
        <v>40</v>
      </c>
      <c r="B17" s="62" t="s">
        <v>63</v>
      </c>
      <c r="C17" s="62" t="s">
        <v>200</v>
      </c>
      <c r="D17" s="62"/>
      <c r="E17" s="62">
        <f t="shared" si="2"/>
        <v>21</v>
      </c>
      <c r="F17" s="128" t="s">
        <v>79</v>
      </c>
      <c r="G17" s="129">
        <v>17.828955220273194</v>
      </c>
      <c r="H17" s="129">
        <v>4.5685568304443791</v>
      </c>
      <c r="I17" s="129">
        <v>46.132349418138944</v>
      </c>
      <c r="J17" s="129"/>
      <c r="K17" s="129"/>
      <c r="L17" s="129"/>
      <c r="M17" s="60">
        <f t="shared" si="0"/>
        <v>5</v>
      </c>
      <c r="N17" s="61">
        <f t="shared" si="3"/>
        <v>2.176848027564807</v>
      </c>
      <c r="O17" s="61">
        <f t="shared" si="4"/>
        <v>5.2631578947368425</v>
      </c>
      <c r="P17" s="129">
        <f t="shared" si="5"/>
        <v>10.144808778604332</v>
      </c>
      <c r="Q17" s="129">
        <f t="shared" si="6"/>
        <v>7.9354294487533332</v>
      </c>
      <c r="R17" s="129">
        <f t="shared" si="7"/>
        <v>12.76286154087121</v>
      </c>
      <c r="S17" s="61">
        <f t="shared" si="8"/>
        <v>14.152708199516047</v>
      </c>
      <c r="T17" s="61">
        <f t="shared" si="1"/>
        <v>23.858184065065792</v>
      </c>
      <c r="U17" s="61">
        <f t="shared" si="17"/>
        <v>12.803279629408211</v>
      </c>
      <c r="V17" s="61"/>
      <c r="Y17" s="162" t="s">
        <v>37</v>
      </c>
      <c r="Z17" s="162" t="s">
        <v>157</v>
      </c>
      <c r="AA17" s="162" t="s">
        <v>201</v>
      </c>
      <c r="AB17" s="162">
        <f t="shared" ref="AB17:AB22" si="21">RANK(AH17,$AH$14:$AH$22,1)</f>
        <v>8</v>
      </c>
      <c r="AC17" s="165">
        <f t="shared" si="19"/>
        <v>2.176848027564807</v>
      </c>
      <c r="AD17" s="165">
        <f>MAX($AH$14:$AH$22)</f>
        <v>18.786127167630056</v>
      </c>
      <c r="AE17" s="162"/>
      <c r="AF17" s="162">
        <f t="shared" si="11"/>
        <v>11</v>
      </c>
      <c r="AG17" s="167" t="str">
        <f t="shared" si="12"/>
        <v>N/A</v>
      </c>
      <c r="AH17" s="165">
        <f t="shared" si="13"/>
        <v>6.2261084749379112</v>
      </c>
      <c r="AI17" s="165">
        <f t="shared" si="14"/>
        <v>0.79236231400364765</v>
      </c>
      <c r="AJ17" s="165">
        <f t="shared" si="15"/>
        <v>17.824060138443517</v>
      </c>
      <c r="AK17" s="167">
        <f t="shared" si="16"/>
        <v>5</v>
      </c>
    </row>
    <row r="18" spans="1:37" x14ac:dyDescent="0.2">
      <c r="A18" s="62" t="s">
        <v>41</v>
      </c>
      <c r="B18" s="62" t="s">
        <v>64</v>
      </c>
      <c r="C18" s="62" t="s">
        <v>163</v>
      </c>
      <c r="D18" s="62"/>
      <c r="E18" s="62">
        <f t="shared" si="2"/>
        <v>18</v>
      </c>
      <c r="F18" s="128" t="s">
        <v>79</v>
      </c>
      <c r="G18" s="129">
        <v>14.152708199516047</v>
      </c>
      <c r="H18" s="129">
        <v>4.5362039416578943</v>
      </c>
      <c r="I18" s="129">
        <v>33.075991943542604</v>
      </c>
      <c r="J18" s="129"/>
      <c r="K18" s="129"/>
      <c r="L18" s="129"/>
      <c r="M18" s="60">
        <f t="shared" si="0"/>
        <v>5</v>
      </c>
      <c r="N18" s="61">
        <f t="shared" si="3"/>
        <v>2.176848027564807</v>
      </c>
      <c r="O18" s="61">
        <f t="shared" si="4"/>
        <v>5.2631578947368425</v>
      </c>
      <c r="P18" s="129">
        <f t="shared" si="5"/>
        <v>10.144808778604332</v>
      </c>
      <c r="Q18" s="129">
        <f t="shared" si="6"/>
        <v>7.9354294487533332</v>
      </c>
      <c r="R18" s="129">
        <f t="shared" si="7"/>
        <v>12.76286154087121</v>
      </c>
      <c r="S18" s="61">
        <f t="shared" si="8"/>
        <v>14.152708199516047</v>
      </c>
      <c r="T18" s="61">
        <f t="shared" si="1"/>
        <v>23.858184065065792</v>
      </c>
      <c r="U18" s="61">
        <f t="shared" si="17"/>
        <v>10.231008827837405</v>
      </c>
      <c r="V18" s="61"/>
      <c r="Y18" s="162" t="s">
        <v>38</v>
      </c>
      <c r="Z18" s="162" t="s">
        <v>62</v>
      </c>
      <c r="AA18" s="162" t="s">
        <v>201</v>
      </c>
      <c r="AB18" s="162">
        <f t="shared" si="21"/>
        <v>3</v>
      </c>
      <c r="AC18" s="165">
        <f t="shared" si="19"/>
        <v>2.176848027564807</v>
      </c>
      <c r="AD18" s="165">
        <f t="shared" si="20"/>
        <v>18.786127167630056</v>
      </c>
      <c r="AE18" s="162"/>
      <c r="AF18" s="162">
        <f t="shared" si="11"/>
        <v>4</v>
      </c>
      <c r="AG18" s="167" t="str">
        <f t="shared" si="12"/>
        <v>N/A</v>
      </c>
      <c r="AH18" s="165">
        <f t="shared" si="13"/>
        <v>4.2523033309709426</v>
      </c>
      <c r="AI18" s="165">
        <f t="shared" si="14"/>
        <v>5.5586674279962014E-2</v>
      </c>
      <c r="AJ18" s="165">
        <f t="shared" si="15"/>
        <v>23.658776396067729</v>
      </c>
      <c r="AK18" s="167">
        <f t="shared" si="16"/>
        <v>5</v>
      </c>
    </row>
    <row r="19" spans="1:37" x14ac:dyDescent="0.2">
      <c r="A19" s="62" t="s">
        <v>42</v>
      </c>
      <c r="B19" s="62" t="s">
        <v>65</v>
      </c>
      <c r="C19" s="62" t="s">
        <v>200</v>
      </c>
      <c r="D19" s="62"/>
      <c r="E19" s="62" t="e">
        <f t="shared" si="2"/>
        <v>#VALUE!</v>
      </c>
      <c r="F19" s="128" t="s">
        <v>79</v>
      </c>
      <c r="G19" s="129" t="s">
        <v>79</v>
      </c>
      <c r="H19" s="129" t="s">
        <v>79</v>
      </c>
      <c r="I19" s="129" t="s">
        <v>79</v>
      </c>
      <c r="J19" s="129"/>
      <c r="K19" s="129"/>
      <c r="L19" s="129"/>
      <c r="M19" s="60"/>
      <c r="N19" s="61">
        <f t="shared" si="3"/>
        <v>2.176848027564807</v>
      </c>
      <c r="O19" s="61">
        <f t="shared" si="4"/>
        <v>5.2631578947368425</v>
      </c>
      <c r="P19" s="129">
        <f t="shared" si="5"/>
        <v>10.144808778604332</v>
      </c>
      <c r="Q19" s="129">
        <f t="shared" si="6"/>
        <v>7.9354294487533332</v>
      </c>
      <c r="R19" s="129">
        <f t="shared" si="7"/>
        <v>12.76286154087121</v>
      </c>
      <c r="S19" s="61">
        <f t="shared" si="8"/>
        <v>14.152708199516047</v>
      </c>
      <c r="T19" s="61">
        <f t="shared" si="1"/>
        <v>23.858184065065792</v>
      </c>
      <c r="U19" s="61">
        <f t="shared" si="17"/>
        <v>12.803279629408211</v>
      </c>
      <c r="V19" s="61"/>
      <c r="Y19" s="162" t="s">
        <v>43</v>
      </c>
      <c r="Z19" s="162" t="s">
        <v>159</v>
      </c>
      <c r="AA19" s="162" t="s">
        <v>201</v>
      </c>
      <c r="AB19" s="162">
        <f t="shared" si="21"/>
        <v>7</v>
      </c>
      <c r="AC19" s="165">
        <f t="shared" si="19"/>
        <v>2.176848027564807</v>
      </c>
      <c r="AD19" s="165">
        <f t="shared" si="20"/>
        <v>18.786127167630056</v>
      </c>
      <c r="AE19" s="162"/>
      <c r="AF19" s="162">
        <f t="shared" si="11"/>
        <v>10</v>
      </c>
      <c r="AG19" s="167" t="str">
        <f t="shared" si="12"/>
        <v>N/A</v>
      </c>
      <c r="AH19" s="165">
        <f t="shared" si="13"/>
        <v>5.8968404583223304</v>
      </c>
      <c r="AI19" s="165">
        <f t="shared" si="14"/>
        <v>0.64550622127273527</v>
      </c>
      <c r="AJ19" s="165">
        <f t="shared" si="15"/>
        <v>21.339511102644575</v>
      </c>
      <c r="AK19" s="167">
        <f t="shared" si="16"/>
        <v>5</v>
      </c>
    </row>
    <row r="20" spans="1:37" x14ac:dyDescent="0.2">
      <c r="A20" s="62" t="s">
        <v>43</v>
      </c>
      <c r="B20" s="62" t="s">
        <v>159</v>
      </c>
      <c r="C20" s="62" t="s">
        <v>201</v>
      </c>
      <c r="D20" s="62"/>
      <c r="E20" s="62">
        <f t="shared" si="2"/>
        <v>10</v>
      </c>
      <c r="F20" s="128" t="s">
        <v>79</v>
      </c>
      <c r="G20" s="129">
        <v>5.8968404583223304</v>
      </c>
      <c r="H20" s="129">
        <v>0.64550622127273527</v>
      </c>
      <c r="I20" s="129">
        <v>21.339511102644575</v>
      </c>
      <c r="J20" s="129"/>
      <c r="K20" s="129"/>
      <c r="L20" s="129"/>
      <c r="M20" s="60">
        <f t="shared" si="0"/>
        <v>5</v>
      </c>
      <c r="N20" s="61">
        <f t="shared" si="3"/>
        <v>2.176848027564807</v>
      </c>
      <c r="O20" s="61">
        <f t="shared" si="4"/>
        <v>5.2631578947368425</v>
      </c>
      <c r="P20" s="129">
        <f t="shared" si="5"/>
        <v>10.144808778604332</v>
      </c>
      <c r="Q20" s="129">
        <f t="shared" si="6"/>
        <v>7.9354294487533332</v>
      </c>
      <c r="R20" s="129">
        <f t="shared" si="7"/>
        <v>12.76286154087121</v>
      </c>
      <c r="S20" s="61">
        <f t="shared" si="8"/>
        <v>14.152708199516047</v>
      </c>
      <c r="T20" s="61">
        <f t="shared" si="1"/>
        <v>23.858184065065792</v>
      </c>
      <c r="U20" s="61">
        <f t="shared" si="17"/>
        <v>6.6346350673108638</v>
      </c>
      <c r="V20" s="61"/>
      <c r="Y20" s="162" t="s">
        <v>48</v>
      </c>
      <c r="Z20" s="162" t="s">
        <v>160</v>
      </c>
      <c r="AA20" s="162" t="s">
        <v>201</v>
      </c>
      <c r="AB20" s="162">
        <f t="shared" si="21"/>
        <v>5</v>
      </c>
      <c r="AC20" s="165">
        <f t="shared" si="19"/>
        <v>2.176848027564807</v>
      </c>
      <c r="AD20" s="165">
        <f t="shared" si="20"/>
        <v>18.786127167630056</v>
      </c>
      <c r="AE20" s="162"/>
      <c r="AF20" s="162">
        <f t="shared" si="11"/>
        <v>6</v>
      </c>
      <c r="AG20" s="167" t="str">
        <f t="shared" si="12"/>
        <v>N/A</v>
      </c>
      <c r="AH20" s="165">
        <f t="shared" si="13"/>
        <v>5.2631578947368425</v>
      </c>
      <c r="AI20" s="165">
        <f t="shared" si="14"/>
        <v>6.8800699481602626E-2</v>
      </c>
      <c r="AJ20" s="165">
        <f t="shared" si="15"/>
        <v>29.282924118290843</v>
      </c>
      <c r="AK20" s="167">
        <f t="shared" si="16"/>
        <v>5</v>
      </c>
    </row>
    <row r="21" spans="1:37" x14ac:dyDescent="0.2">
      <c r="A21" s="62" t="s">
        <v>44</v>
      </c>
      <c r="B21" s="62" t="s">
        <v>66</v>
      </c>
      <c r="C21" s="62" t="s">
        <v>200</v>
      </c>
      <c r="D21" s="62"/>
      <c r="E21" s="62">
        <f t="shared" si="2"/>
        <v>20</v>
      </c>
      <c r="F21" s="128" t="s">
        <v>79</v>
      </c>
      <c r="G21" s="129">
        <v>16.911821398281489</v>
      </c>
      <c r="H21" s="129">
        <v>1.415798358160445</v>
      </c>
      <c r="I21" s="129">
        <v>62.481188972924102</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5</v>
      </c>
      <c r="N21" s="61">
        <f t="shared" si="3"/>
        <v>2.176848027564807</v>
      </c>
      <c r="O21" s="61">
        <f t="shared" si="4"/>
        <v>5.2631578947368425</v>
      </c>
      <c r="P21" s="129">
        <f t="shared" si="5"/>
        <v>10.144808778604332</v>
      </c>
      <c r="Q21" s="129">
        <f t="shared" si="6"/>
        <v>7.9354294487533332</v>
      </c>
      <c r="R21" s="129">
        <f t="shared" si="7"/>
        <v>12.76286154087121</v>
      </c>
      <c r="S21" s="61">
        <f t="shared" si="8"/>
        <v>14.152708199516047</v>
      </c>
      <c r="T21" s="61">
        <f t="shared" si="1"/>
        <v>23.858184065065792</v>
      </c>
      <c r="U21" s="61">
        <f t="shared" si="17"/>
        <v>12.803279629408211</v>
      </c>
      <c r="V21" s="61"/>
      <c r="Y21" s="162" t="s">
        <v>52</v>
      </c>
      <c r="Z21" s="162" t="s">
        <v>72</v>
      </c>
      <c r="AA21" s="162" t="s">
        <v>201</v>
      </c>
      <c r="AB21" s="162">
        <f t="shared" si="21"/>
        <v>9</v>
      </c>
      <c r="AC21" s="165">
        <f t="shared" si="19"/>
        <v>2.176848027564807</v>
      </c>
      <c r="AD21" s="165">
        <f t="shared" si="20"/>
        <v>18.786127167630056</v>
      </c>
      <c r="AE21" s="162"/>
      <c r="AF21" s="162">
        <f t="shared" si="11"/>
        <v>22</v>
      </c>
      <c r="AG21" s="167" t="str">
        <f t="shared" si="12"/>
        <v>N/A</v>
      </c>
      <c r="AH21" s="165">
        <f t="shared" si="13"/>
        <v>18.786127167630056</v>
      </c>
      <c r="AI21" s="165">
        <f t="shared" si="14"/>
        <v>0.2455747510398201</v>
      </c>
      <c r="AJ21" s="165">
        <f t="shared" si="15"/>
        <v>104.52141990199189</v>
      </c>
      <c r="AK21" s="167">
        <f t="shared" si="16"/>
        <v>5</v>
      </c>
    </row>
    <row r="22" spans="1:37" x14ac:dyDescent="0.2">
      <c r="A22" s="62" t="s">
        <v>45</v>
      </c>
      <c r="B22" s="62" t="s">
        <v>67</v>
      </c>
      <c r="C22" s="62" t="s">
        <v>163</v>
      </c>
      <c r="D22" s="62"/>
      <c r="E22" s="62">
        <f t="shared" si="2"/>
        <v>3</v>
      </c>
      <c r="F22" s="128" t="s">
        <v>79</v>
      </c>
      <c r="G22" s="129">
        <v>3.8064165307232192</v>
      </c>
      <c r="H22" s="129">
        <v>4.975798276809712E-2</v>
      </c>
      <c r="I22" s="129">
        <v>21.177971222037421</v>
      </c>
      <c r="J22" s="129"/>
      <c r="K22" s="129"/>
      <c r="L22" s="129"/>
      <c r="M22" s="60">
        <f t="shared" si="0"/>
        <v>5</v>
      </c>
      <c r="N22" s="61">
        <f t="shared" si="3"/>
        <v>2.176848027564807</v>
      </c>
      <c r="O22" s="61">
        <f t="shared" si="4"/>
        <v>5.2631578947368425</v>
      </c>
      <c r="P22" s="129">
        <f t="shared" si="5"/>
        <v>10.144808778604332</v>
      </c>
      <c r="Q22" s="129">
        <f t="shared" si="6"/>
        <v>7.9354294487533332</v>
      </c>
      <c r="R22" s="129">
        <f t="shared" si="7"/>
        <v>12.76286154087121</v>
      </c>
      <c r="S22" s="61">
        <f t="shared" si="8"/>
        <v>14.152708199516047</v>
      </c>
      <c r="T22" s="61">
        <f t="shared" si="1"/>
        <v>23.858184065065792</v>
      </c>
      <c r="U22" s="61">
        <f>VLOOKUP(C22,$C$43:$I$46,5,FALSE)</f>
        <v>10.231008827837405</v>
      </c>
      <c r="V22" s="61"/>
      <c r="Y22" s="162" t="s">
        <v>54</v>
      </c>
      <c r="Z22" s="162" t="s">
        <v>73</v>
      </c>
      <c r="AA22" s="162" t="s">
        <v>201</v>
      </c>
      <c r="AB22" s="162">
        <f t="shared" si="21"/>
        <v>4</v>
      </c>
      <c r="AC22" s="165">
        <f t="shared" si="19"/>
        <v>2.176848027564807</v>
      </c>
      <c r="AD22" s="165">
        <f t="shared" si="20"/>
        <v>18.786127167630056</v>
      </c>
      <c r="AE22" s="162"/>
      <c r="AF22" s="162">
        <f t="shared" si="11"/>
        <v>5</v>
      </c>
      <c r="AG22" s="167" t="str">
        <f t="shared" si="12"/>
        <v>N/A</v>
      </c>
      <c r="AH22" s="165">
        <f t="shared" si="13"/>
        <v>4.6099290780141846</v>
      </c>
      <c r="AI22" s="165">
        <f t="shared" si="14"/>
        <v>6.026160557431133E-2</v>
      </c>
      <c r="AJ22" s="165">
        <f t="shared" si="15"/>
        <v>25.648518642616448</v>
      </c>
      <c r="AK22" s="167">
        <f t="shared" si="16"/>
        <v>5</v>
      </c>
    </row>
    <row r="23" spans="1:37" x14ac:dyDescent="0.2">
      <c r="A23" s="62" t="s">
        <v>46</v>
      </c>
      <c r="B23" s="62" t="s">
        <v>68</v>
      </c>
      <c r="C23" s="62" t="s">
        <v>163</v>
      </c>
      <c r="D23" s="62"/>
      <c r="E23" s="62">
        <f t="shared" si="2"/>
        <v>7</v>
      </c>
      <c r="F23" s="128" t="s">
        <v>79</v>
      </c>
      <c r="G23" s="129">
        <v>5.311621368322399</v>
      </c>
      <c r="H23" s="129">
        <v>0.58845458792921468</v>
      </c>
      <c r="I23" s="129">
        <v>19.201102725882194</v>
      </c>
      <c r="J23" s="129"/>
      <c r="K23" s="129"/>
      <c r="L23" s="129"/>
      <c r="M23" s="60">
        <f t="shared" si="0"/>
        <v>5</v>
      </c>
      <c r="N23" s="61">
        <f t="shared" si="3"/>
        <v>2.176848027564807</v>
      </c>
      <c r="O23" s="61">
        <f t="shared" si="4"/>
        <v>5.2631578947368425</v>
      </c>
      <c r="P23" s="129">
        <f t="shared" si="5"/>
        <v>10.144808778604332</v>
      </c>
      <c r="Q23" s="129">
        <f t="shared" si="6"/>
        <v>7.9354294487533332</v>
      </c>
      <c r="R23" s="129">
        <f t="shared" si="7"/>
        <v>12.76286154087121</v>
      </c>
      <c r="S23" s="61">
        <f t="shared" si="8"/>
        <v>14.152708199516047</v>
      </c>
      <c r="T23" s="61">
        <f t="shared" si="1"/>
        <v>23.858184065065792</v>
      </c>
      <c r="U23" s="61">
        <f t="shared" si="17"/>
        <v>10.231008827837405</v>
      </c>
      <c r="V23" s="61"/>
      <c r="Y23" s="163" t="s">
        <v>30</v>
      </c>
      <c r="Z23" s="163" t="s">
        <v>56</v>
      </c>
      <c r="AA23" s="163" t="s">
        <v>200</v>
      </c>
      <c r="AB23" s="163">
        <f>RANK(AH23,$AH$23:$AH$31,1)</f>
        <v>1</v>
      </c>
      <c r="AC23" s="166">
        <f>MIN($AH$23:$AH$31)</f>
        <v>5.4959686424595553</v>
      </c>
      <c r="AD23" s="166">
        <f>MAX($AH$23:$AH$31)</f>
        <v>23.858184065065792</v>
      </c>
      <c r="AE23" s="163"/>
      <c r="AF23" s="163">
        <f t="shared" si="11"/>
        <v>8</v>
      </c>
      <c r="AG23" s="168" t="str">
        <f t="shared" si="12"/>
        <v>N/A</v>
      </c>
      <c r="AH23" s="166">
        <f t="shared" si="13"/>
        <v>5.4959686424595553</v>
      </c>
      <c r="AI23" s="166">
        <f t="shared" si="14"/>
        <v>0.61601620057544693</v>
      </c>
      <c r="AJ23" s="166">
        <f t="shared" si="15"/>
        <v>19.846511746017995</v>
      </c>
      <c r="AK23" s="168">
        <f t="shared" si="16"/>
        <v>5</v>
      </c>
    </row>
    <row r="24" spans="1:37" x14ac:dyDescent="0.2">
      <c r="A24" s="62" t="s">
        <v>47</v>
      </c>
      <c r="B24" s="62" t="s">
        <v>69</v>
      </c>
      <c r="C24" s="62" t="s">
        <v>163</v>
      </c>
      <c r="D24" s="62"/>
      <c r="E24" s="62" t="e">
        <f t="shared" si="2"/>
        <v>#VALUE!</v>
      </c>
      <c r="F24" s="128" t="s">
        <v>79</v>
      </c>
      <c r="G24" s="129" t="s">
        <v>79</v>
      </c>
      <c r="H24" s="129" t="s">
        <v>79</v>
      </c>
      <c r="I24" s="129" t="s">
        <v>79</v>
      </c>
      <c r="J24" s="129"/>
      <c r="K24" s="129"/>
      <c r="L24" s="129"/>
      <c r="M24" s="60"/>
      <c r="N24" s="61">
        <f t="shared" si="3"/>
        <v>2.176848027564807</v>
      </c>
      <c r="O24" s="61">
        <f t="shared" si="4"/>
        <v>5.2631578947368425</v>
      </c>
      <c r="P24" s="129">
        <f t="shared" si="5"/>
        <v>10.144808778604332</v>
      </c>
      <c r="Q24" s="129">
        <f t="shared" si="6"/>
        <v>7.9354294487533332</v>
      </c>
      <c r="R24" s="129">
        <f t="shared" si="7"/>
        <v>12.76286154087121</v>
      </c>
      <c r="S24" s="61">
        <f t="shared" si="8"/>
        <v>14.152708199516047</v>
      </c>
      <c r="T24" s="61">
        <f t="shared" si="1"/>
        <v>23.858184065065792</v>
      </c>
      <c r="U24" s="61">
        <f t="shared" si="17"/>
        <v>10.231008827837405</v>
      </c>
      <c r="V24" s="61"/>
      <c r="Y24" s="163" t="s">
        <v>31</v>
      </c>
      <c r="Z24" s="163" t="s">
        <v>57</v>
      </c>
      <c r="AA24" s="163" t="s">
        <v>200</v>
      </c>
      <c r="AB24" s="163">
        <f t="shared" ref="AB24:AB31" si="22">RANK(AH24,$AH$23:$AH$31,1)</f>
        <v>3</v>
      </c>
      <c r="AC24" s="166">
        <f t="shared" ref="AC24:AC31" si="23">MIN($AH$23:$AH$31)</f>
        <v>5.4959686424595553</v>
      </c>
      <c r="AD24" s="166">
        <f t="shared" ref="AD24:AD31" si="24">MAX($AH$23:$AH$31)</f>
        <v>23.858184065065792</v>
      </c>
      <c r="AE24" s="163"/>
      <c r="AF24" s="163">
        <f t="shared" si="11"/>
        <v>13</v>
      </c>
      <c r="AG24" s="168" t="str">
        <f t="shared" si="12"/>
        <v>N/A</v>
      </c>
      <c r="AH24" s="166">
        <f t="shared" si="13"/>
        <v>11.327817524203713</v>
      </c>
      <c r="AI24" s="166">
        <f t="shared" si="14"/>
        <v>3.0446235315525652</v>
      </c>
      <c r="AJ24" s="166">
        <f t="shared" si="15"/>
        <v>29.007716566394222</v>
      </c>
      <c r="AK24" s="168">
        <f t="shared" si="16"/>
        <v>5</v>
      </c>
    </row>
    <row r="25" spans="1:37" x14ac:dyDescent="0.2">
      <c r="A25" s="62" t="s">
        <v>48</v>
      </c>
      <c r="B25" s="62" t="s">
        <v>160</v>
      </c>
      <c r="C25" s="62" t="s">
        <v>201</v>
      </c>
      <c r="D25" s="62"/>
      <c r="E25" s="62">
        <f t="shared" si="2"/>
        <v>6</v>
      </c>
      <c r="F25" s="128" t="s">
        <v>79</v>
      </c>
      <c r="G25" s="129">
        <v>5.2631578947368425</v>
      </c>
      <c r="H25" s="129">
        <v>6.8800699481602626E-2</v>
      </c>
      <c r="I25" s="129">
        <v>29.282924118290843</v>
      </c>
      <c r="J25" s="129"/>
      <c r="K25" s="129"/>
      <c r="L25" s="129"/>
      <c r="M25" s="60">
        <f t="shared" si="0"/>
        <v>5</v>
      </c>
      <c r="N25" s="61">
        <f t="shared" si="3"/>
        <v>2.176848027564807</v>
      </c>
      <c r="O25" s="61">
        <f t="shared" si="4"/>
        <v>5.2631578947368425</v>
      </c>
      <c r="P25" s="129">
        <f t="shared" si="5"/>
        <v>10.144808778604332</v>
      </c>
      <c r="Q25" s="129">
        <f t="shared" si="6"/>
        <v>7.9354294487533332</v>
      </c>
      <c r="R25" s="129">
        <f t="shared" si="7"/>
        <v>12.76286154087121</v>
      </c>
      <c r="S25" s="61">
        <f t="shared" si="8"/>
        <v>14.152708199516047</v>
      </c>
      <c r="T25" s="61">
        <f t="shared" si="1"/>
        <v>23.858184065065792</v>
      </c>
      <c r="U25" s="61">
        <f t="shared" si="17"/>
        <v>6.6346350673108638</v>
      </c>
      <c r="V25" s="61"/>
      <c r="Y25" s="163" t="s">
        <v>34</v>
      </c>
      <c r="Z25" s="163" t="s">
        <v>59</v>
      </c>
      <c r="AA25" s="163" t="s">
        <v>200</v>
      </c>
      <c r="AB25" s="163">
        <f t="shared" si="22"/>
        <v>7</v>
      </c>
      <c r="AC25" s="166">
        <f t="shared" si="23"/>
        <v>5.4959686424595553</v>
      </c>
      <c r="AD25" s="166">
        <f t="shared" si="24"/>
        <v>23.858184065065792</v>
      </c>
      <c r="AE25" s="163"/>
      <c r="AF25" s="163">
        <f t="shared" si="11"/>
        <v>23</v>
      </c>
      <c r="AG25" s="168" t="str">
        <f t="shared" si="12"/>
        <v>N/A</v>
      </c>
      <c r="AH25" s="166">
        <f t="shared" si="13"/>
        <v>23.858184065065792</v>
      </c>
      <c r="AI25" s="166">
        <f t="shared" si="14"/>
        <v>10.642204950583492</v>
      </c>
      <c r="AJ25" s="166">
        <f t="shared" si="15"/>
        <v>45.697341580965528</v>
      </c>
      <c r="AK25" s="168">
        <f t="shared" si="16"/>
        <v>5</v>
      </c>
    </row>
    <row r="26" spans="1:37" x14ac:dyDescent="0.2">
      <c r="A26" s="62" t="s">
        <v>49</v>
      </c>
      <c r="B26" s="62" t="s">
        <v>70</v>
      </c>
      <c r="C26" s="62" t="s">
        <v>200</v>
      </c>
      <c r="D26" s="62"/>
      <c r="E26" s="62">
        <f t="shared" si="2"/>
        <v>19</v>
      </c>
      <c r="F26" s="128" t="s">
        <v>79</v>
      </c>
      <c r="G26" s="129">
        <v>14.844620581309435</v>
      </c>
      <c r="H26" s="129">
        <v>3.6452940544312797</v>
      </c>
      <c r="I26" s="129">
        <v>38.748800842136369</v>
      </c>
      <c r="J26" s="129"/>
      <c r="K26" s="129"/>
      <c r="L26" s="129"/>
      <c r="M26" s="60">
        <f t="shared" si="0"/>
        <v>5</v>
      </c>
      <c r="N26" s="61">
        <f t="shared" si="3"/>
        <v>2.176848027564807</v>
      </c>
      <c r="O26" s="61">
        <f t="shared" si="4"/>
        <v>5.2631578947368425</v>
      </c>
      <c r="P26" s="129">
        <f t="shared" si="5"/>
        <v>10.144808778604332</v>
      </c>
      <c r="Q26" s="129">
        <f t="shared" si="6"/>
        <v>7.9354294487533332</v>
      </c>
      <c r="R26" s="129">
        <f t="shared" si="7"/>
        <v>12.76286154087121</v>
      </c>
      <c r="S26" s="61">
        <f t="shared" si="8"/>
        <v>14.152708199516047</v>
      </c>
      <c r="T26" s="61">
        <f t="shared" si="1"/>
        <v>23.858184065065792</v>
      </c>
      <c r="U26" s="61">
        <f t="shared" si="17"/>
        <v>12.803279629408211</v>
      </c>
      <c r="V26" s="61"/>
      <c r="Y26" s="163" t="s">
        <v>39</v>
      </c>
      <c r="Z26" s="163" t="s">
        <v>158</v>
      </c>
      <c r="AA26" s="163" t="s">
        <v>200</v>
      </c>
      <c r="AB26" s="163">
        <f t="shared" si="22"/>
        <v>2</v>
      </c>
      <c r="AC26" s="166">
        <f t="shared" si="23"/>
        <v>5.4959686424595553</v>
      </c>
      <c r="AD26" s="166">
        <f t="shared" si="24"/>
        <v>23.858184065065792</v>
      </c>
      <c r="AE26" s="163"/>
      <c r="AF26" s="163">
        <f t="shared" si="11"/>
        <v>12</v>
      </c>
      <c r="AG26" s="168" t="str">
        <f t="shared" si="12"/>
        <v>N/A</v>
      </c>
      <c r="AH26" s="166">
        <f t="shared" si="13"/>
        <v>11.22308618528573</v>
      </c>
      <c r="AI26" s="166">
        <f t="shared" si="14"/>
        <v>2.8744276697477846</v>
      </c>
      <c r="AJ26" s="166">
        <f t="shared" si="15"/>
        <v>29.042714679244551</v>
      </c>
      <c r="AK26" s="168">
        <f t="shared" si="16"/>
        <v>5</v>
      </c>
    </row>
    <row r="27" spans="1:37" x14ac:dyDescent="0.2">
      <c r="A27" s="62" t="s">
        <v>50</v>
      </c>
      <c r="B27" s="62" t="s">
        <v>161</v>
      </c>
      <c r="C27" s="62" t="s">
        <v>163</v>
      </c>
      <c r="D27" s="62"/>
      <c r="E27" s="62">
        <f t="shared" si="2"/>
        <v>16</v>
      </c>
      <c r="F27" s="128" t="s">
        <v>79</v>
      </c>
      <c r="G27" s="129">
        <v>13.114418453688399</v>
      </c>
      <c r="H27" s="129">
        <v>1.4638537401262925</v>
      </c>
      <c r="I27" s="129">
        <v>47.375393963978119</v>
      </c>
      <c r="J27" s="129"/>
      <c r="K27" s="129"/>
      <c r="L27" s="129"/>
      <c r="M27" s="60">
        <f t="shared" si="0"/>
        <v>5</v>
      </c>
      <c r="N27" s="61">
        <f t="shared" si="3"/>
        <v>2.176848027564807</v>
      </c>
      <c r="O27" s="61">
        <f t="shared" si="4"/>
        <v>5.2631578947368425</v>
      </c>
      <c r="P27" s="129">
        <f t="shared" si="5"/>
        <v>10.144808778604332</v>
      </c>
      <c r="Q27" s="129">
        <f t="shared" si="6"/>
        <v>7.9354294487533332</v>
      </c>
      <c r="R27" s="129">
        <f t="shared" si="7"/>
        <v>12.76286154087121</v>
      </c>
      <c r="S27" s="61">
        <f t="shared" si="8"/>
        <v>14.152708199516047</v>
      </c>
      <c r="T27" s="61">
        <f t="shared" si="1"/>
        <v>23.858184065065792</v>
      </c>
      <c r="U27" s="61">
        <f t="shared" si="17"/>
        <v>10.231008827837405</v>
      </c>
      <c r="V27" s="61"/>
      <c r="Y27" s="163" t="s">
        <v>40</v>
      </c>
      <c r="Z27" s="163" t="s">
        <v>63</v>
      </c>
      <c r="AA27" s="163" t="s">
        <v>200</v>
      </c>
      <c r="AB27" s="163">
        <f t="shared" si="22"/>
        <v>6</v>
      </c>
      <c r="AC27" s="166">
        <f t="shared" si="23"/>
        <v>5.4959686424595553</v>
      </c>
      <c r="AD27" s="166">
        <f t="shared" si="24"/>
        <v>23.858184065065792</v>
      </c>
      <c r="AE27" s="163"/>
      <c r="AF27" s="163">
        <f t="shared" si="11"/>
        <v>21</v>
      </c>
      <c r="AG27" s="168" t="str">
        <f t="shared" si="12"/>
        <v>N/A</v>
      </c>
      <c r="AH27" s="166">
        <f t="shared" si="13"/>
        <v>17.828955220273194</v>
      </c>
      <c r="AI27" s="166">
        <f t="shared" si="14"/>
        <v>4.5685568304443791</v>
      </c>
      <c r="AJ27" s="166">
        <f t="shared" si="15"/>
        <v>46.132349418138944</v>
      </c>
      <c r="AK27" s="168">
        <f t="shared" si="16"/>
        <v>5</v>
      </c>
    </row>
    <row r="28" spans="1:37" x14ac:dyDescent="0.2">
      <c r="A28" s="62" t="s">
        <v>51</v>
      </c>
      <c r="B28" s="62" t="s">
        <v>71</v>
      </c>
      <c r="C28" s="62" t="s">
        <v>200</v>
      </c>
      <c r="D28" s="62"/>
      <c r="E28" s="62" t="e">
        <f t="shared" si="2"/>
        <v>#VALUE!</v>
      </c>
      <c r="F28" s="128" t="s">
        <v>79</v>
      </c>
      <c r="G28" s="129" t="s">
        <v>79</v>
      </c>
      <c r="H28" s="129" t="s">
        <v>79</v>
      </c>
      <c r="I28" s="129" t="s">
        <v>79</v>
      </c>
      <c r="J28" s="129"/>
      <c r="K28" s="129"/>
      <c r="L28" s="129"/>
      <c r="M28" s="60"/>
      <c r="N28" s="61">
        <f t="shared" si="3"/>
        <v>2.176848027564807</v>
      </c>
      <c r="O28" s="61">
        <f t="shared" si="4"/>
        <v>5.2631578947368425</v>
      </c>
      <c r="P28" s="129">
        <f t="shared" si="5"/>
        <v>10.144808778604332</v>
      </c>
      <c r="Q28" s="129">
        <f t="shared" si="6"/>
        <v>7.9354294487533332</v>
      </c>
      <c r="R28" s="129">
        <f t="shared" si="7"/>
        <v>12.76286154087121</v>
      </c>
      <c r="S28" s="61">
        <f t="shared" si="8"/>
        <v>14.152708199516047</v>
      </c>
      <c r="T28" s="61">
        <f t="shared" si="1"/>
        <v>23.858184065065792</v>
      </c>
      <c r="U28" s="61">
        <f t="shared" si="17"/>
        <v>12.803279629408211</v>
      </c>
      <c r="V28" s="61"/>
      <c r="Y28" s="163" t="s">
        <v>42</v>
      </c>
      <c r="Z28" s="163" t="s">
        <v>65</v>
      </c>
      <c r="AA28" s="163" t="s">
        <v>200</v>
      </c>
      <c r="AB28" s="163" t="e">
        <f t="shared" si="22"/>
        <v>#VALUE!</v>
      </c>
      <c r="AC28" s="166">
        <f t="shared" si="23"/>
        <v>5.4959686424595553</v>
      </c>
      <c r="AD28" s="166">
        <f t="shared" si="24"/>
        <v>23.858184065065792</v>
      </c>
      <c r="AE28" s="163"/>
      <c r="AF28" s="163" t="e">
        <f t="shared" si="11"/>
        <v>#VALUE!</v>
      </c>
      <c r="AG28" s="168" t="str">
        <f t="shared" si="12"/>
        <v>N/A</v>
      </c>
      <c r="AH28" s="166" t="str">
        <f t="shared" si="13"/>
        <v>N/A</v>
      </c>
      <c r="AI28" s="166" t="str">
        <f t="shared" si="14"/>
        <v>N/A</v>
      </c>
      <c r="AJ28" s="166" t="str">
        <f t="shared" si="15"/>
        <v>N/A</v>
      </c>
      <c r="AK28" s="168">
        <f t="shared" si="16"/>
        <v>0</v>
      </c>
    </row>
    <row r="29" spans="1:37" x14ac:dyDescent="0.2">
      <c r="A29" s="62" t="s">
        <v>52</v>
      </c>
      <c r="B29" s="62" t="s">
        <v>72</v>
      </c>
      <c r="C29" s="62" t="s">
        <v>201</v>
      </c>
      <c r="D29" s="62"/>
      <c r="E29" s="62">
        <f t="shared" si="2"/>
        <v>22</v>
      </c>
      <c r="F29" s="128" t="s">
        <v>79</v>
      </c>
      <c r="G29" s="129">
        <v>18.786127167630056</v>
      </c>
      <c r="H29" s="129">
        <v>0.2455747510398201</v>
      </c>
      <c r="I29" s="129">
        <v>104.52141990199189</v>
      </c>
      <c r="J29" s="129"/>
      <c r="K29" s="129"/>
      <c r="L29" s="129"/>
      <c r="M29" s="60">
        <f t="shared" si="0"/>
        <v>5</v>
      </c>
      <c r="N29" s="61">
        <f t="shared" si="3"/>
        <v>2.176848027564807</v>
      </c>
      <c r="O29" s="61">
        <f t="shared" si="4"/>
        <v>5.2631578947368425</v>
      </c>
      <c r="P29" s="129">
        <f t="shared" si="5"/>
        <v>10.144808778604332</v>
      </c>
      <c r="Q29" s="129">
        <f t="shared" si="6"/>
        <v>7.9354294487533332</v>
      </c>
      <c r="R29" s="129">
        <f t="shared" si="7"/>
        <v>12.76286154087121</v>
      </c>
      <c r="S29" s="61">
        <f t="shared" si="8"/>
        <v>14.152708199516047</v>
      </c>
      <c r="T29" s="61">
        <f t="shared" si="1"/>
        <v>23.858184065065792</v>
      </c>
      <c r="U29" s="61">
        <f t="shared" si="17"/>
        <v>6.6346350673108638</v>
      </c>
      <c r="V29" s="61"/>
      <c r="Y29" s="163" t="s">
        <v>44</v>
      </c>
      <c r="Z29" s="163" t="s">
        <v>66</v>
      </c>
      <c r="AA29" s="163" t="s">
        <v>200</v>
      </c>
      <c r="AB29" s="163">
        <f t="shared" si="22"/>
        <v>5</v>
      </c>
      <c r="AC29" s="166">
        <f t="shared" si="23"/>
        <v>5.4959686424595553</v>
      </c>
      <c r="AD29" s="166">
        <f t="shared" si="24"/>
        <v>23.858184065065792</v>
      </c>
      <c r="AE29" s="163"/>
      <c r="AF29" s="163">
        <f t="shared" si="11"/>
        <v>20</v>
      </c>
      <c r="AG29" s="168" t="str">
        <f t="shared" si="12"/>
        <v>N/A</v>
      </c>
      <c r="AH29" s="166">
        <f t="shared" si="13"/>
        <v>16.911821398281489</v>
      </c>
      <c r="AI29" s="166">
        <f t="shared" si="14"/>
        <v>1.415798358160445</v>
      </c>
      <c r="AJ29" s="166">
        <f t="shared" si="15"/>
        <v>62.481188972924102</v>
      </c>
      <c r="AK29" s="168">
        <f t="shared" si="16"/>
        <v>5</v>
      </c>
    </row>
    <row r="30" spans="1:37" x14ac:dyDescent="0.2">
      <c r="A30" s="62" t="s">
        <v>53</v>
      </c>
      <c r="B30" s="62" t="s">
        <v>162</v>
      </c>
      <c r="C30" s="62" t="s">
        <v>163</v>
      </c>
      <c r="D30" s="62"/>
      <c r="E30" s="62">
        <f t="shared" si="2"/>
        <v>14</v>
      </c>
      <c r="F30" s="128" t="s">
        <v>79</v>
      </c>
      <c r="G30" s="129">
        <v>11.832967122797166</v>
      </c>
      <c r="H30" s="129">
        <v>5.6422286271004847</v>
      </c>
      <c r="I30" s="129">
        <v>21.799168879765482</v>
      </c>
      <c r="J30" s="129"/>
      <c r="K30" s="129"/>
      <c r="L30" s="129"/>
      <c r="M30" s="60">
        <f t="shared" si="0"/>
        <v>5</v>
      </c>
      <c r="N30" s="61">
        <f t="shared" si="3"/>
        <v>2.176848027564807</v>
      </c>
      <c r="O30" s="61">
        <f t="shared" si="4"/>
        <v>5.2631578947368425</v>
      </c>
      <c r="P30" s="129">
        <f>$G$32</f>
        <v>10.144808778604332</v>
      </c>
      <c r="Q30" s="129">
        <f t="shared" si="6"/>
        <v>7.9354294487533332</v>
      </c>
      <c r="R30" s="129">
        <f t="shared" si="7"/>
        <v>12.76286154087121</v>
      </c>
      <c r="S30" s="61">
        <f t="shared" si="8"/>
        <v>14.152708199516047</v>
      </c>
      <c r="T30" s="61">
        <f t="shared" si="1"/>
        <v>23.858184065065792</v>
      </c>
      <c r="U30" s="61">
        <f t="shared" si="17"/>
        <v>10.231008827837405</v>
      </c>
      <c r="V30" s="61"/>
      <c r="Y30" s="163" t="s">
        <v>49</v>
      </c>
      <c r="Z30" s="163" t="s">
        <v>70</v>
      </c>
      <c r="AA30" s="163" t="s">
        <v>200</v>
      </c>
      <c r="AB30" s="163">
        <f t="shared" si="22"/>
        <v>4</v>
      </c>
      <c r="AC30" s="166">
        <f t="shared" si="23"/>
        <v>5.4959686424595553</v>
      </c>
      <c r="AD30" s="166">
        <f t="shared" si="24"/>
        <v>23.858184065065792</v>
      </c>
      <c r="AE30" s="163"/>
      <c r="AF30" s="163">
        <f t="shared" si="11"/>
        <v>19</v>
      </c>
      <c r="AG30" s="168" t="str">
        <f t="shared" si="12"/>
        <v>N/A</v>
      </c>
      <c r="AH30" s="166">
        <f t="shared" si="13"/>
        <v>14.844620581309435</v>
      </c>
      <c r="AI30" s="166">
        <f t="shared" si="14"/>
        <v>3.6452940544312797</v>
      </c>
      <c r="AJ30" s="166">
        <f t="shared" si="15"/>
        <v>38.748800842136369</v>
      </c>
      <c r="AK30" s="168">
        <f t="shared" si="16"/>
        <v>5</v>
      </c>
    </row>
    <row r="31" spans="1:37" x14ac:dyDescent="0.2">
      <c r="A31" s="62" t="s">
        <v>54</v>
      </c>
      <c r="B31" s="62" t="s">
        <v>73</v>
      </c>
      <c r="C31" s="62" t="s">
        <v>201</v>
      </c>
      <c r="D31" s="62"/>
      <c r="E31" s="62">
        <f t="shared" si="2"/>
        <v>5</v>
      </c>
      <c r="F31" s="128" t="s">
        <v>79</v>
      </c>
      <c r="G31" s="129">
        <v>4.6099290780141846</v>
      </c>
      <c r="H31" s="129">
        <v>6.026160557431133E-2</v>
      </c>
      <c r="I31" s="129">
        <v>25.648518642616448</v>
      </c>
      <c r="J31" s="129"/>
      <c r="K31" s="129"/>
      <c r="L31" s="129"/>
      <c r="M31" s="60">
        <f t="shared" si="0"/>
        <v>5</v>
      </c>
      <c r="N31" s="61">
        <f t="shared" si="3"/>
        <v>2.176848027564807</v>
      </c>
      <c r="O31" s="61">
        <f t="shared" si="4"/>
        <v>5.2631578947368425</v>
      </c>
      <c r="P31" s="129">
        <f t="shared" si="5"/>
        <v>10.144808778604332</v>
      </c>
      <c r="Q31" s="129">
        <f t="shared" si="6"/>
        <v>7.9354294487533332</v>
      </c>
      <c r="R31" s="129">
        <f t="shared" si="7"/>
        <v>12.76286154087121</v>
      </c>
      <c r="S31" s="61">
        <f t="shared" si="8"/>
        <v>14.152708199516047</v>
      </c>
      <c r="T31" s="61">
        <f t="shared" si="1"/>
        <v>23.858184065065792</v>
      </c>
      <c r="U31" s="61">
        <f t="shared" si="17"/>
        <v>6.6346350673108638</v>
      </c>
      <c r="V31" s="61"/>
      <c r="Y31" s="163" t="s">
        <v>51</v>
      </c>
      <c r="Z31" s="163" t="s">
        <v>71</v>
      </c>
      <c r="AA31" s="163" t="s">
        <v>200</v>
      </c>
      <c r="AB31" s="163" t="e">
        <f t="shared" si="22"/>
        <v>#VALUE!</v>
      </c>
      <c r="AC31" s="166">
        <f t="shared" si="23"/>
        <v>5.4959686424595553</v>
      </c>
      <c r="AD31" s="166">
        <f t="shared" si="24"/>
        <v>23.858184065065792</v>
      </c>
      <c r="AE31" s="163"/>
      <c r="AF31" s="163" t="e">
        <f t="shared" si="11"/>
        <v>#VALUE!</v>
      </c>
      <c r="AG31" s="168" t="str">
        <f t="shared" si="12"/>
        <v>N/A</v>
      </c>
      <c r="AH31" s="166" t="str">
        <f t="shared" si="13"/>
        <v>N/A</v>
      </c>
      <c r="AI31" s="166" t="str">
        <f t="shared" si="14"/>
        <v>N/A</v>
      </c>
      <c r="AJ31" s="166" t="str">
        <f t="shared" si="15"/>
        <v>N/A</v>
      </c>
      <c r="AK31" s="168">
        <f t="shared" si="16"/>
        <v>0</v>
      </c>
    </row>
    <row r="32" spans="1:37" x14ac:dyDescent="0.2">
      <c r="A32" s="62"/>
      <c r="B32" s="62" t="s">
        <v>171</v>
      </c>
      <c r="C32" s="62"/>
      <c r="D32" s="62"/>
      <c r="E32" s="62"/>
      <c r="F32" s="128">
        <v>77</v>
      </c>
      <c r="G32" s="129">
        <v>10.144808778604332</v>
      </c>
      <c r="H32" s="129">
        <v>7.9354294487533332</v>
      </c>
      <c r="I32" s="129">
        <v>12.76286154087121</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29</v>
      </c>
      <c r="G44" s="254">
        <v>10.231008827837405</v>
      </c>
      <c r="H44" s="254">
        <v>6.8338556280817748</v>
      </c>
      <c r="I44" s="254">
        <v>14.715874390650688</v>
      </c>
      <c r="J44" s="254">
        <f>VLOOKUP($C44,$AA$6:$AD$13,3,FALSE)</f>
        <v>3.8064165307232192</v>
      </c>
      <c r="K44" s="254">
        <f>VLOOKUP($C44,$AA$6:$AD$13,4,FALSE)</f>
        <v>14.152708199516047</v>
      </c>
      <c r="L44" s="254"/>
      <c r="M44" s="343">
        <f>IF($C$2="Significance not measured",6,IF(AND($C$2="Better / Worse",$K$2="Low = Worst",I44&lt;Q44),1,IF(AND($C$2="Better / Worse",$K$2="Low = Worst",H44&gt;R44),2,IF(AND($C$2="Better / Worse",$K$2="High = Worst",I44&lt;Q44),2,IF(AND($C$2="Better / Worse",$K$2="High = Worst",H44&gt;R44),1,IF(AND($C$2="Higher / Lower",I44&lt;Q44),3,IF(AND($C$2="Higher / Lower",H44&gt;R44),4,5)))))))</f>
        <v>5</v>
      </c>
      <c r="N44" s="343">
        <f>MIN($G$6:$G$31)</f>
        <v>2.176848027564807</v>
      </c>
      <c r="O44" s="343">
        <f>VLOOKUP(7,$E$5:$G$39,3,FALSE)</f>
        <v>5.311621368322399</v>
      </c>
      <c r="P44" s="254">
        <f>$G$32</f>
        <v>10.144808778604332</v>
      </c>
      <c r="Q44" s="254">
        <f>$H$32</f>
        <v>7.9354294487533332</v>
      </c>
      <c r="R44" s="254">
        <f>$I$32</f>
        <v>12.76286154087121</v>
      </c>
      <c r="S44" s="343">
        <f>VLOOKUP(20,$E$5:$G$39,3,FALSE)</f>
        <v>16.911821398281489</v>
      </c>
      <c r="T44" s="343">
        <f>MAX($G$6:$G$31)</f>
        <v>23.858184065065792</v>
      </c>
    </row>
    <row r="45" spans="1:22" x14ac:dyDescent="0.2">
      <c r="C45" s="62" t="s">
        <v>201</v>
      </c>
      <c r="D45" s="62"/>
      <c r="E45" s="62"/>
      <c r="F45" s="128">
        <v>19</v>
      </c>
      <c r="G45" s="254">
        <v>6.6346350673108638</v>
      </c>
      <c r="H45" s="254">
        <v>3.5965567652390593</v>
      </c>
      <c r="I45" s="254">
        <v>10.920035582292398</v>
      </c>
      <c r="J45" s="254">
        <f>VLOOKUP($C45,$AA$14:$AD$22,3,FALSE)</f>
        <v>2.176848027564807</v>
      </c>
      <c r="K45" s="254">
        <f>VLOOKUP($C45,$AA$14:$AD$22,4,FALSE)</f>
        <v>18.786127167630056</v>
      </c>
      <c r="L45" s="254"/>
      <c r="M45" s="343">
        <f>IF($C$2="Significance not measured",6,IF(AND($C$2="Better / Worse",$K$2="Low = Worst",I45&lt;Q45),1,IF(AND($C$2="Better / Worse",$K$2="Low = Worst",H45&gt;R45),2,IF(AND($C$2="Better / Worse",$K$2="High = Worst",I45&lt;Q45),2,IF(AND($C$2="Better / Worse",$K$2="High = Worst",H45&gt;R45),1,IF(AND($C$2="Higher / Lower",I45&lt;Q45),3,IF(AND($C$2="Higher / Lower",H45&gt;R45),4,5)))))))</f>
        <v>5</v>
      </c>
      <c r="N45" s="343">
        <f>MIN($G$6:$G$31)</f>
        <v>2.176848027564807</v>
      </c>
      <c r="O45" s="343">
        <f>VLOOKUP(7,$E$5:$G$39,3,FALSE)</f>
        <v>5.311621368322399</v>
      </c>
      <c r="P45" s="254">
        <f>$G$32</f>
        <v>10.144808778604332</v>
      </c>
      <c r="Q45" s="254">
        <f t="shared" ref="Q45:Q46" si="25">$H$32</f>
        <v>7.9354294487533332</v>
      </c>
      <c r="R45" s="254">
        <f t="shared" ref="R45:R46" si="26">$I$32</f>
        <v>12.76286154087121</v>
      </c>
      <c r="S45" s="343">
        <f>VLOOKUP(20,$E$5:$G$39,3,FALSE)</f>
        <v>16.911821398281489</v>
      </c>
      <c r="T45" s="343">
        <f t="shared" ref="T45:T46" si="27">MAX($G$6:$G$31)</f>
        <v>23.858184065065792</v>
      </c>
    </row>
    <row r="46" spans="1:22" x14ac:dyDescent="0.2">
      <c r="C46" s="62" t="s">
        <v>200</v>
      </c>
      <c r="D46" s="62"/>
      <c r="E46" s="62"/>
      <c r="F46" s="128">
        <v>29</v>
      </c>
      <c r="G46" s="254">
        <v>12.803279629408211</v>
      </c>
      <c r="H46" s="254">
        <v>8.4922720133062768</v>
      </c>
      <c r="I46" s="254">
        <v>18.494600703733667</v>
      </c>
      <c r="J46" s="254">
        <f>VLOOKUP($C46,$AA$23:$AD$31,3,FALSE)</f>
        <v>5.4959686424595553</v>
      </c>
      <c r="K46" s="254">
        <f>VLOOKUP($C46,$AA$23:$AD$31,4,FALSE)</f>
        <v>23.858184065065792</v>
      </c>
      <c r="L46" s="254"/>
      <c r="M46" s="343">
        <f>IF($C$2="Significance not measured",6,IF(AND($C$2="Better / Worse",$K$2="Low = Worst",I46&lt;Q46),1,IF(AND($C$2="Better / Worse",$K$2="Low = Worst",H46&gt;R46),2,IF(AND($C$2="Better / Worse",$K$2="High = Worst",I46&lt;Q46),2,IF(AND($C$2="Better / Worse",$K$2="High = Worst",H46&gt;R46),1,IF(AND($C$2="Higher / Lower",I46&lt;Q46),3,IF(AND($C$2="Higher / Lower",H46&gt;R46),4,5)))))))</f>
        <v>5</v>
      </c>
      <c r="N46" s="343">
        <f>MIN($G$6:$G$31)</f>
        <v>2.176848027564807</v>
      </c>
      <c r="O46" s="343">
        <f>VLOOKUP(7,$E$5:$G$39,3,FALSE)</f>
        <v>5.311621368322399</v>
      </c>
      <c r="P46" s="254">
        <f t="shared" ref="P46" si="28">$G$32</f>
        <v>10.144808778604332</v>
      </c>
      <c r="Q46" s="254">
        <f t="shared" si="25"/>
        <v>7.9354294487533332</v>
      </c>
      <c r="R46" s="254">
        <f t="shared" si="26"/>
        <v>12.76286154087121</v>
      </c>
      <c r="S46" s="343">
        <f>VLOOKUP(20,$E$5:$G$39,3,FALSE)</f>
        <v>16.911821398281489</v>
      </c>
      <c r="T46" s="343">
        <f t="shared" si="27"/>
        <v>23.858184065065792</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K2:N2" xr:uid="{00000000-0002-0000-2C00-000000000000}">
      <formula1>"High = Worst,Low = Worst"</formula1>
    </dataValidation>
    <dataValidation type="list" allowBlank="1" showInputMessage="1" showErrorMessage="1" sqref="C2:D2" xr:uid="{00000000-0002-0000-2C00-000001000000}">
      <formula1>"Better / Worse,Higher / Lower,Significance not measured"</formula1>
    </dataValidation>
  </dataValidations>
  <pageMargins left="0.75" right="0.75" top="1" bottom="1" header="0.5" footer="0.5"/>
  <pageSetup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4">
    <tabColor theme="6" tint="0.39997558519241921"/>
  </sheetPr>
  <dimension ref="A1:AK55"/>
  <sheetViews>
    <sheetView workbookViewId="0">
      <selection activeCell="AK13" activeCellId="1" sqref="AK6:AK8 AK13"/>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8" width="7.33203125" style="21" customWidth="1"/>
    <col min="9" max="9" width="6.886718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5.554687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16</v>
      </c>
      <c r="F6" s="128">
        <v>1720</v>
      </c>
      <c r="G6" s="129">
        <v>21.9219984705583</v>
      </c>
      <c r="H6" s="129">
        <v>20.898107483248801</v>
      </c>
      <c r="I6" s="129">
        <v>22.983077970128701</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1</v>
      </c>
      <c r="N6" s="61">
        <f>MIN($G$6:$G$32)</f>
        <v>6.7466771353261201</v>
      </c>
      <c r="O6" s="61">
        <f>VLOOKUP(7,$E$5:$G$39,3,FALSE)</f>
        <v>18.5221248512388</v>
      </c>
      <c r="P6" s="129">
        <f>$G$32</f>
        <v>20.548931776930399</v>
      </c>
      <c r="Q6" s="129">
        <f>$H$32</f>
        <v>20.368048257580899</v>
      </c>
      <c r="R6" s="129">
        <f>$I$32</f>
        <v>20.7310220272051</v>
      </c>
      <c r="S6" s="61">
        <f>VLOOKUP(20,$E$5:$G$39,3,FALSE)</f>
        <v>23.1010531032938</v>
      </c>
      <c r="T6" s="61">
        <f t="shared" ref="T6:T31" si="1">MAX($G$6:$G$31)</f>
        <v>27.1110659485825</v>
      </c>
      <c r="U6" s="61">
        <f>VLOOKUP(C6,$C$43:$I$46,5,FALSE)</f>
        <v>18.822083988223053</v>
      </c>
      <c r="V6" s="61"/>
      <c r="Y6" s="159" t="s">
        <v>33</v>
      </c>
      <c r="Z6" s="159" t="s">
        <v>58</v>
      </c>
      <c r="AA6" s="159" t="s">
        <v>163</v>
      </c>
      <c r="AB6" s="159">
        <f>RANK(AH6,$AH$6:$AH$13,1)</f>
        <v>8</v>
      </c>
      <c r="AC6" s="164">
        <f>MIN($AH$6:$AH$13)</f>
        <v>17.5083426028921</v>
      </c>
      <c r="AD6" s="164">
        <f>MAX($AH$6:$AH$13)</f>
        <v>27.1110659485825</v>
      </c>
      <c r="AE6" s="159"/>
      <c r="AF6" s="159">
        <f>VLOOKUP($Y6,$A$6:$I$31,5,FALSE)</f>
        <v>26</v>
      </c>
      <c r="AG6" s="160">
        <f>VLOOKUP($Y6,$A$6:$I$31,6,FALSE)</f>
        <v>2668</v>
      </c>
      <c r="AH6" s="161">
        <f>VLOOKUP($Y6,$A$6:$I$31,7,FALSE)</f>
        <v>27.1110659485825</v>
      </c>
      <c r="AI6" s="161">
        <f>VLOOKUP($Y6,$A$6:$I$31,8,FALSE)</f>
        <v>26.0919900625845</v>
      </c>
      <c r="AJ6" s="161">
        <f>VLOOKUP($Y6,$A$6:$I$31,9,FALSE)</f>
        <v>28.159744500191799</v>
      </c>
      <c r="AK6" s="160">
        <f>VLOOKUP($Y6,$A$6:$M$31,13,FALSE)</f>
        <v>1</v>
      </c>
    </row>
    <row r="7" spans="1:37" x14ac:dyDescent="0.2">
      <c r="A7" s="62" t="s">
        <v>30</v>
      </c>
      <c r="B7" s="62" t="s">
        <v>56</v>
      </c>
      <c r="C7" s="62" t="s">
        <v>200</v>
      </c>
      <c r="D7" s="62"/>
      <c r="E7" s="62">
        <f t="shared" ref="E7:E31" si="2">RANK(G7,$G$6:$G$31,1)</f>
        <v>18</v>
      </c>
      <c r="F7" s="128">
        <v>2050</v>
      </c>
      <c r="G7" s="129">
        <v>22.3555070883315</v>
      </c>
      <c r="H7" s="129">
        <v>21.398139786136301</v>
      </c>
      <c r="I7" s="129">
        <v>23.344672052669701</v>
      </c>
      <c r="J7" s="129"/>
      <c r="K7" s="129"/>
      <c r="L7" s="129"/>
      <c r="M7" s="60">
        <f t="shared" si="0"/>
        <v>1</v>
      </c>
      <c r="N7" s="61">
        <f t="shared" ref="N7:N31" si="3">MIN($G$6:$G$32)</f>
        <v>6.7466771353261201</v>
      </c>
      <c r="O7" s="61">
        <f>VLOOKUP(7,$E$5:$G$39,3,FALSE)</f>
        <v>18.5221248512388</v>
      </c>
      <c r="P7" s="129">
        <f t="shared" ref="P7:P31" si="4">$G$32</f>
        <v>20.548931776930399</v>
      </c>
      <c r="Q7" s="129">
        <f t="shared" ref="Q7:Q31" si="5">$H$32</f>
        <v>20.368048257580899</v>
      </c>
      <c r="R7" s="129">
        <f t="shared" ref="R7:R31" si="6">$I$32</f>
        <v>20.7310220272051</v>
      </c>
      <c r="S7" s="61">
        <f t="shared" ref="S7:S31" si="7">VLOOKUP(20,$E$5:$G$39,3,FALSE)</f>
        <v>23.1010531032938</v>
      </c>
      <c r="T7" s="61">
        <f t="shared" si="1"/>
        <v>27.1110659485825</v>
      </c>
      <c r="U7" s="61">
        <f>VLOOKUP(C7,$C$43:$I$46,5,FALSE)</f>
        <v>21.358564215707073</v>
      </c>
      <c r="V7" s="61"/>
      <c r="Y7" s="159" t="s">
        <v>35</v>
      </c>
      <c r="Z7" s="159" t="s">
        <v>60</v>
      </c>
      <c r="AA7" s="159" t="s">
        <v>163</v>
      </c>
      <c r="AB7" s="159">
        <f t="shared" ref="AB7:AB12" si="8">RANK(AH7,$AH$6:$AH$13,1)</f>
        <v>6</v>
      </c>
      <c r="AC7" s="164">
        <f>MIN($AH$6:$AH$13)</f>
        <v>17.5083426028921</v>
      </c>
      <c r="AD7" s="164">
        <f t="shared" ref="AD7:AD13" si="9">MAX($AH$6:$AH$13)</f>
        <v>27.1110659485825</v>
      </c>
      <c r="AE7" s="159"/>
      <c r="AF7" s="159">
        <f t="shared" ref="AF7:AF31" si="10">VLOOKUP($Y7,$A$6:$I$31,5,FALSE)</f>
        <v>17</v>
      </c>
      <c r="AG7" s="160">
        <f t="shared" ref="AG7:AG31" si="11">VLOOKUP($Y7,$A$6:$I$31,6,FALSE)</f>
        <v>2623</v>
      </c>
      <c r="AH7" s="161">
        <f t="shared" ref="AH7:AH31" si="12">VLOOKUP($Y7,$A$6:$I$31,7,FALSE)</f>
        <v>22.1612031091585</v>
      </c>
      <c r="AI7" s="161">
        <f t="shared" ref="AI7:AI31" si="13">VLOOKUP($Y7,$A$6:$I$31,8,FALSE)</f>
        <v>21.321140264527902</v>
      </c>
      <c r="AJ7" s="161">
        <f t="shared" ref="AJ7:AJ31" si="14">VLOOKUP($Y7,$A$6:$I$31,9,FALSE)</f>
        <v>23.025880342030199</v>
      </c>
      <c r="AK7" s="160">
        <f t="shared" ref="AK7:AK31" si="15">VLOOKUP($Y7,$A$6:$M$31,13,FALSE)</f>
        <v>1</v>
      </c>
    </row>
    <row r="8" spans="1:37" x14ac:dyDescent="0.2">
      <c r="A8" s="62" t="s">
        <v>31</v>
      </c>
      <c r="B8" s="62" t="s">
        <v>57</v>
      </c>
      <c r="C8" s="62" t="s">
        <v>200</v>
      </c>
      <c r="D8" s="62"/>
      <c r="E8" s="62">
        <f t="shared" si="2"/>
        <v>9</v>
      </c>
      <c r="F8" s="128">
        <v>2065</v>
      </c>
      <c r="G8" s="129">
        <v>19.808153477218202</v>
      </c>
      <c r="H8" s="129">
        <v>18.9629288746649</v>
      </c>
      <c r="I8" s="129">
        <v>20.681347073818401</v>
      </c>
      <c r="J8" s="129"/>
      <c r="K8" s="129"/>
      <c r="L8" s="129"/>
      <c r="M8" s="60">
        <f t="shared" si="0"/>
        <v>5</v>
      </c>
      <c r="N8" s="61">
        <f t="shared" si="3"/>
        <v>6.7466771353261201</v>
      </c>
      <c r="O8" s="61">
        <f t="shared" ref="O8:O31" si="16">VLOOKUP(7,$E$5:$G$39,3,FALSE)</f>
        <v>18.5221248512388</v>
      </c>
      <c r="P8" s="129">
        <f t="shared" si="4"/>
        <v>20.548931776930399</v>
      </c>
      <c r="Q8" s="129">
        <f t="shared" si="5"/>
        <v>20.368048257580899</v>
      </c>
      <c r="R8" s="129">
        <f t="shared" si="6"/>
        <v>20.7310220272051</v>
      </c>
      <c r="S8" s="61">
        <f t="shared" si="7"/>
        <v>23.1010531032938</v>
      </c>
      <c r="T8" s="61">
        <f t="shared" si="1"/>
        <v>27.1110659485825</v>
      </c>
      <c r="U8" s="61">
        <f t="shared" ref="U8:U31" si="17">VLOOKUP(C8,$C$43:$I$46,5,FALSE)</f>
        <v>21.358564215707073</v>
      </c>
      <c r="V8" s="61"/>
      <c r="Y8" s="159" t="s">
        <v>41</v>
      </c>
      <c r="Z8" s="159" t="s">
        <v>64</v>
      </c>
      <c r="AA8" s="159" t="s">
        <v>163</v>
      </c>
      <c r="AB8" s="159">
        <f t="shared" si="8"/>
        <v>7</v>
      </c>
      <c r="AC8" s="164">
        <f t="shared" ref="AC8:AC13" si="18">MIN($AH$6:$AH$13)</f>
        <v>17.5083426028921</v>
      </c>
      <c r="AD8" s="164">
        <f>MAX($AH$6:$AH$13)</f>
        <v>27.1110659485825</v>
      </c>
      <c r="AE8" s="159"/>
      <c r="AF8" s="159">
        <f t="shared" si="10"/>
        <v>20</v>
      </c>
      <c r="AG8" s="160">
        <f t="shared" si="11"/>
        <v>2062</v>
      </c>
      <c r="AH8" s="161">
        <f t="shared" si="12"/>
        <v>23.1010531032938</v>
      </c>
      <c r="AI8" s="161">
        <f t="shared" si="13"/>
        <v>22.114609650603899</v>
      </c>
      <c r="AJ8" s="161">
        <f t="shared" si="14"/>
        <v>24.120162735227701</v>
      </c>
      <c r="AK8" s="160">
        <f t="shared" si="15"/>
        <v>1</v>
      </c>
    </row>
    <row r="9" spans="1:37" x14ac:dyDescent="0.2">
      <c r="A9" s="62" t="s">
        <v>32</v>
      </c>
      <c r="B9" s="62" t="s">
        <v>156</v>
      </c>
      <c r="C9" s="62" t="s">
        <v>201</v>
      </c>
      <c r="D9" s="62"/>
      <c r="E9" s="62">
        <f t="shared" si="2"/>
        <v>21</v>
      </c>
      <c r="F9" s="128">
        <v>3308</v>
      </c>
      <c r="G9" s="129">
        <v>23.648841864455299</v>
      </c>
      <c r="H9" s="129">
        <v>22.849743313117401</v>
      </c>
      <c r="I9" s="129">
        <v>24.4687531126994</v>
      </c>
      <c r="J9" s="129"/>
      <c r="K9" s="129"/>
      <c r="L9" s="129"/>
      <c r="M9" s="60">
        <f t="shared" si="0"/>
        <v>1</v>
      </c>
      <c r="N9" s="61">
        <f t="shared" si="3"/>
        <v>6.7466771353261201</v>
      </c>
      <c r="O9" s="61">
        <f t="shared" si="16"/>
        <v>18.5221248512388</v>
      </c>
      <c r="P9" s="129">
        <f t="shared" si="4"/>
        <v>20.548931776930399</v>
      </c>
      <c r="Q9" s="129">
        <f t="shared" si="5"/>
        <v>20.368048257580899</v>
      </c>
      <c r="R9" s="129">
        <f t="shared" si="6"/>
        <v>20.7310220272051</v>
      </c>
      <c r="S9" s="61">
        <f t="shared" si="7"/>
        <v>23.1010531032938</v>
      </c>
      <c r="T9" s="61">
        <f t="shared" si="1"/>
        <v>27.1110659485825</v>
      </c>
      <c r="U9" s="61">
        <f t="shared" si="17"/>
        <v>18.822083988223053</v>
      </c>
      <c r="V9" s="61"/>
      <c r="X9" s="63"/>
      <c r="Y9" s="159" t="s">
        <v>45</v>
      </c>
      <c r="Z9" s="159" t="s">
        <v>67</v>
      </c>
      <c r="AA9" s="159" t="s">
        <v>163</v>
      </c>
      <c r="AB9" s="159">
        <f t="shared" si="8"/>
        <v>3</v>
      </c>
      <c r="AC9" s="164">
        <f t="shared" si="18"/>
        <v>17.5083426028921</v>
      </c>
      <c r="AD9" s="164">
        <f t="shared" si="9"/>
        <v>27.1110659485825</v>
      </c>
      <c r="AE9" s="159"/>
      <c r="AF9" s="159">
        <f t="shared" si="10"/>
        <v>10</v>
      </c>
      <c r="AG9" s="160">
        <f t="shared" si="11"/>
        <v>1425</v>
      </c>
      <c r="AH9" s="161">
        <f t="shared" si="12"/>
        <v>19.8136818687431</v>
      </c>
      <c r="AI9" s="161">
        <f t="shared" si="13"/>
        <v>18.7981675692109</v>
      </c>
      <c r="AJ9" s="161">
        <f t="shared" si="14"/>
        <v>20.869798441443301</v>
      </c>
      <c r="AK9" s="160">
        <f t="shared" si="15"/>
        <v>5</v>
      </c>
    </row>
    <row r="10" spans="1:37" x14ac:dyDescent="0.2">
      <c r="A10" s="62" t="s">
        <v>33</v>
      </c>
      <c r="B10" s="62" t="s">
        <v>58</v>
      </c>
      <c r="C10" s="62" t="s">
        <v>163</v>
      </c>
      <c r="D10" s="62"/>
      <c r="E10" s="62">
        <f t="shared" si="2"/>
        <v>26</v>
      </c>
      <c r="F10" s="128">
        <v>2668</v>
      </c>
      <c r="G10" s="129">
        <v>27.1110659485825</v>
      </c>
      <c r="H10" s="129">
        <v>26.0919900625845</v>
      </c>
      <c r="I10" s="129">
        <v>28.159744500191799</v>
      </c>
      <c r="J10" s="129"/>
      <c r="K10" s="129"/>
      <c r="L10" s="129"/>
      <c r="M10" s="60">
        <f t="shared" si="0"/>
        <v>1</v>
      </c>
      <c r="N10" s="61">
        <f t="shared" si="3"/>
        <v>6.7466771353261201</v>
      </c>
      <c r="O10" s="61">
        <f t="shared" si="16"/>
        <v>18.5221248512388</v>
      </c>
      <c r="P10" s="129">
        <f t="shared" si="4"/>
        <v>20.548931776930399</v>
      </c>
      <c r="Q10" s="129">
        <f t="shared" si="5"/>
        <v>20.368048257580899</v>
      </c>
      <c r="R10" s="129">
        <f t="shared" si="6"/>
        <v>20.7310220272051</v>
      </c>
      <c r="S10" s="61">
        <f t="shared" si="7"/>
        <v>23.1010531032938</v>
      </c>
      <c r="T10" s="61">
        <f t="shared" si="1"/>
        <v>27.1110659485825</v>
      </c>
      <c r="U10" s="61">
        <f t="shared" si="17"/>
        <v>21.796637148018544</v>
      </c>
      <c r="V10" s="61"/>
      <c r="Y10" s="159" t="s">
        <v>46</v>
      </c>
      <c r="Z10" s="159" t="s">
        <v>68</v>
      </c>
      <c r="AA10" s="159" t="s">
        <v>163</v>
      </c>
      <c r="AB10" s="159">
        <f t="shared" si="8"/>
        <v>2</v>
      </c>
      <c r="AC10" s="164">
        <f t="shared" si="18"/>
        <v>17.5083426028921</v>
      </c>
      <c r="AD10" s="164">
        <f t="shared" si="9"/>
        <v>27.1110659485825</v>
      </c>
      <c r="AE10" s="159"/>
      <c r="AF10" s="159">
        <f t="shared" si="10"/>
        <v>7</v>
      </c>
      <c r="AG10" s="160">
        <f t="shared" si="11"/>
        <v>1712</v>
      </c>
      <c r="AH10" s="161">
        <f t="shared" si="12"/>
        <v>18.5221248512388</v>
      </c>
      <c r="AI10" s="161">
        <f t="shared" si="13"/>
        <v>17.6550338385685</v>
      </c>
      <c r="AJ10" s="161">
        <f t="shared" si="14"/>
        <v>19.420784242452701</v>
      </c>
      <c r="AK10" s="160">
        <f t="shared" si="15"/>
        <v>2</v>
      </c>
    </row>
    <row r="11" spans="1:37" x14ac:dyDescent="0.2">
      <c r="A11" s="62" t="s">
        <v>34</v>
      </c>
      <c r="B11" s="62" t="s">
        <v>59</v>
      </c>
      <c r="C11" s="62" t="s">
        <v>200</v>
      </c>
      <c r="D11" s="62"/>
      <c r="E11" s="62">
        <f t="shared" si="2"/>
        <v>25</v>
      </c>
      <c r="F11" s="128">
        <v>3161</v>
      </c>
      <c r="G11" s="129">
        <v>25.808295231874599</v>
      </c>
      <c r="H11" s="129">
        <v>24.9163561384979</v>
      </c>
      <c r="I11" s="129">
        <v>26.724006930628398</v>
      </c>
      <c r="J11" s="129"/>
      <c r="K11" s="129"/>
      <c r="L11" s="129"/>
      <c r="M11" s="60">
        <f t="shared" si="0"/>
        <v>1</v>
      </c>
      <c r="N11" s="61">
        <f t="shared" si="3"/>
        <v>6.7466771353261201</v>
      </c>
      <c r="O11" s="61">
        <f t="shared" si="16"/>
        <v>18.5221248512388</v>
      </c>
      <c r="P11" s="129">
        <f t="shared" si="4"/>
        <v>20.548931776930399</v>
      </c>
      <c r="Q11" s="129">
        <f t="shared" si="5"/>
        <v>20.368048257580899</v>
      </c>
      <c r="R11" s="129">
        <f t="shared" si="6"/>
        <v>20.7310220272051</v>
      </c>
      <c r="S11" s="61">
        <f t="shared" si="7"/>
        <v>23.1010531032938</v>
      </c>
      <c r="T11" s="61">
        <f t="shared" si="1"/>
        <v>27.1110659485825</v>
      </c>
      <c r="U11" s="61">
        <f t="shared" si="17"/>
        <v>21.358564215707073</v>
      </c>
      <c r="V11" s="61"/>
      <c r="Y11" s="159" t="s">
        <v>47</v>
      </c>
      <c r="Z11" s="159" t="s">
        <v>69</v>
      </c>
      <c r="AA11" s="159" t="s">
        <v>163</v>
      </c>
      <c r="AB11" s="159">
        <f t="shared" si="8"/>
        <v>1</v>
      </c>
      <c r="AC11" s="164">
        <f t="shared" si="18"/>
        <v>17.5083426028921</v>
      </c>
      <c r="AD11" s="164">
        <f t="shared" si="9"/>
        <v>27.1110659485825</v>
      </c>
      <c r="AE11" s="159"/>
      <c r="AF11" s="159">
        <f t="shared" si="10"/>
        <v>6</v>
      </c>
      <c r="AG11" s="160">
        <f t="shared" si="11"/>
        <v>787</v>
      </c>
      <c r="AH11" s="161">
        <f t="shared" si="12"/>
        <v>17.5083426028921</v>
      </c>
      <c r="AI11" s="161">
        <f t="shared" si="13"/>
        <v>16.306311772502699</v>
      </c>
      <c r="AJ11" s="161">
        <f t="shared" si="14"/>
        <v>18.775533914716402</v>
      </c>
      <c r="AK11" s="160">
        <f t="shared" si="15"/>
        <v>2</v>
      </c>
    </row>
    <row r="12" spans="1:37" x14ac:dyDescent="0.2">
      <c r="A12" s="62" t="s">
        <v>35</v>
      </c>
      <c r="B12" s="62" t="s">
        <v>60</v>
      </c>
      <c r="C12" s="62" t="s">
        <v>163</v>
      </c>
      <c r="D12" s="62"/>
      <c r="E12" s="62">
        <f t="shared" si="2"/>
        <v>17</v>
      </c>
      <c r="F12" s="128">
        <v>2623</v>
      </c>
      <c r="G12" s="129">
        <v>22.1612031091585</v>
      </c>
      <c r="H12" s="129">
        <v>21.321140264527902</v>
      </c>
      <c r="I12" s="129">
        <v>23.025880342030199</v>
      </c>
      <c r="J12" s="129"/>
      <c r="K12" s="129"/>
      <c r="L12" s="129"/>
      <c r="M12" s="60">
        <f t="shared" si="0"/>
        <v>1</v>
      </c>
      <c r="N12" s="61">
        <f t="shared" si="3"/>
        <v>6.7466771353261201</v>
      </c>
      <c r="O12" s="61">
        <f t="shared" si="16"/>
        <v>18.5221248512388</v>
      </c>
      <c r="P12" s="129">
        <f t="shared" si="4"/>
        <v>20.548931776930399</v>
      </c>
      <c r="Q12" s="129">
        <f t="shared" si="5"/>
        <v>20.368048257580899</v>
      </c>
      <c r="R12" s="129">
        <f t="shared" si="6"/>
        <v>20.7310220272051</v>
      </c>
      <c r="S12" s="61">
        <f t="shared" si="7"/>
        <v>23.1010531032938</v>
      </c>
      <c r="T12" s="61">
        <f t="shared" si="1"/>
        <v>27.1110659485825</v>
      </c>
      <c r="U12" s="61">
        <f t="shared" si="17"/>
        <v>21.796637148018544</v>
      </c>
      <c r="V12" s="61"/>
      <c r="Y12" s="159" t="s">
        <v>50</v>
      </c>
      <c r="Z12" s="159" t="s">
        <v>161</v>
      </c>
      <c r="AA12" s="159" t="s">
        <v>163</v>
      </c>
      <c r="AB12" s="159">
        <f t="shared" si="8"/>
        <v>4</v>
      </c>
      <c r="AC12" s="164">
        <f t="shared" si="18"/>
        <v>17.5083426028921</v>
      </c>
      <c r="AD12" s="164">
        <f t="shared" si="9"/>
        <v>27.1110659485825</v>
      </c>
      <c r="AE12" s="159"/>
      <c r="AF12" s="159">
        <f t="shared" si="10"/>
        <v>12</v>
      </c>
      <c r="AG12" s="160">
        <f t="shared" si="11"/>
        <v>959</v>
      </c>
      <c r="AH12" s="161">
        <f t="shared" si="12"/>
        <v>20.870511425462499</v>
      </c>
      <c r="AI12" s="161">
        <f t="shared" si="13"/>
        <v>19.5703259251868</v>
      </c>
      <c r="AJ12" s="161">
        <f t="shared" si="14"/>
        <v>22.234368877278801</v>
      </c>
      <c r="AK12" s="160">
        <f t="shared" si="15"/>
        <v>5</v>
      </c>
    </row>
    <row r="13" spans="1:37" x14ac:dyDescent="0.2">
      <c r="A13" s="62" t="s">
        <v>36</v>
      </c>
      <c r="B13" s="62" t="s">
        <v>61</v>
      </c>
      <c r="C13" s="62" t="s">
        <v>201</v>
      </c>
      <c r="D13" s="62"/>
      <c r="E13" s="62">
        <f t="shared" si="2"/>
        <v>1</v>
      </c>
      <c r="F13" s="128">
        <v>1203</v>
      </c>
      <c r="G13" s="129">
        <v>6.7466771353261201</v>
      </c>
      <c r="H13" s="129">
        <v>6.3707678903223899</v>
      </c>
      <c r="I13" s="129">
        <v>7.1389757098344298</v>
      </c>
      <c r="J13" s="129"/>
      <c r="K13" s="129"/>
      <c r="L13" s="129"/>
      <c r="M13" s="60">
        <f t="shared" si="0"/>
        <v>2</v>
      </c>
      <c r="N13" s="61">
        <f t="shared" si="3"/>
        <v>6.7466771353261201</v>
      </c>
      <c r="O13" s="61">
        <f t="shared" si="16"/>
        <v>18.5221248512388</v>
      </c>
      <c r="P13" s="129">
        <f t="shared" si="4"/>
        <v>20.548931776930399</v>
      </c>
      <c r="Q13" s="129">
        <f t="shared" si="5"/>
        <v>20.368048257580899</v>
      </c>
      <c r="R13" s="129">
        <f t="shared" si="6"/>
        <v>20.7310220272051</v>
      </c>
      <c r="S13" s="61">
        <f t="shared" si="7"/>
        <v>23.1010531032938</v>
      </c>
      <c r="T13" s="61">
        <f t="shared" si="1"/>
        <v>27.1110659485825</v>
      </c>
      <c r="U13" s="61">
        <f t="shared" si="17"/>
        <v>18.822083988223053</v>
      </c>
      <c r="V13" s="61"/>
      <c r="Y13" s="159" t="s">
        <v>53</v>
      </c>
      <c r="Z13" s="159" t="s">
        <v>162</v>
      </c>
      <c r="AA13" s="159" t="s">
        <v>163</v>
      </c>
      <c r="AB13" s="159">
        <f>RANK(AH13,$AH$6:$AH$13,1)</f>
        <v>5</v>
      </c>
      <c r="AC13" s="164">
        <f t="shared" si="18"/>
        <v>17.5083426028921</v>
      </c>
      <c r="AD13" s="164">
        <f t="shared" si="9"/>
        <v>27.1110659485825</v>
      </c>
      <c r="AE13" s="159"/>
      <c r="AF13" s="159">
        <f t="shared" si="10"/>
        <v>15</v>
      </c>
      <c r="AG13" s="160">
        <f t="shared" si="11"/>
        <v>5018</v>
      </c>
      <c r="AH13" s="161">
        <f t="shared" si="12"/>
        <v>21.7880248360905</v>
      </c>
      <c r="AI13" s="161">
        <f t="shared" si="13"/>
        <v>21.189308857019402</v>
      </c>
      <c r="AJ13" s="161">
        <f t="shared" si="14"/>
        <v>22.399367699057901</v>
      </c>
      <c r="AK13" s="160">
        <f t="shared" si="15"/>
        <v>1</v>
      </c>
    </row>
    <row r="14" spans="1:37" x14ac:dyDescent="0.2">
      <c r="A14" s="62" t="s">
        <v>37</v>
      </c>
      <c r="B14" s="62" t="s">
        <v>157</v>
      </c>
      <c r="C14" s="62" t="s">
        <v>201</v>
      </c>
      <c r="D14" s="62"/>
      <c r="E14" s="62">
        <f t="shared" si="2"/>
        <v>23</v>
      </c>
      <c r="F14" s="128">
        <v>5064</v>
      </c>
      <c r="G14" s="129">
        <v>23.945526763760199</v>
      </c>
      <c r="H14" s="129">
        <v>23.290499306882602</v>
      </c>
      <c r="I14" s="129">
        <v>24.6143050956201</v>
      </c>
      <c r="J14" s="129"/>
      <c r="K14" s="129"/>
      <c r="L14" s="129"/>
      <c r="M14" s="60">
        <f t="shared" si="0"/>
        <v>1</v>
      </c>
      <c r="N14" s="61">
        <f t="shared" si="3"/>
        <v>6.7466771353261201</v>
      </c>
      <c r="O14" s="61">
        <f t="shared" si="16"/>
        <v>18.5221248512388</v>
      </c>
      <c r="P14" s="129">
        <f t="shared" si="4"/>
        <v>20.548931776930399</v>
      </c>
      <c r="Q14" s="129">
        <f t="shared" si="5"/>
        <v>20.368048257580899</v>
      </c>
      <c r="R14" s="129">
        <f t="shared" si="6"/>
        <v>20.7310220272051</v>
      </c>
      <c r="S14" s="61">
        <f t="shared" si="7"/>
        <v>23.1010531032938</v>
      </c>
      <c r="T14" s="61">
        <f t="shared" si="1"/>
        <v>27.1110659485825</v>
      </c>
      <c r="U14" s="61">
        <f t="shared" si="17"/>
        <v>18.822083988223053</v>
      </c>
      <c r="V14" s="61"/>
      <c r="Y14" s="162" t="s">
        <v>29</v>
      </c>
      <c r="Z14" s="162" t="s">
        <v>55</v>
      </c>
      <c r="AA14" s="162" t="s">
        <v>201</v>
      </c>
      <c r="AB14" s="162">
        <f>RANK(AH14,$AH$14:$AH$22,1)</f>
        <v>6</v>
      </c>
      <c r="AC14" s="165">
        <f t="shared" ref="AC14:AC22" si="19">MIN($AH$14:$AH$22)</f>
        <v>6.7466771353261201</v>
      </c>
      <c r="AD14" s="165">
        <f>MAX($AH$14:$AH$22)</f>
        <v>23.945526763760199</v>
      </c>
      <c r="AE14" s="162"/>
      <c r="AF14" s="162">
        <f t="shared" si="10"/>
        <v>16</v>
      </c>
      <c r="AG14" s="167">
        <f t="shared" si="11"/>
        <v>1720</v>
      </c>
      <c r="AH14" s="165">
        <f t="shared" si="12"/>
        <v>21.9219984705583</v>
      </c>
      <c r="AI14" s="165">
        <f t="shared" si="13"/>
        <v>20.898107483248801</v>
      </c>
      <c r="AJ14" s="165">
        <f t="shared" si="14"/>
        <v>22.983077970128701</v>
      </c>
      <c r="AK14" s="167">
        <f t="shared" si="15"/>
        <v>1</v>
      </c>
    </row>
    <row r="15" spans="1:37" x14ac:dyDescent="0.2">
      <c r="A15" s="62" t="s">
        <v>38</v>
      </c>
      <c r="B15" s="62" t="s">
        <v>62</v>
      </c>
      <c r="C15" s="62" t="s">
        <v>201</v>
      </c>
      <c r="D15" s="62"/>
      <c r="E15" s="62">
        <f t="shared" si="2"/>
        <v>13</v>
      </c>
      <c r="F15" s="128">
        <v>1266</v>
      </c>
      <c r="G15" s="129">
        <v>21.026407573492801</v>
      </c>
      <c r="H15" s="129">
        <v>19.883976130057199</v>
      </c>
      <c r="I15" s="129">
        <v>22.217363819393</v>
      </c>
      <c r="J15" s="129"/>
      <c r="K15" s="129"/>
      <c r="L15" s="129"/>
      <c r="M15" s="60">
        <f t="shared" si="0"/>
        <v>5</v>
      </c>
      <c r="N15" s="61">
        <f t="shared" si="3"/>
        <v>6.7466771353261201</v>
      </c>
      <c r="O15" s="61">
        <f t="shared" si="16"/>
        <v>18.5221248512388</v>
      </c>
      <c r="P15" s="129">
        <f t="shared" si="4"/>
        <v>20.548931776930399</v>
      </c>
      <c r="Q15" s="129">
        <f t="shared" si="5"/>
        <v>20.368048257580899</v>
      </c>
      <c r="R15" s="129">
        <f t="shared" si="6"/>
        <v>20.7310220272051</v>
      </c>
      <c r="S15" s="61">
        <f t="shared" si="7"/>
        <v>23.1010531032938</v>
      </c>
      <c r="T15" s="61">
        <f t="shared" si="1"/>
        <v>27.1110659485825</v>
      </c>
      <c r="U15" s="61">
        <f t="shared" si="17"/>
        <v>18.822083988223053</v>
      </c>
      <c r="V15" s="61"/>
      <c r="Y15" s="162" t="s">
        <v>32</v>
      </c>
      <c r="Z15" s="162" t="s">
        <v>156</v>
      </c>
      <c r="AA15" s="162" t="s">
        <v>201</v>
      </c>
      <c r="AB15" s="162">
        <f>RANK(AH15,$AH$14:$AH$22,1)</f>
        <v>7</v>
      </c>
      <c r="AC15" s="165">
        <f t="shared" si="19"/>
        <v>6.7466771353261201</v>
      </c>
      <c r="AD15" s="165">
        <f t="shared" ref="AD15:AD22" si="20">MAX($AH$14:$AH$22)</f>
        <v>23.945526763760199</v>
      </c>
      <c r="AE15" s="162"/>
      <c r="AF15" s="162">
        <f t="shared" si="10"/>
        <v>21</v>
      </c>
      <c r="AG15" s="167">
        <f t="shared" si="11"/>
        <v>3308</v>
      </c>
      <c r="AH15" s="165">
        <f t="shared" si="12"/>
        <v>23.648841864455299</v>
      </c>
      <c r="AI15" s="165">
        <f t="shared" si="13"/>
        <v>22.849743313117401</v>
      </c>
      <c r="AJ15" s="165">
        <f t="shared" si="14"/>
        <v>24.4687531126994</v>
      </c>
      <c r="AK15" s="167">
        <f t="shared" si="15"/>
        <v>1</v>
      </c>
    </row>
    <row r="16" spans="1:37" x14ac:dyDescent="0.2">
      <c r="A16" s="62" t="s">
        <v>39</v>
      </c>
      <c r="B16" s="62" t="s">
        <v>158</v>
      </c>
      <c r="C16" s="62" t="s">
        <v>200</v>
      </c>
      <c r="D16" s="62"/>
      <c r="E16" s="62">
        <f t="shared" si="2"/>
        <v>14</v>
      </c>
      <c r="F16" s="128">
        <v>2686</v>
      </c>
      <c r="G16" s="129">
        <v>21.6403480502739</v>
      </c>
      <c r="H16" s="129">
        <v>20.8296148946385</v>
      </c>
      <c r="I16" s="129">
        <v>22.4745515183908</v>
      </c>
      <c r="J16" s="129"/>
      <c r="K16" s="129"/>
      <c r="L16" s="129"/>
      <c r="M16" s="60">
        <f t="shared" si="0"/>
        <v>1</v>
      </c>
      <c r="N16" s="61">
        <f t="shared" si="3"/>
        <v>6.7466771353261201</v>
      </c>
      <c r="O16" s="61">
        <f t="shared" si="16"/>
        <v>18.5221248512388</v>
      </c>
      <c r="P16" s="129">
        <f t="shared" si="4"/>
        <v>20.548931776930399</v>
      </c>
      <c r="Q16" s="129">
        <f t="shared" si="5"/>
        <v>20.368048257580899</v>
      </c>
      <c r="R16" s="129">
        <f t="shared" si="6"/>
        <v>20.7310220272051</v>
      </c>
      <c r="S16" s="61">
        <f t="shared" si="7"/>
        <v>23.1010531032938</v>
      </c>
      <c r="T16" s="61">
        <f t="shared" si="1"/>
        <v>27.1110659485825</v>
      </c>
      <c r="U16" s="61">
        <f t="shared" si="17"/>
        <v>21.358564215707073</v>
      </c>
      <c r="V16" s="61"/>
      <c r="Y16" s="162" t="s">
        <v>36</v>
      </c>
      <c r="Z16" s="162" t="s">
        <v>61</v>
      </c>
      <c r="AA16" s="162" t="s">
        <v>201</v>
      </c>
      <c r="AB16" s="162">
        <f>RANK(AH16,$AH$14:$AH$22,1)</f>
        <v>1</v>
      </c>
      <c r="AC16" s="165">
        <f t="shared" si="19"/>
        <v>6.7466771353261201</v>
      </c>
      <c r="AD16" s="165">
        <f t="shared" si="20"/>
        <v>23.945526763760199</v>
      </c>
      <c r="AE16" s="162"/>
      <c r="AF16" s="162">
        <f t="shared" si="10"/>
        <v>1</v>
      </c>
      <c r="AG16" s="167">
        <f t="shared" si="11"/>
        <v>1203</v>
      </c>
      <c r="AH16" s="165">
        <f t="shared" si="12"/>
        <v>6.7466771353261201</v>
      </c>
      <c r="AI16" s="165">
        <f t="shared" si="13"/>
        <v>6.3707678903223899</v>
      </c>
      <c r="AJ16" s="165">
        <f t="shared" si="14"/>
        <v>7.1389757098344298</v>
      </c>
      <c r="AK16" s="167">
        <f t="shared" si="15"/>
        <v>2</v>
      </c>
    </row>
    <row r="17" spans="1:37" x14ac:dyDescent="0.2">
      <c r="A17" s="62" t="s">
        <v>40</v>
      </c>
      <c r="B17" s="62" t="s">
        <v>63</v>
      </c>
      <c r="C17" s="62" t="s">
        <v>200</v>
      </c>
      <c r="D17" s="62"/>
      <c r="E17" s="62">
        <f t="shared" si="2"/>
        <v>8</v>
      </c>
      <c r="F17" s="128">
        <v>1215</v>
      </c>
      <c r="G17" s="129">
        <v>18.580822755773099</v>
      </c>
      <c r="H17" s="129">
        <v>17.550594742122801</v>
      </c>
      <c r="I17" s="129">
        <v>19.655740221261901</v>
      </c>
      <c r="J17" s="129"/>
      <c r="K17" s="129"/>
      <c r="L17" s="129"/>
      <c r="M17" s="60">
        <f t="shared" si="0"/>
        <v>2</v>
      </c>
      <c r="N17" s="61">
        <f t="shared" si="3"/>
        <v>6.7466771353261201</v>
      </c>
      <c r="O17" s="61">
        <f t="shared" si="16"/>
        <v>18.5221248512388</v>
      </c>
      <c r="P17" s="129">
        <f t="shared" si="4"/>
        <v>20.548931776930399</v>
      </c>
      <c r="Q17" s="129">
        <f t="shared" si="5"/>
        <v>20.368048257580899</v>
      </c>
      <c r="R17" s="129">
        <f t="shared" si="6"/>
        <v>20.7310220272051</v>
      </c>
      <c r="S17" s="61">
        <f t="shared" si="7"/>
        <v>23.1010531032938</v>
      </c>
      <c r="T17" s="61">
        <f t="shared" si="1"/>
        <v>27.1110659485825</v>
      </c>
      <c r="U17" s="61">
        <f t="shared" si="17"/>
        <v>21.358564215707073</v>
      </c>
      <c r="V17" s="61"/>
      <c r="Y17" s="162" t="s">
        <v>37</v>
      </c>
      <c r="Z17" s="162" t="s">
        <v>157</v>
      </c>
      <c r="AA17" s="162" t="s">
        <v>201</v>
      </c>
      <c r="AB17" s="162">
        <f t="shared" ref="AB17:AB22" si="21">RANK(AH17,$AH$14:$AH$22,1)</f>
        <v>9</v>
      </c>
      <c r="AC17" s="165">
        <f t="shared" si="19"/>
        <v>6.7466771353261201</v>
      </c>
      <c r="AD17" s="165">
        <f>MAX($AH$14:$AH$22)</f>
        <v>23.945526763760199</v>
      </c>
      <c r="AE17" s="162"/>
      <c r="AF17" s="162">
        <f t="shared" si="10"/>
        <v>23</v>
      </c>
      <c r="AG17" s="167">
        <f t="shared" si="11"/>
        <v>5064</v>
      </c>
      <c r="AH17" s="165">
        <f t="shared" si="12"/>
        <v>23.945526763760199</v>
      </c>
      <c r="AI17" s="165">
        <f t="shared" si="13"/>
        <v>23.290499306882602</v>
      </c>
      <c r="AJ17" s="165">
        <f t="shared" si="14"/>
        <v>24.6143050956201</v>
      </c>
      <c r="AK17" s="167">
        <f t="shared" si="15"/>
        <v>1</v>
      </c>
    </row>
    <row r="18" spans="1:37" x14ac:dyDescent="0.2">
      <c r="A18" s="62" t="s">
        <v>41</v>
      </c>
      <c r="B18" s="62" t="s">
        <v>64</v>
      </c>
      <c r="C18" s="62" t="s">
        <v>163</v>
      </c>
      <c r="D18" s="62"/>
      <c r="E18" s="62">
        <f t="shared" si="2"/>
        <v>20</v>
      </c>
      <c r="F18" s="128">
        <v>2062</v>
      </c>
      <c r="G18" s="129">
        <v>23.1010531032938</v>
      </c>
      <c r="H18" s="129">
        <v>22.114609650603899</v>
      </c>
      <c r="I18" s="129">
        <v>24.120162735227701</v>
      </c>
      <c r="J18" s="129"/>
      <c r="K18" s="129"/>
      <c r="L18" s="129"/>
      <c r="M18" s="60">
        <f t="shared" si="0"/>
        <v>1</v>
      </c>
      <c r="N18" s="61">
        <f t="shared" si="3"/>
        <v>6.7466771353261201</v>
      </c>
      <c r="O18" s="61">
        <f t="shared" si="16"/>
        <v>18.5221248512388</v>
      </c>
      <c r="P18" s="129">
        <f t="shared" si="4"/>
        <v>20.548931776930399</v>
      </c>
      <c r="Q18" s="129">
        <f t="shared" si="5"/>
        <v>20.368048257580899</v>
      </c>
      <c r="R18" s="129">
        <f t="shared" si="6"/>
        <v>20.7310220272051</v>
      </c>
      <c r="S18" s="61">
        <f t="shared" si="7"/>
        <v>23.1010531032938</v>
      </c>
      <c r="T18" s="61">
        <f t="shared" si="1"/>
        <v>27.1110659485825</v>
      </c>
      <c r="U18" s="61">
        <f t="shared" si="17"/>
        <v>21.796637148018544</v>
      </c>
      <c r="V18" s="61"/>
      <c r="Y18" s="162" t="s">
        <v>38</v>
      </c>
      <c r="Z18" s="162" t="s">
        <v>62</v>
      </c>
      <c r="AA18" s="162" t="s">
        <v>201</v>
      </c>
      <c r="AB18" s="162">
        <f t="shared" si="21"/>
        <v>5</v>
      </c>
      <c r="AC18" s="165">
        <f t="shared" si="19"/>
        <v>6.7466771353261201</v>
      </c>
      <c r="AD18" s="165">
        <f t="shared" si="20"/>
        <v>23.945526763760199</v>
      </c>
      <c r="AE18" s="162"/>
      <c r="AF18" s="162">
        <f t="shared" si="10"/>
        <v>13</v>
      </c>
      <c r="AG18" s="167">
        <f t="shared" si="11"/>
        <v>1266</v>
      </c>
      <c r="AH18" s="165">
        <f t="shared" si="12"/>
        <v>21.026407573492801</v>
      </c>
      <c r="AI18" s="165">
        <f t="shared" si="13"/>
        <v>19.883976130057199</v>
      </c>
      <c r="AJ18" s="165">
        <f t="shared" si="14"/>
        <v>22.217363819393</v>
      </c>
      <c r="AK18" s="167">
        <f t="shared" si="15"/>
        <v>5</v>
      </c>
    </row>
    <row r="19" spans="1:37" x14ac:dyDescent="0.2">
      <c r="A19" s="62" t="s">
        <v>42</v>
      </c>
      <c r="B19" s="62" t="s">
        <v>65</v>
      </c>
      <c r="C19" s="62" t="s">
        <v>200</v>
      </c>
      <c r="D19" s="62"/>
      <c r="E19" s="62">
        <f t="shared" si="2"/>
        <v>19</v>
      </c>
      <c r="F19" s="128">
        <v>980</v>
      </c>
      <c r="G19" s="129">
        <v>22.977725674091399</v>
      </c>
      <c r="H19" s="129">
        <v>21.561441318645301</v>
      </c>
      <c r="I19" s="129">
        <v>24.462600654589199</v>
      </c>
      <c r="J19" s="129"/>
      <c r="K19" s="129"/>
      <c r="L19" s="129"/>
      <c r="M19" s="60">
        <f t="shared" si="0"/>
        <v>1</v>
      </c>
      <c r="N19" s="61">
        <f t="shared" si="3"/>
        <v>6.7466771353261201</v>
      </c>
      <c r="O19" s="61">
        <f t="shared" si="16"/>
        <v>18.5221248512388</v>
      </c>
      <c r="P19" s="129">
        <f t="shared" si="4"/>
        <v>20.548931776930399</v>
      </c>
      <c r="Q19" s="129">
        <f t="shared" si="5"/>
        <v>20.368048257580899</v>
      </c>
      <c r="R19" s="129">
        <f t="shared" si="6"/>
        <v>20.7310220272051</v>
      </c>
      <c r="S19" s="61">
        <f t="shared" si="7"/>
        <v>23.1010531032938</v>
      </c>
      <c r="T19" s="61">
        <f t="shared" si="1"/>
        <v>27.1110659485825</v>
      </c>
      <c r="U19" s="61">
        <f t="shared" si="17"/>
        <v>21.358564215707073</v>
      </c>
      <c r="V19" s="61"/>
      <c r="Y19" s="162" t="s">
        <v>43</v>
      </c>
      <c r="Z19" s="162" t="s">
        <v>159</v>
      </c>
      <c r="AA19" s="162" t="s">
        <v>201</v>
      </c>
      <c r="AB19" s="162">
        <f t="shared" si="21"/>
        <v>8</v>
      </c>
      <c r="AC19" s="165">
        <f t="shared" si="19"/>
        <v>6.7466771353261201</v>
      </c>
      <c r="AD19" s="165">
        <f t="shared" si="20"/>
        <v>23.945526763760199</v>
      </c>
      <c r="AE19" s="162"/>
      <c r="AF19" s="162">
        <f t="shared" si="10"/>
        <v>22</v>
      </c>
      <c r="AG19" s="167">
        <f t="shared" si="11"/>
        <v>1975</v>
      </c>
      <c r="AH19" s="165">
        <f t="shared" si="12"/>
        <v>23.8757253384913</v>
      </c>
      <c r="AI19" s="165">
        <f t="shared" si="13"/>
        <v>22.834235015459601</v>
      </c>
      <c r="AJ19" s="165">
        <f t="shared" si="14"/>
        <v>24.952470119386799</v>
      </c>
      <c r="AK19" s="167">
        <f t="shared" si="15"/>
        <v>1</v>
      </c>
    </row>
    <row r="20" spans="1:37" x14ac:dyDescent="0.2">
      <c r="A20" s="62" t="s">
        <v>43</v>
      </c>
      <c r="B20" s="62" t="s">
        <v>159</v>
      </c>
      <c r="C20" s="62" t="s">
        <v>201</v>
      </c>
      <c r="D20" s="62"/>
      <c r="E20" s="62">
        <f t="shared" si="2"/>
        <v>22</v>
      </c>
      <c r="F20" s="128">
        <v>1975</v>
      </c>
      <c r="G20" s="129">
        <v>23.8757253384913</v>
      </c>
      <c r="H20" s="129">
        <v>22.834235015459601</v>
      </c>
      <c r="I20" s="129">
        <v>24.952470119386799</v>
      </c>
      <c r="J20" s="129"/>
      <c r="K20" s="129"/>
      <c r="L20" s="129"/>
      <c r="M20" s="60">
        <f t="shared" si="0"/>
        <v>1</v>
      </c>
      <c r="N20" s="61">
        <f t="shared" si="3"/>
        <v>6.7466771353261201</v>
      </c>
      <c r="O20" s="61">
        <f t="shared" si="16"/>
        <v>18.5221248512388</v>
      </c>
      <c r="P20" s="129">
        <f t="shared" si="4"/>
        <v>20.548931776930399</v>
      </c>
      <c r="Q20" s="129">
        <f t="shared" si="5"/>
        <v>20.368048257580899</v>
      </c>
      <c r="R20" s="129">
        <f t="shared" si="6"/>
        <v>20.7310220272051</v>
      </c>
      <c r="S20" s="61">
        <f t="shared" si="7"/>
        <v>23.1010531032938</v>
      </c>
      <c r="T20" s="61">
        <f t="shared" si="1"/>
        <v>27.1110659485825</v>
      </c>
      <c r="U20" s="61">
        <f t="shared" si="17"/>
        <v>18.822083988223053</v>
      </c>
      <c r="V20" s="61"/>
      <c r="Y20" s="162" t="s">
        <v>48</v>
      </c>
      <c r="Z20" s="162" t="s">
        <v>160</v>
      </c>
      <c r="AA20" s="162" t="s">
        <v>201</v>
      </c>
      <c r="AB20" s="162">
        <f t="shared" si="21"/>
        <v>3</v>
      </c>
      <c r="AC20" s="165">
        <f t="shared" si="19"/>
        <v>6.7466771353261201</v>
      </c>
      <c r="AD20" s="165">
        <f t="shared" si="20"/>
        <v>23.945526763760199</v>
      </c>
      <c r="AE20" s="162"/>
      <c r="AF20" s="162">
        <f t="shared" si="10"/>
        <v>3</v>
      </c>
      <c r="AG20" s="167">
        <f t="shared" si="11"/>
        <v>824</v>
      </c>
      <c r="AH20" s="165">
        <f t="shared" si="12"/>
        <v>15.538374504997201</v>
      </c>
      <c r="AI20" s="165">
        <f t="shared" si="13"/>
        <v>14.4953975535203</v>
      </c>
      <c r="AJ20" s="165">
        <f t="shared" si="14"/>
        <v>16.636568934175202</v>
      </c>
      <c r="AK20" s="167">
        <f t="shared" si="15"/>
        <v>2</v>
      </c>
    </row>
    <row r="21" spans="1:37" x14ac:dyDescent="0.2">
      <c r="A21" s="62" t="s">
        <v>44</v>
      </c>
      <c r="B21" s="62" t="s">
        <v>66</v>
      </c>
      <c r="C21" s="62" t="s">
        <v>200</v>
      </c>
      <c r="D21" s="62"/>
      <c r="E21" s="62">
        <f t="shared" si="2"/>
        <v>4</v>
      </c>
      <c r="F21" s="128">
        <v>570</v>
      </c>
      <c r="G21" s="129">
        <v>15.8730158730159</v>
      </c>
      <c r="H21" s="129">
        <v>14.596492086431001</v>
      </c>
      <c r="I21" s="129">
        <v>17.231270977375999</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2</v>
      </c>
      <c r="N21" s="61">
        <f t="shared" si="3"/>
        <v>6.7466771353261201</v>
      </c>
      <c r="O21" s="61">
        <f t="shared" si="16"/>
        <v>18.5221248512388</v>
      </c>
      <c r="P21" s="129">
        <f t="shared" si="4"/>
        <v>20.548931776930399</v>
      </c>
      <c r="Q21" s="129">
        <f t="shared" si="5"/>
        <v>20.368048257580899</v>
      </c>
      <c r="R21" s="129">
        <f t="shared" si="6"/>
        <v>20.7310220272051</v>
      </c>
      <c r="S21" s="61">
        <f t="shared" si="7"/>
        <v>23.1010531032938</v>
      </c>
      <c r="T21" s="61">
        <f t="shared" si="1"/>
        <v>27.1110659485825</v>
      </c>
      <c r="U21" s="61">
        <f t="shared" si="17"/>
        <v>21.358564215707073</v>
      </c>
      <c r="V21" s="61"/>
      <c r="Y21" s="162" t="s">
        <v>52</v>
      </c>
      <c r="Z21" s="162" t="s">
        <v>72</v>
      </c>
      <c r="AA21" s="162" t="s">
        <v>201</v>
      </c>
      <c r="AB21" s="162">
        <f t="shared" si="21"/>
        <v>4</v>
      </c>
      <c r="AC21" s="165">
        <f t="shared" si="19"/>
        <v>6.7466771353261201</v>
      </c>
      <c r="AD21" s="165">
        <f t="shared" si="20"/>
        <v>23.945526763760199</v>
      </c>
      <c r="AE21" s="162"/>
      <c r="AF21" s="162">
        <f t="shared" si="10"/>
        <v>11</v>
      </c>
      <c r="AG21" s="167">
        <f t="shared" si="11"/>
        <v>807</v>
      </c>
      <c r="AH21" s="165">
        <f t="shared" si="12"/>
        <v>20.332577475434601</v>
      </c>
      <c r="AI21" s="165">
        <f t="shared" si="13"/>
        <v>18.9537510545846</v>
      </c>
      <c r="AJ21" s="165">
        <f t="shared" si="14"/>
        <v>21.785189105502099</v>
      </c>
      <c r="AK21" s="167">
        <f t="shared" si="15"/>
        <v>5</v>
      </c>
    </row>
    <row r="22" spans="1:37" x14ac:dyDescent="0.2">
      <c r="A22" s="62" t="s">
        <v>45</v>
      </c>
      <c r="B22" s="62" t="s">
        <v>67</v>
      </c>
      <c r="C22" s="62" t="s">
        <v>163</v>
      </c>
      <c r="D22" s="62"/>
      <c r="E22" s="62">
        <f t="shared" si="2"/>
        <v>10</v>
      </c>
      <c r="F22" s="128">
        <v>1425</v>
      </c>
      <c r="G22" s="129">
        <v>19.8136818687431</v>
      </c>
      <c r="H22" s="129">
        <v>18.7981675692109</v>
      </c>
      <c r="I22" s="129">
        <v>20.869798441443301</v>
      </c>
      <c r="J22" s="129"/>
      <c r="K22" s="129"/>
      <c r="L22" s="129"/>
      <c r="M22" s="60">
        <f t="shared" si="0"/>
        <v>5</v>
      </c>
      <c r="N22" s="61">
        <f t="shared" si="3"/>
        <v>6.7466771353261201</v>
      </c>
      <c r="O22" s="61">
        <f t="shared" si="16"/>
        <v>18.5221248512388</v>
      </c>
      <c r="P22" s="129">
        <f t="shared" si="4"/>
        <v>20.548931776930399</v>
      </c>
      <c r="Q22" s="129">
        <f t="shared" si="5"/>
        <v>20.368048257580899</v>
      </c>
      <c r="R22" s="129">
        <f t="shared" si="6"/>
        <v>20.7310220272051</v>
      </c>
      <c r="S22" s="61">
        <f t="shared" si="7"/>
        <v>23.1010531032938</v>
      </c>
      <c r="T22" s="61">
        <f t="shared" si="1"/>
        <v>27.1110659485825</v>
      </c>
      <c r="U22" s="61">
        <f>VLOOKUP(C22,$C$43:$I$46,5,FALSE)</f>
        <v>21.796637148018544</v>
      </c>
      <c r="V22" s="61"/>
      <c r="Y22" s="162" t="s">
        <v>54</v>
      </c>
      <c r="Z22" s="162" t="s">
        <v>73</v>
      </c>
      <c r="AA22" s="162" t="s">
        <v>201</v>
      </c>
      <c r="AB22" s="162">
        <f t="shared" si="21"/>
        <v>2</v>
      </c>
      <c r="AC22" s="165">
        <f t="shared" si="19"/>
        <v>6.7466771353261201</v>
      </c>
      <c r="AD22" s="165">
        <f t="shared" si="20"/>
        <v>23.945526763760199</v>
      </c>
      <c r="AE22" s="162"/>
      <c r="AF22" s="162">
        <f t="shared" si="10"/>
        <v>2</v>
      </c>
      <c r="AG22" s="167">
        <f t="shared" si="11"/>
        <v>438</v>
      </c>
      <c r="AH22" s="165">
        <f t="shared" si="12"/>
        <v>7.9912424740011003</v>
      </c>
      <c r="AI22" s="165">
        <f t="shared" si="13"/>
        <v>7.2602698353156097</v>
      </c>
      <c r="AJ22" s="165">
        <f t="shared" si="14"/>
        <v>8.7758665092719408</v>
      </c>
      <c r="AK22" s="167">
        <f t="shared" si="15"/>
        <v>2</v>
      </c>
    </row>
    <row r="23" spans="1:37" x14ac:dyDescent="0.2">
      <c r="A23" s="62" t="s">
        <v>46</v>
      </c>
      <c r="B23" s="62" t="s">
        <v>68</v>
      </c>
      <c r="C23" s="62" t="s">
        <v>163</v>
      </c>
      <c r="D23" s="62"/>
      <c r="E23" s="62">
        <f t="shared" si="2"/>
        <v>7</v>
      </c>
      <c r="F23" s="128">
        <v>1712</v>
      </c>
      <c r="G23" s="129">
        <v>18.5221248512388</v>
      </c>
      <c r="H23" s="129">
        <v>17.6550338385685</v>
      </c>
      <c r="I23" s="129">
        <v>19.420784242452701</v>
      </c>
      <c r="J23" s="129"/>
      <c r="K23" s="129"/>
      <c r="L23" s="129"/>
      <c r="M23" s="60">
        <f t="shared" si="0"/>
        <v>2</v>
      </c>
      <c r="N23" s="61">
        <f t="shared" si="3"/>
        <v>6.7466771353261201</v>
      </c>
      <c r="O23" s="61">
        <f t="shared" si="16"/>
        <v>18.5221248512388</v>
      </c>
      <c r="P23" s="129">
        <f t="shared" si="4"/>
        <v>20.548931776930399</v>
      </c>
      <c r="Q23" s="129">
        <f t="shared" si="5"/>
        <v>20.368048257580899</v>
      </c>
      <c r="R23" s="129">
        <f t="shared" si="6"/>
        <v>20.7310220272051</v>
      </c>
      <c r="S23" s="61">
        <f t="shared" si="7"/>
        <v>23.1010531032938</v>
      </c>
      <c r="T23" s="61">
        <f t="shared" si="1"/>
        <v>27.1110659485825</v>
      </c>
      <c r="U23" s="61">
        <f t="shared" si="17"/>
        <v>21.796637148018544</v>
      </c>
      <c r="V23" s="61"/>
      <c r="Y23" s="163" t="s">
        <v>30</v>
      </c>
      <c r="Z23" s="163" t="s">
        <v>56</v>
      </c>
      <c r="AA23" s="163" t="s">
        <v>200</v>
      </c>
      <c r="AB23" s="163">
        <f>RANK(AH23,$AH$23:$AH$31,1)</f>
        <v>6</v>
      </c>
      <c r="AC23" s="166">
        <f>MIN($AH$23:$AH$31)</f>
        <v>15.8730158730159</v>
      </c>
      <c r="AD23" s="166">
        <f>MAX($AH$23:$AH$31)</f>
        <v>25.808295231874599</v>
      </c>
      <c r="AE23" s="163"/>
      <c r="AF23" s="163">
        <f t="shared" si="10"/>
        <v>18</v>
      </c>
      <c r="AG23" s="168">
        <f t="shared" si="11"/>
        <v>2050</v>
      </c>
      <c r="AH23" s="166">
        <f t="shared" si="12"/>
        <v>22.3555070883315</v>
      </c>
      <c r="AI23" s="166">
        <f t="shared" si="13"/>
        <v>21.398139786136301</v>
      </c>
      <c r="AJ23" s="166">
        <f t="shared" si="14"/>
        <v>23.344672052669701</v>
      </c>
      <c r="AK23" s="168">
        <f t="shared" si="15"/>
        <v>1</v>
      </c>
    </row>
    <row r="24" spans="1:37" x14ac:dyDescent="0.2">
      <c r="A24" s="62" t="s">
        <v>47</v>
      </c>
      <c r="B24" s="62" t="s">
        <v>69</v>
      </c>
      <c r="C24" s="62" t="s">
        <v>163</v>
      </c>
      <c r="D24" s="62"/>
      <c r="E24" s="62">
        <f t="shared" si="2"/>
        <v>6</v>
      </c>
      <c r="F24" s="128">
        <v>787</v>
      </c>
      <c r="G24" s="129">
        <v>17.5083426028921</v>
      </c>
      <c r="H24" s="129">
        <v>16.306311772502699</v>
      </c>
      <c r="I24" s="129">
        <v>18.775533914716402</v>
      </c>
      <c r="J24" s="129"/>
      <c r="K24" s="129"/>
      <c r="L24" s="129"/>
      <c r="M24" s="60">
        <f t="shared" si="0"/>
        <v>2</v>
      </c>
      <c r="N24" s="61">
        <f t="shared" si="3"/>
        <v>6.7466771353261201</v>
      </c>
      <c r="O24" s="61">
        <f t="shared" si="16"/>
        <v>18.5221248512388</v>
      </c>
      <c r="P24" s="129">
        <f t="shared" si="4"/>
        <v>20.548931776930399</v>
      </c>
      <c r="Q24" s="129">
        <f t="shared" si="5"/>
        <v>20.368048257580899</v>
      </c>
      <c r="R24" s="129">
        <f t="shared" si="6"/>
        <v>20.7310220272051</v>
      </c>
      <c r="S24" s="61">
        <f t="shared" si="7"/>
        <v>23.1010531032938</v>
      </c>
      <c r="T24" s="61">
        <f t="shared" si="1"/>
        <v>27.1110659485825</v>
      </c>
      <c r="U24" s="61">
        <f t="shared" si="17"/>
        <v>21.796637148018544</v>
      </c>
      <c r="V24" s="61"/>
      <c r="Y24" s="163" t="s">
        <v>31</v>
      </c>
      <c r="Z24" s="163" t="s">
        <v>57</v>
      </c>
      <c r="AA24" s="163" t="s">
        <v>200</v>
      </c>
      <c r="AB24" s="163">
        <f t="shared" ref="AB24:AB31" si="22">RANK(AH24,$AH$23:$AH$31,1)</f>
        <v>4</v>
      </c>
      <c r="AC24" s="166">
        <f t="shared" ref="AC24:AC31" si="23">MIN($AH$23:$AH$31)</f>
        <v>15.8730158730159</v>
      </c>
      <c r="AD24" s="166">
        <f t="shared" ref="AD24:AD31" si="24">MAX($AH$23:$AH$31)</f>
        <v>25.808295231874599</v>
      </c>
      <c r="AE24" s="163"/>
      <c r="AF24" s="163">
        <f t="shared" si="10"/>
        <v>9</v>
      </c>
      <c r="AG24" s="168">
        <f t="shared" si="11"/>
        <v>2065</v>
      </c>
      <c r="AH24" s="166">
        <f t="shared" si="12"/>
        <v>19.808153477218202</v>
      </c>
      <c r="AI24" s="166">
        <f t="shared" si="13"/>
        <v>18.9629288746649</v>
      </c>
      <c r="AJ24" s="166">
        <f t="shared" si="14"/>
        <v>20.681347073818401</v>
      </c>
      <c r="AK24" s="168">
        <f t="shared" si="15"/>
        <v>5</v>
      </c>
    </row>
    <row r="25" spans="1:37" x14ac:dyDescent="0.2">
      <c r="A25" s="62" t="s">
        <v>48</v>
      </c>
      <c r="B25" s="62" t="s">
        <v>160</v>
      </c>
      <c r="C25" s="62" t="s">
        <v>201</v>
      </c>
      <c r="D25" s="62"/>
      <c r="E25" s="62">
        <f t="shared" si="2"/>
        <v>3</v>
      </c>
      <c r="F25" s="128">
        <v>824</v>
      </c>
      <c r="G25" s="129">
        <v>15.538374504997201</v>
      </c>
      <c r="H25" s="129">
        <v>14.4953975535203</v>
      </c>
      <c r="I25" s="129">
        <v>16.636568934175202</v>
      </c>
      <c r="J25" s="129"/>
      <c r="K25" s="129"/>
      <c r="L25" s="129"/>
      <c r="M25" s="60">
        <f t="shared" si="0"/>
        <v>2</v>
      </c>
      <c r="N25" s="61">
        <f t="shared" si="3"/>
        <v>6.7466771353261201</v>
      </c>
      <c r="O25" s="61">
        <f t="shared" si="16"/>
        <v>18.5221248512388</v>
      </c>
      <c r="P25" s="129">
        <f t="shared" si="4"/>
        <v>20.548931776930399</v>
      </c>
      <c r="Q25" s="129">
        <f t="shared" si="5"/>
        <v>20.368048257580899</v>
      </c>
      <c r="R25" s="129">
        <f t="shared" si="6"/>
        <v>20.7310220272051</v>
      </c>
      <c r="S25" s="61">
        <f t="shared" si="7"/>
        <v>23.1010531032938</v>
      </c>
      <c r="T25" s="61">
        <f t="shared" si="1"/>
        <v>27.1110659485825</v>
      </c>
      <c r="U25" s="61">
        <f t="shared" si="17"/>
        <v>18.822083988223053</v>
      </c>
      <c r="V25" s="61"/>
      <c r="Y25" s="163" t="s">
        <v>34</v>
      </c>
      <c r="Z25" s="163" t="s">
        <v>59</v>
      </c>
      <c r="AA25" s="163" t="s">
        <v>200</v>
      </c>
      <c r="AB25" s="163">
        <f t="shared" si="22"/>
        <v>9</v>
      </c>
      <c r="AC25" s="166">
        <f t="shared" si="23"/>
        <v>15.8730158730159</v>
      </c>
      <c r="AD25" s="166">
        <f t="shared" si="24"/>
        <v>25.808295231874599</v>
      </c>
      <c r="AE25" s="163"/>
      <c r="AF25" s="163">
        <f t="shared" si="10"/>
        <v>25</v>
      </c>
      <c r="AG25" s="168">
        <f t="shared" si="11"/>
        <v>3161</v>
      </c>
      <c r="AH25" s="166">
        <f t="shared" si="12"/>
        <v>25.808295231874599</v>
      </c>
      <c r="AI25" s="166">
        <f t="shared" si="13"/>
        <v>24.9163561384979</v>
      </c>
      <c r="AJ25" s="166">
        <f t="shared" si="14"/>
        <v>26.724006930628398</v>
      </c>
      <c r="AK25" s="168">
        <f t="shared" si="15"/>
        <v>1</v>
      </c>
    </row>
    <row r="26" spans="1:37" x14ac:dyDescent="0.2">
      <c r="A26" s="62" t="s">
        <v>49</v>
      </c>
      <c r="B26" s="62" t="s">
        <v>70</v>
      </c>
      <c r="C26" s="62" t="s">
        <v>200</v>
      </c>
      <c r="D26" s="62"/>
      <c r="E26" s="62">
        <f t="shared" si="2"/>
        <v>5</v>
      </c>
      <c r="F26" s="128">
        <v>1330</v>
      </c>
      <c r="G26" s="129">
        <v>17.121524201853799</v>
      </c>
      <c r="H26" s="129">
        <v>16.2136086482239</v>
      </c>
      <c r="I26" s="129">
        <v>18.067042945122001</v>
      </c>
      <c r="J26" s="129"/>
      <c r="K26" s="129"/>
      <c r="L26" s="129"/>
      <c r="M26" s="60">
        <f t="shared" si="0"/>
        <v>2</v>
      </c>
      <c r="N26" s="61">
        <f t="shared" si="3"/>
        <v>6.7466771353261201</v>
      </c>
      <c r="O26" s="61">
        <f t="shared" si="16"/>
        <v>18.5221248512388</v>
      </c>
      <c r="P26" s="129">
        <f t="shared" si="4"/>
        <v>20.548931776930399</v>
      </c>
      <c r="Q26" s="129">
        <f t="shared" si="5"/>
        <v>20.368048257580899</v>
      </c>
      <c r="R26" s="129">
        <f t="shared" si="6"/>
        <v>20.7310220272051</v>
      </c>
      <c r="S26" s="61">
        <f t="shared" si="7"/>
        <v>23.1010531032938</v>
      </c>
      <c r="T26" s="61">
        <f t="shared" si="1"/>
        <v>27.1110659485825</v>
      </c>
      <c r="U26" s="61">
        <f t="shared" si="17"/>
        <v>21.358564215707073</v>
      </c>
      <c r="V26" s="61"/>
      <c r="Y26" s="163" t="s">
        <v>39</v>
      </c>
      <c r="Z26" s="163" t="s">
        <v>158</v>
      </c>
      <c r="AA26" s="163" t="s">
        <v>200</v>
      </c>
      <c r="AB26" s="163">
        <f t="shared" si="22"/>
        <v>5</v>
      </c>
      <c r="AC26" s="166">
        <f t="shared" si="23"/>
        <v>15.8730158730159</v>
      </c>
      <c r="AD26" s="166">
        <f t="shared" si="24"/>
        <v>25.808295231874599</v>
      </c>
      <c r="AE26" s="163"/>
      <c r="AF26" s="163">
        <f t="shared" si="10"/>
        <v>14</v>
      </c>
      <c r="AG26" s="168">
        <f t="shared" si="11"/>
        <v>2686</v>
      </c>
      <c r="AH26" s="166">
        <f t="shared" si="12"/>
        <v>21.6403480502739</v>
      </c>
      <c r="AI26" s="166">
        <f t="shared" si="13"/>
        <v>20.8296148946385</v>
      </c>
      <c r="AJ26" s="166">
        <f t="shared" si="14"/>
        <v>22.4745515183908</v>
      </c>
      <c r="AK26" s="168">
        <f t="shared" si="15"/>
        <v>1</v>
      </c>
    </row>
    <row r="27" spans="1:37" x14ac:dyDescent="0.2">
      <c r="A27" s="62" t="s">
        <v>50</v>
      </c>
      <c r="B27" s="62" t="s">
        <v>161</v>
      </c>
      <c r="C27" s="62" t="s">
        <v>163</v>
      </c>
      <c r="D27" s="62"/>
      <c r="E27" s="62">
        <f t="shared" si="2"/>
        <v>12</v>
      </c>
      <c r="F27" s="128">
        <v>959</v>
      </c>
      <c r="G27" s="129">
        <v>20.870511425462499</v>
      </c>
      <c r="H27" s="129">
        <v>19.5703259251868</v>
      </c>
      <c r="I27" s="129">
        <v>22.234368877278801</v>
      </c>
      <c r="J27" s="129"/>
      <c r="K27" s="129"/>
      <c r="L27" s="129"/>
      <c r="M27" s="60">
        <f t="shared" si="0"/>
        <v>5</v>
      </c>
      <c r="N27" s="61">
        <f t="shared" si="3"/>
        <v>6.7466771353261201</v>
      </c>
      <c r="O27" s="61">
        <f t="shared" si="16"/>
        <v>18.5221248512388</v>
      </c>
      <c r="P27" s="129">
        <f t="shared" si="4"/>
        <v>20.548931776930399</v>
      </c>
      <c r="Q27" s="129">
        <f t="shared" si="5"/>
        <v>20.368048257580899</v>
      </c>
      <c r="R27" s="129">
        <f t="shared" si="6"/>
        <v>20.7310220272051</v>
      </c>
      <c r="S27" s="61">
        <f t="shared" si="7"/>
        <v>23.1010531032938</v>
      </c>
      <c r="T27" s="61">
        <f t="shared" si="1"/>
        <v>27.1110659485825</v>
      </c>
      <c r="U27" s="61">
        <f t="shared" si="17"/>
        <v>21.796637148018544</v>
      </c>
      <c r="V27" s="61"/>
      <c r="Y27" s="163" t="s">
        <v>40</v>
      </c>
      <c r="Z27" s="163" t="s">
        <v>63</v>
      </c>
      <c r="AA27" s="163" t="s">
        <v>200</v>
      </c>
      <c r="AB27" s="163">
        <f t="shared" si="22"/>
        <v>3</v>
      </c>
      <c r="AC27" s="166">
        <f t="shared" si="23"/>
        <v>15.8730158730159</v>
      </c>
      <c r="AD27" s="166">
        <f t="shared" si="24"/>
        <v>25.808295231874599</v>
      </c>
      <c r="AE27" s="163"/>
      <c r="AF27" s="163">
        <f t="shared" si="10"/>
        <v>8</v>
      </c>
      <c r="AG27" s="168">
        <f t="shared" si="11"/>
        <v>1215</v>
      </c>
      <c r="AH27" s="166">
        <f t="shared" si="12"/>
        <v>18.580822755773099</v>
      </c>
      <c r="AI27" s="166">
        <f t="shared" si="13"/>
        <v>17.550594742122801</v>
      </c>
      <c r="AJ27" s="166">
        <f t="shared" si="14"/>
        <v>19.655740221261901</v>
      </c>
      <c r="AK27" s="168">
        <f t="shared" si="15"/>
        <v>2</v>
      </c>
    </row>
    <row r="28" spans="1:37" x14ac:dyDescent="0.2">
      <c r="A28" s="62" t="s">
        <v>51</v>
      </c>
      <c r="B28" s="62" t="s">
        <v>71</v>
      </c>
      <c r="C28" s="62" t="s">
        <v>200</v>
      </c>
      <c r="D28" s="62"/>
      <c r="E28" s="62">
        <f t="shared" si="2"/>
        <v>24</v>
      </c>
      <c r="F28" s="128">
        <v>1045</v>
      </c>
      <c r="G28" s="129">
        <v>24.364653765446501</v>
      </c>
      <c r="H28" s="129">
        <v>22.9096106739877</v>
      </c>
      <c r="I28" s="129">
        <v>25.887880927620699</v>
      </c>
      <c r="J28" s="129"/>
      <c r="K28" s="129"/>
      <c r="L28" s="129"/>
      <c r="M28" s="60">
        <f t="shared" si="0"/>
        <v>1</v>
      </c>
      <c r="N28" s="61">
        <f t="shared" si="3"/>
        <v>6.7466771353261201</v>
      </c>
      <c r="O28" s="61">
        <f t="shared" si="16"/>
        <v>18.5221248512388</v>
      </c>
      <c r="P28" s="129">
        <f t="shared" si="4"/>
        <v>20.548931776930399</v>
      </c>
      <c r="Q28" s="129">
        <f t="shared" si="5"/>
        <v>20.368048257580899</v>
      </c>
      <c r="R28" s="129">
        <f t="shared" si="6"/>
        <v>20.7310220272051</v>
      </c>
      <c r="S28" s="61">
        <f t="shared" si="7"/>
        <v>23.1010531032938</v>
      </c>
      <c r="T28" s="61">
        <f t="shared" si="1"/>
        <v>27.1110659485825</v>
      </c>
      <c r="U28" s="61">
        <f t="shared" si="17"/>
        <v>21.358564215707073</v>
      </c>
      <c r="V28" s="61"/>
      <c r="Y28" s="163" t="s">
        <v>42</v>
      </c>
      <c r="Z28" s="163" t="s">
        <v>65</v>
      </c>
      <c r="AA28" s="163" t="s">
        <v>200</v>
      </c>
      <c r="AB28" s="163">
        <f t="shared" si="22"/>
        <v>7</v>
      </c>
      <c r="AC28" s="166">
        <f t="shared" si="23"/>
        <v>15.8730158730159</v>
      </c>
      <c r="AD28" s="166">
        <f t="shared" si="24"/>
        <v>25.808295231874599</v>
      </c>
      <c r="AE28" s="163"/>
      <c r="AF28" s="163">
        <f t="shared" si="10"/>
        <v>19</v>
      </c>
      <c r="AG28" s="168">
        <f t="shared" si="11"/>
        <v>980</v>
      </c>
      <c r="AH28" s="166">
        <f t="shared" si="12"/>
        <v>22.977725674091399</v>
      </c>
      <c r="AI28" s="166">
        <f t="shared" si="13"/>
        <v>21.561441318645301</v>
      </c>
      <c r="AJ28" s="166">
        <f t="shared" si="14"/>
        <v>24.462600654589199</v>
      </c>
      <c r="AK28" s="168">
        <f t="shared" si="15"/>
        <v>1</v>
      </c>
    </row>
    <row r="29" spans="1:37" x14ac:dyDescent="0.2">
      <c r="A29" s="62" t="s">
        <v>52</v>
      </c>
      <c r="B29" s="62" t="s">
        <v>72</v>
      </c>
      <c r="C29" s="62" t="s">
        <v>201</v>
      </c>
      <c r="D29" s="62"/>
      <c r="E29" s="62">
        <f t="shared" si="2"/>
        <v>11</v>
      </c>
      <c r="F29" s="128">
        <v>807</v>
      </c>
      <c r="G29" s="129">
        <v>20.332577475434601</v>
      </c>
      <c r="H29" s="129">
        <v>18.9537510545846</v>
      </c>
      <c r="I29" s="129">
        <v>21.785189105502099</v>
      </c>
      <c r="J29" s="129"/>
      <c r="K29" s="129"/>
      <c r="L29" s="129"/>
      <c r="M29" s="60">
        <f t="shared" si="0"/>
        <v>5</v>
      </c>
      <c r="N29" s="61">
        <f t="shared" si="3"/>
        <v>6.7466771353261201</v>
      </c>
      <c r="O29" s="61">
        <f t="shared" si="16"/>
        <v>18.5221248512388</v>
      </c>
      <c r="P29" s="129">
        <f t="shared" si="4"/>
        <v>20.548931776930399</v>
      </c>
      <c r="Q29" s="129">
        <f t="shared" si="5"/>
        <v>20.368048257580899</v>
      </c>
      <c r="R29" s="129">
        <f t="shared" si="6"/>
        <v>20.7310220272051</v>
      </c>
      <c r="S29" s="61">
        <f t="shared" si="7"/>
        <v>23.1010531032938</v>
      </c>
      <c r="T29" s="61">
        <f t="shared" si="1"/>
        <v>27.1110659485825</v>
      </c>
      <c r="U29" s="61">
        <f t="shared" si="17"/>
        <v>18.822083988223053</v>
      </c>
      <c r="V29" s="61"/>
      <c r="Y29" s="163" t="s">
        <v>44</v>
      </c>
      <c r="Z29" s="163" t="s">
        <v>66</v>
      </c>
      <c r="AA29" s="163" t="s">
        <v>200</v>
      </c>
      <c r="AB29" s="163">
        <f t="shared" si="22"/>
        <v>1</v>
      </c>
      <c r="AC29" s="166">
        <f t="shared" si="23"/>
        <v>15.8730158730159</v>
      </c>
      <c r="AD29" s="166">
        <f t="shared" si="24"/>
        <v>25.808295231874599</v>
      </c>
      <c r="AE29" s="163"/>
      <c r="AF29" s="163">
        <f t="shared" si="10"/>
        <v>4</v>
      </c>
      <c r="AG29" s="168">
        <f t="shared" si="11"/>
        <v>570</v>
      </c>
      <c r="AH29" s="166">
        <f t="shared" si="12"/>
        <v>15.8730158730159</v>
      </c>
      <c r="AI29" s="166">
        <f t="shared" si="13"/>
        <v>14.596492086431001</v>
      </c>
      <c r="AJ29" s="166">
        <f t="shared" si="14"/>
        <v>17.231270977375999</v>
      </c>
      <c r="AK29" s="168">
        <f t="shared" si="15"/>
        <v>2</v>
      </c>
    </row>
    <row r="30" spans="1:37" x14ac:dyDescent="0.2">
      <c r="A30" s="62" t="s">
        <v>53</v>
      </c>
      <c r="B30" s="62" t="s">
        <v>162</v>
      </c>
      <c r="C30" s="62" t="s">
        <v>163</v>
      </c>
      <c r="D30" s="62"/>
      <c r="E30" s="62">
        <f t="shared" si="2"/>
        <v>15</v>
      </c>
      <c r="F30" s="128">
        <v>5018</v>
      </c>
      <c r="G30" s="129">
        <v>21.7880248360905</v>
      </c>
      <c r="H30" s="129">
        <v>21.189308857019402</v>
      </c>
      <c r="I30" s="129">
        <v>22.399367699057901</v>
      </c>
      <c r="J30" s="129"/>
      <c r="K30" s="129"/>
      <c r="L30" s="129"/>
      <c r="M30" s="60">
        <f t="shared" si="0"/>
        <v>1</v>
      </c>
      <c r="N30" s="61">
        <f t="shared" si="3"/>
        <v>6.7466771353261201</v>
      </c>
      <c r="O30" s="61">
        <f t="shared" si="16"/>
        <v>18.5221248512388</v>
      </c>
      <c r="P30" s="129">
        <f>$G$32</f>
        <v>20.548931776930399</v>
      </c>
      <c r="Q30" s="129">
        <f t="shared" si="5"/>
        <v>20.368048257580899</v>
      </c>
      <c r="R30" s="129">
        <f t="shared" si="6"/>
        <v>20.7310220272051</v>
      </c>
      <c r="S30" s="61">
        <f t="shared" si="7"/>
        <v>23.1010531032938</v>
      </c>
      <c r="T30" s="61">
        <f t="shared" si="1"/>
        <v>27.1110659485825</v>
      </c>
      <c r="U30" s="61">
        <f t="shared" si="17"/>
        <v>21.796637148018544</v>
      </c>
      <c r="V30" s="61"/>
      <c r="Y30" s="163" t="s">
        <v>49</v>
      </c>
      <c r="Z30" s="163" t="s">
        <v>70</v>
      </c>
      <c r="AA30" s="163" t="s">
        <v>200</v>
      </c>
      <c r="AB30" s="163">
        <f t="shared" si="22"/>
        <v>2</v>
      </c>
      <c r="AC30" s="166">
        <f t="shared" si="23"/>
        <v>15.8730158730159</v>
      </c>
      <c r="AD30" s="166">
        <f t="shared" si="24"/>
        <v>25.808295231874599</v>
      </c>
      <c r="AE30" s="163"/>
      <c r="AF30" s="163">
        <f t="shared" si="10"/>
        <v>5</v>
      </c>
      <c r="AG30" s="168">
        <f t="shared" si="11"/>
        <v>1330</v>
      </c>
      <c r="AH30" s="166">
        <f t="shared" si="12"/>
        <v>17.121524201853799</v>
      </c>
      <c r="AI30" s="166">
        <f t="shared" si="13"/>
        <v>16.2136086482239</v>
      </c>
      <c r="AJ30" s="166">
        <f t="shared" si="14"/>
        <v>18.067042945122001</v>
      </c>
      <c r="AK30" s="168">
        <f t="shared" si="15"/>
        <v>2</v>
      </c>
    </row>
    <row r="31" spans="1:37" x14ac:dyDescent="0.2">
      <c r="A31" s="62" t="s">
        <v>54</v>
      </c>
      <c r="B31" s="62" t="s">
        <v>73</v>
      </c>
      <c r="C31" s="62" t="s">
        <v>201</v>
      </c>
      <c r="D31" s="62"/>
      <c r="E31" s="62">
        <f t="shared" si="2"/>
        <v>2</v>
      </c>
      <c r="F31" s="128">
        <v>438</v>
      </c>
      <c r="G31" s="129">
        <v>7.9912424740011003</v>
      </c>
      <c r="H31" s="129">
        <v>7.2602698353156097</v>
      </c>
      <c r="I31" s="129">
        <v>8.7758665092719408</v>
      </c>
      <c r="J31" s="129"/>
      <c r="K31" s="129"/>
      <c r="L31" s="129"/>
      <c r="M31" s="60">
        <f t="shared" si="0"/>
        <v>2</v>
      </c>
      <c r="N31" s="61">
        <f t="shared" si="3"/>
        <v>6.7466771353261201</v>
      </c>
      <c r="O31" s="61">
        <f t="shared" si="16"/>
        <v>18.5221248512388</v>
      </c>
      <c r="P31" s="129">
        <f t="shared" si="4"/>
        <v>20.548931776930399</v>
      </c>
      <c r="Q31" s="129">
        <f t="shared" si="5"/>
        <v>20.368048257580899</v>
      </c>
      <c r="R31" s="129">
        <f t="shared" si="6"/>
        <v>20.7310220272051</v>
      </c>
      <c r="S31" s="61">
        <f t="shared" si="7"/>
        <v>23.1010531032938</v>
      </c>
      <c r="T31" s="61">
        <f t="shared" si="1"/>
        <v>27.1110659485825</v>
      </c>
      <c r="U31" s="61">
        <f t="shared" si="17"/>
        <v>18.822083988223053</v>
      </c>
      <c r="V31" s="61"/>
      <c r="Y31" s="163" t="s">
        <v>51</v>
      </c>
      <c r="Z31" s="163" t="s">
        <v>71</v>
      </c>
      <c r="AA31" s="163" t="s">
        <v>200</v>
      </c>
      <c r="AB31" s="163">
        <f t="shared" si="22"/>
        <v>8</v>
      </c>
      <c r="AC31" s="166">
        <f t="shared" si="23"/>
        <v>15.8730158730159</v>
      </c>
      <c r="AD31" s="166">
        <f t="shared" si="24"/>
        <v>25.808295231874599</v>
      </c>
      <c r="AE31" s="163"/>
      <c r="AF31" s="163">
        <f t="shared" si="10"/>
        <v>24</v>
      </c>
      <c r="AG31" s="168">
        <f t="shared" si="11"/>
        <v>1045</v>
      </c>
      <c r="AH31" s="166">
        <f t="shared" si="12"/>
        <v>24.364653765446501</v>
      </c>
      <c r="AI31" s="166">
        <f t="shared" si="13"/>
        <v>22.9096106739877</v>
      </c>
      <c r="AJ31" s="166">
        <f t="shared" si="14"/>
        <v>25.887880927620699</v>
      </c>
      <c r="AK31" s="168">
        <f t="shared" si="15"/>
        <v>1</v>
      </c>
    </row>
    <row r="32" spans="1:37" x14ac:dyDescent="0.2">
      <c r="A32" s="62"/>
      <c r="B32" s="62" t="s">
        <v>171</v>
      </c>
      <c r="C32" s="62"/>
      <c r="D32" s="62"/>
      <c r="E32" s="62"/>
      <c r="F32" s="128">
        <v>49361</v>
      </c>
      <c r="G32" s="254">
        <v>20.548931776930399</v>
      </c>
      <c r="H32" s="129">
        <v>20.368048257580899</v>
      </c>
      <c r="I32" s="129">
        <v>20.7310220272051</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17254</v>
      </c>
      <c r="G44" s="254">
        <v>21.796637148018544</v>
      </c>
      <c r="H44" s="254">
        <v>21.472603602059099</v>
      </c>
      <c r="I44" s="254">
        <v>22.124336422699773</v>
      </c>
      <c r="J44" s="254">
        <f>VLOOKUP($C44,$AA$6:$AD$13,3,FALSE)</f>
        <v>17.5083426028921</v>
      </c>
      <c r="K44" s="254">
        <f>VLOOKUP($C44,$AA$6:$AD$13,4,FALSE)</f>
        <v>27.1110659485825</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1</v>
      </c>
      <c r="N44" s="61">
        <f>MIN($G$6:$G$31)</f>
        <v>6.7466771353261201</v>
      </c>
      <c r="O44" s="61">
        <f>VLOOKUP(7,$E$5:$G$39,3,FALSE)</f>
        <v>18.5221248512388</v>
      </c>
      <c r="P44" s="129">
        <f>$G$32</f>
        <v>20.548931776930399</v>
      </c>
      <c r="Q44" s="129">
        <f>$H$32</f>
        <v>20.368048257580899</v>
      </c>
      <c r="R44" s="129">
        <f>$I$32</f>
        <v>20.7310220272051</v>
      </c>
      <c r="S44" s="61">
        <f>VLOOKUP(20,$E$5:$G$39,3,FALSE)</f>
        <v>23.1010531032938</v>
      </c>
      <c r="T44" s="61">
        <f>MAX($G$6:$G$31)</f>
        <v>27.1110659485825</v>
      </c>
    </row>
    <row r="45" spans="1:22" x14ac:dyDescent="0.2">
      <c r="C45" s="62" t="s">
        <v>201</v>
      </c>
      <c r="D45" s="62"/>
      <c r="E45" s="62"/>
      <c r="F45" s="128">
        <v>17005</v>
      </c>
      <c r="G45" s="254">
        <v>18.822083988223053</v>
      </c>
      <c r="H45" s="254">
        <v>18.540237234694629</v>
      </c>
      <c r="I45" s="254">
        <v>19.107142625445203</v>
      </c>
      <c r="J45" s="254">
        <f>VLOOKUP($C45,$AA$14:$AD$22,3,FALSE)</f>
        <v>6.7466771353261201</v>
      </c>
      <c r="K45" s="254">
        <f>VLOOKUP($C45,$AA$14:$AD$22,4,FALSE)</f>
        <v>23.945526763760199</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2</v>
      </c>
      <c r="N45" s="61">
        <f>MIN($G$6:$G$31)</f>
        <v>6.7466771353261201</v>
      </c>
      <c r="O45" s="61">
        <f>VLOOKUP(7,$E$5:$G$39,3,FALSE)</f>
        <v>18.5221248512388</v>
      </c>
      <c r="P45" s="129">
        <f>$G$32</f>
        <v>20.548931776930399</v>
      </c>
      <c r="Q45" s="129">
        <f t="shared" ref="Q45:Q46" si="25">$H$32</f>
        <v>20.368048257580899</v>
      </c>
      <c r="R45" s="129">
        <f t="shared" ref="R45:R46" si="26">$I$32</f>
        <v>20.7310220272051</v>
      </c>
      <c r="S45" s="61">
        <f>VLOOKUP(20,$E$5:$G$39,3,FALSE)</f>
        <v>23.1010531032938</v>
      </c>
      <c r="T45" s="61">
        <f t="shared" ref="T45:T46" si="27">MAX($G$6:$G$31)</f>
        <v>27.1110659485825</v>
      </c>
    </row>
    <row r="46" spans="1:22" x14ac:dyDescent="0.2">
      <c r="C46" s="62" t="s">
        <v>200</v>
      </c>
      <c r="D46" s="62"/>
      <c r="E46" s="62"/>
      <c r="F46" s="128">
        <v>15102</v>
      </c>
      <c r="G46" s="254">
        <v>21.358564215707073</v>
      </c>
      <c r="H46" s="254">
        <v>21.019259854006776</v>
      </c>
      <c r="I46" s="254">
        <v>21.701973215287996</v>
      </c>
      <c r="J46" s="254">
        <f>VLOOKUP($C46,$AA$23:$AD$31,3,FALSE)</f>
        <v>15.8730158730159</v>
      </c>
      <c r="K46" s="254">
        <f>VLOOKUP($C46,$AA$23:$AD$31,4,FALSE)</f>
        <v>25.808295231874599</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1</v>
      </c>
      <c r="N46" s="61">
        <f>MIN($G$6:$G$31)</f>
        <v>6.7466771353261201</v>
      </c>
      <c r="O46" s="61">
        <f>VLOOKUP(7,$E$5:$G$39,3,FALSE)</f>
        <v>18.5221248512388</v>
      </c>
      <c r="P46" s="129">
        <f t="shared" ref="P46" si="28">$G$32</f>
        <v>20.548931776930399</v>
      </c>
      <c r="Q46" s="129">
        <f t="shared" si="25"/>
        <v>20.368048257580899</v>
      </c>
      <c r="R46" s="129">
        <f t="shared" si="26"/>
        <v>20.7310220272051</v>
      </c>
      <c r="S46" s="61">
        <f>VLOOKUP(20,$E$5:$G$39,3,FALSE)</f>
        <v>23.1010531032938</v>
      </c>
      <c r="T46" s="61">
        <f t="shared" si="27"/>
        <v>27.1110659485825</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C2:D2" xr:uid="{00000000-0002-0000-2D00-000000000000}">
      <formula1>"Better / Worse,Higher / Lower,Significance not measured"</formula1>
    </dataValidation>
    <dataValidation type="list" allowBlank="1" showInputMessage="1" showErrorMessage="1" sqref="K2:N2" xr:uid="{00000000-0002-0000-2D00-000001000000}">
      <formula1>"High = Worst,Low = Worst"</formula1>
    </dataValidation>
  </dataValidations>
  <pageMargins left="0.75" right="0.75" top="1" bottom="1" header="0.5" footer="0.5"/>
  <pageSetup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5">
    <tabColor theme="6" tint="0.39997558519241921"/>
  </sheetPr>
  <dimension ref="A1:AK55"/>
  <sheetViews>
    <sheetView workbookViewId="0">
      <selection activeCell="AK13" activeCellId="1" sqref="AK6:AK8 AK13"/>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8" width="7.33203125" style="21" customWidth="1"/>
    <col min="9" max="9" width="6.886718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5.554687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13</v>
      </c>
      <c r="F6" s="128">
        <v>656</v>
      </c>
      <c r="G6" s="129">
        <v>8.6761010448353399</v>
      </c>
      <c r="H6" s="129">
        <v>8.0624268199646405</v>
      </c>
      <c r="I6" s="129">
        <v>9.3317441746754106</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5</v>
      </c>
      <c r="N6" s="61">
        <f>MIN($G$6:$G$32)</f>
        <v>2.0747821197638499</v>
      </c>
      <c r="O6" s="61">
        <f>VLOOKUP(7,$E$5:$G$39,3,FALSE)</f>
        <v>6.7646407207739498</v>
      </c>
      <c r="P6" s="129">
        <f>$G$32</f>
        <v>8.7425051969694394</v>
      </c>
      <c r="Q6" s="129">
        <f>$H$32</f>
        <v>8.6284533159573709</v>
      </c>
      <c r="R6" s="129">
        <f>$I$32</f>
        <v>8.8579184808406506</v>
      </c>
      <c r="S6" s="61">
        <f>VLOOKUP(20,$E$5:$G$39,3,FALSE)</f>
        <v>10.4903635032935</v>
      </c>
      <c r="T6" s="61">
        <f t="shared" ref="T6:T31" si="1">MAX($G$6:$G$31)</f>
        <v>16.959504685408302</v>
      </c>
      <c r="U6" s="61">
        <f>VLOOKUP(C6,$C$43:$I$46,5,FALSE)</f>
        <v>5.8288207829793004</v>
      </c>
      <c r="V6" s="61"/>
      <c r="Y6" s="159" t="s">
        <v>33</v>
      </c>
      <c r="Z6" s="159" t="s">
        <v>58</v>
      </c>
      <c r="AA6" s="159" t="s">
        <v>163</v>
      </c>
      <c r="AB6" s="159">
        <f>RANK(AH6,$AH$6:$AH$13,1)</f>
        <v>7</v>
      </c>
      <c r="AC6" s="164">
        <f>MIN($AH$6:$AH$13)</f>
        <v>7.6401869158878499</v>
      </c>
      <c r="AD6" s="164">
        <f>MAX($AH$6:$AH$13)</f>
        <v>14.588023412877099</v>
      </c>
      <c r="AE6" s="159"/>
      <c r="AF6" s="159">
        <f>VLOOKUP($Y6,$A$6:$I$31,5,FALSE)</f>
        <v>24</v>
      </c>
      <c r="AG6" s="160">
        <f>VLOOKUP($Y6,$A$6:$I$31,6,FALSE)</f>
        <v>1304</v>
      </c>
      <c r="AH6" s="161">
        <f>VLOOKUP($Y6,$A$6:$I$31,7,FALSE)</f>
        <v>13.806246691371101</v>
      </c>
      <c r="AI6" s="161">
        <f>VLOOKUP($Y6,$A$6:$I$31,8,FALSE)</f>
        <v>13.1252458819485</v>
      </c>
      <c r="AJ6" s="161">
        <f>VLOOKUP($Y6,$A$6:$I$31,9,FALSE)</f>
        <v>14.516676889255301</v>
      </c>
      <c r="AK6" s="160">
        <f>VLOOKUP($Y6,$A$6:$M$31,13,FALSE)</f>
        <v>1</v>
      </c>
    </row>
    <row r="7" spans="1:37" x14ac:dyDescent="0.2">
      <c r="A7" s="62" t="s">
        <v>30</v>
      </c>
      <c r="B7" s="62" t="s">
        <v>56</v>
      </c>
      <c r="C7" s="62" t="s">
        <v>200</v>
      </c>
      <c r="D7" s="62"/>
      <c r="E7" s="62">
        <f t="shared" ref="E7:E31" si="2">RANK(G7,$G$6:$G$31,1)</f>
        <v>8</v>
      </c>
      <c r="F7" s="128">
        <v>603</v>
      </c>
      <c r="G7" s="129">
        <v>6.8336355394378998</v>
      </c>
      <c r="H7" s="129">
        <v>6.3257323943181296</v>
      </c>
      <c r="I7" s="129">
        <v>7.37910660244287</v>
      </c>
      <c r="J7" s="129"/>
      <c r="K7" s="129"/>
      <c r="L7" s="129"/>
      <c r="M7" s="60">
        <f t="shared" si="0"/>
        <v>2</v>
      </c>
      <c r="N7" s="61">
        <f t="shared" ref="N7:N31" si="3">MIN($G$6:$G$32)</f>
        <v>2.0747821197638499</v>
      </c>
      <c r="O7" s="61">
        <f>VLOOKUP(7,$E$5:$G$39,3,FALSE)</f>
        <v>6.7646407207739498</v>
      </c>
      <c r="P7" s="129">
        <f t="shared" ref="P7:P31" si="4">$G$32</f>
        <v>8.7425051969694394</v>
      </c>
      <c r="Q7" s="129">
        <f t="shared" ref="Q7:Q31" si="5">$H$32</f>
        <v>8.6284533159573709</v>
      </c>
      <c r="R7" s="129">
        <f t="shared" ref="R7:R31" si="6">$I$32</f>
        <v>8.8579184808406506</v>
      </c>
      <c r="S7" s="61">
        <f t="shared" ref="S7:S31" si="7">VLOOKUP(20,$E$5:$G$39,3,FALSE)</f>
        <v>10.4903635032935</v>
      </c>
      <c r="T7" s="61">
        <f t="shared" si="1"/>
        <v>16.959504685408302</v>
      </c>
      <c r="U7" s="61">
        <f>VLOOKUP(C7,$C$43:$I$46,5,FALSE)</f>
        <v>10.350493684071536</v>
      </c>
      <c r="V7" s="61"/>
      <c r="Y7" s="159" t="s">
        <v>35</v>
      </c>
      <c r="Z7" s="159" t="s">
        <v>60</v>
      </c>
      <c r="AA7" s="159" t="s">
        <v>163</v>
      </c>
      <c r="AB7" s="159">
        <f t="shared" ref="AB7:AB12" si="8">RANK(AH7,$AH$6:$AH$13,1)</f>
        <v>6</v>
      </c>
      <c r="AC7" s="164">
        <f>MIN($AH$6:$AH$13)</f>
        <v>7.6401869158878499</v>
      </c>
      <c r="AD7" s="164">
        <f t="shared" ref="AD7:AD13" si="9">MAX($AH$6:$AH$13)</f>
        <v>14.588023412877099</v>
      </c>
      <c r="AE7" s="159"/>
      <c r="AF7" s="159">
        <f t="shared" ref="AF7:AF31" si="10">VLOOKUP($Y7,$A$6:$I$31,5,FALSE)</f>
        <v>23</v>
      </c>
      <c r="AG7" s="160">
        <f t="shared" ref="AG7:AG31" si="11">VLOOKUP($Y7,$A$6:$I$31,6,FALSE)</f>
        <v>1442</v>
      </c>
      <c r="AH7" s="161">
        <f t="shared" ref="AH7:AH31" si="12">VLOOKUP($Y7,$A$6:$I$31,7,FALSE)</f>
        <v>12.5905876189645</v>
      </c>
      <c r="AI7" s="161">
        <f t="shared" ref="AI7:AI31" si="13">VLOOKUP($Y7,$A$6:$I$31,8,FALSE)</f>
        <v>11.9955413658694</v>
      </c>
      <c r="AJ7" s="161">
        <f t="shared" ref="AJ7:AJ31" si="14">VLOOKUP($Y7,$A$6:$I$31,9,FALSE)</f>
        <v>13.2107204926058</v>
      </c>
      <c r="AK7" s="160">
        <f t="shared" ref="AK7:AK31" si="15">VLOOKUP($Y7,$A$6:$M$31,13,FALSE)</f>
        <v>1</v>
      </c>
    </row>
    <row r="8" spans="1:37" x14ac:dyDescent="0.2">
      <c r="A8" s="62" t="s">
        <v>31</v>
      </c>
      <c r="B8" s="62" t="s">
        <v>57</v>
      </c>
      <c r="C8" s="62" t="s">
        <v>200</v>
      </c>
      <c r="D8" s="62"/>
      <c r="E8" s="62">
        <f t="shared" si="2"/>
        <v>19</v>
      </c>
      <c r="F8" s="128">
        <v>1032</v>
      </c>
      <c r="G8" s="129">
        <v>10.2482621648461</v>
      </c>
      <c r="H8" s="129">
        <v>9.6709876293024593</v>
      </c>
      <c r="I8" s="129">
        <v>10.855853767532199</v>
      </c>
      <c r="J8" s="129"/>
      <c r="K8" s="129"/>
      <c r="L8" s="129"/>
      <c r="M8" s="60">
        <f t="shared" si="0"/>
        <v>1</v>
      </c>
      <c r="N8" s="61">
        <f t="shared" si="3"/>
        <v>2.0747821197638499</v>
      </c>
      <c r="O8" s="61">
        <f t="shared" ref="O8:O31" si="16">VLOOKUP(7,$E$5:$G$39,3,FALSE)</f>
        <v>6.7646407207739498</v>
      </c>
      <c r="P8" s="129">
        <f t="shared" si="4"/>
        <v>8.7425051969694394</v>
      </c>
      <c r="Q8" s="129">
        <f t="shared" si="5"/>
        <v>8.6284533159573709</v>
      </c>
      <c r="R8" s="129">
        <f t="shared" si="6"/>
        <v>8.8579184808406506</v>
      </c>
      <c r="S8" s="61">
        <f t="shared" si="7"/>
        <v>10.4903635032935</v>
      </c>
      <c r="T8" s="61">
        <f t="shared" si="1"/>
        <v>16.959504685408302</v>
      </c>
      <c r="U8" s="61">
        <f t="shared" ref="U8:U31" si="17">VLOOKUP(C8,$C$43:$I$46,5,FALSE)</f>
        <v>10.350493684071536</v>
      </c>
      <c r="V8" s="61"/>
      <c r="Y8" s="159" t="s">
        <v>41</v>
      </c>
      <c r="Z8" s="159" t="s">
        <v>64</v>
      </c>
      <c r="AA8" s="159" t="s">
        <v>163</v>
      </c>
      <c r="AB8" s="159">
        <f t="shared" si="8"/>
        <v>1</v>
      </c>
      <c r="AC8" s="164">
        <f t="shared" ref="AC8:AC13" si="18">MIN($AH$6:$AH$13)</f>
        <v>7.6401869158878499</v>
      </c>
      <c r="AD8" s="164">
        <f>MAX($AH$6:$AH$13)</f>
        <v>14.588023412877099</v>
      </c>
      <c r="AE8" s="159"/>
      <c r="AF8" s="159">
        <f t="shared" si="10"/>
        <v>11</v>
      </c>
      <c r="AG8" s="160">
        <f t="shared" si="11"/>
        <v>654</v>
      </c>
      <c r="AH8" s="161">
        <f t="shared" si="12"/>
        <v>7.6401869158878499</v>
      </c>
      <c r="AI8" s="161">
        <f t="shared" si="13"/>
        <v>7.0962575602286799</v>
      </c>
      <c r="AJ8" s="161">
        <f t="shared" si="14"/>
        <v>8.2221187213582105</v>
      </c>
      <c r="AK8" s="160">
        <f t="shared" si="15"/>
        <v>2</v>
      </c>
    </row>
    <row r="9" spans="1:37" x14ac:dyDescent="0.2">
      <c r="A9" s="62" t="s">
        <v>32</v>
      </c>
      <c r="B9" s="62" t="s">
        <v>156</v>
      </c>
      <c r="C9" s="62" t="s">
        <v>201</v>
      </c>
      <c r="D9" s="62"/>
      <c r="E9" s="62">
        <f t="shared" si="2"/>
        <v>7</v>
      </c>
      <c r="F9" s="128">
        <v>916</v>
      </c>
      <c r="G9" s="129">
        <v>6.7646407207739498</v>
      </c>
      <c r="H9" s="129">
        <v>6.35378981639768</v>
      </c>
      <c r="I9" s="129">
        <v>7.2000156260806003</v>
      </c>
      <c r="J9" s="129"/>
      <c r="K9" s="129"/>
      <c r="L9" s="129"/>
      <c r="M9" s="60">
        <f t="shared" si="0"/>
        <v>2</v>
      </c>
      <c r="N9" s="61">
        <f t="shared" si="3"/>
        <v>2.0747821197638499</v>
      </c>
      <c r="O9" s="61">
        <f t="shared" si="16"/>
        <v>6.7646407207739498</v>
      </c>
      <c r="P9" s="129">
        <f t="shared" si="4"/>
        <v>8.7425051969694394</v>
      </c>
      <c r="Q9" s="129">
        <f t="shared" si="5"/>
        <v>8.6284533159573709</v>
      </c>
      <c r="R9" s="129">
        <f t="shared" si="6"/>
        <v>8.8579184808406506</v>
      </c>
      <c r="S9" s="61">
        <f t="shared" si="7"/>
        <v>10.4903635032935</v>
      </c>
      <c r="T9" s="61">
        <f t="shared" si="1"/>
        <v>16.959504685408302</v>
      </c>
      <c r="U9" s="61">
        <f t="shared" si="17"/>
        <v>5.8288207829793004</v>
      </c>
      <c r="V9" s="61"/>
      <c r="X9" s="63"/>
      <c r="Y9" s="159" t="s">
        <v>45</v>
      </c>
      <c r="Z9" s="159" t="s">
        <v>67</v>
      </c>
      <c r="AA9" s="159" t="s">
        <v>163</v>
      </c>
      <c r="AB9" s="159">
        <f t="shared" si="8"/>
        <v>5</v>
      </c>
      <c r="AC9" s="164">
        <f t="shared" si="18"/>
        <v>7.6401869158878499</v>
      </c>
      <c r="AD9" s="164">
        <f t="shared" si="9"/>
        <v>14.588023412877099</v>
      </c>
      <c r="AE9" s="159"/>
      <c r="AF9" s="159">
        <f t="shared" si="10"/>
        <v>21</v>
      </c>
      <c r="AG9" s="160">
        <f t="shared" si="11"/>
        <v>782</v>
      </c>
      <c r="AH9" s="161">
        <f t="shared" si="12"/>
        <v>11.268011527377499</v>
      </c>
      <c r="AI9" s="161">
        <f t="shared" si="13"/>
        <v>10.545405913734999</v>
      </c>
      <c r="AJ9" s="161">
        <f t="shared" si="14"/>
        <v>12.0334716156343</v>
      </c>
      <c r="AK9" s="160">
        <f t="shared" si="15"/>
        <v>1</v>
      </c>
    </row>
    <row r="10" spans="1:37" x14ac:dyDescent="0.2">
      <c r="A10" s="62" t="s">
        <v>33</v>
      </c>
      <c r="B10" s="62" t="s">
        <v>58</v>
      </c>
      <c r="C10" s="62" t="s">
        <v>163</v>
      </c>
      <c r="D10" s="62"/>
      <c r="E10" s="62">
        <f t="shared" si="2"/>
        <v>24</v>
      </c>
      <c r="F10" s="128">
        <v>1304</v>
      </c>
      <c r="G10" s="129">
        <v>13.806246691371101</v>
      </c>
      <c r="H10" s="129">
        <v>13.1252458819485</v>
      </c>
      <c r="I10" s="129">
        <v>14.516676889255301</v>
      </c>
      <c r="J10" s="129"/>
      <c r="K10" s="129"/>
      <c r="L10" s="129"/>
      <c r="M10" s="60">
        <f t="shared" si="0"/>
        <v>1</v>
      </c>
      <c r="N10" s="61">
        <f t="shared" si="3"/>
        <v>2.0747821197638499</v>
      </c>
      <c r="O10" s="61">
        <f t="shared" si="16"/>
        <v>6.7646407207739498</v>
      </c>
      <c r="P10" s="129">
        <f t="shared" si="4"/>
        <v>8.7425051969694394</v>
      </c>
      <c r="Q10" s="129">
        <f t="shared" si="5"/>
        <v>8.6284533159573709</v>
      </c>
      <c r="R10" s="129">
        <f t="shared" si="6"/>
        <v>8.8579184808406506</v>
      </c>
      <c r="S10" s="61">
        <f t="shared" si="7"/>
        <v>10.4903635032935</v>
      </c>
      <c r="T10" s="61">
        <f t="shared" si="1"/>
        <v>16.959504685408302</v>
      </c>
      <c r="U10" s="61">
        <f t="shared" si="17"/>
        <v>10.686261645453353</v>
      </c>
      <c r="V10" s="61"/>
      <c r="Y10" s="159" t="s">
        <v>46</v>
      </c>
      <c r="Z10" s="159" t="s">
        <v>68</v>
      </c>
      <c r="AA10" s="159" t="s">
        <v>163</v>
      </c>
      <c r="AB10" s="159">
        <f t="shared" si="8"/>
        <v>4</v>
      </c>
      <c r="AC10" s="164">
        <f t="shared" si="18"/>
        <v>7.6401869158878499</v>
      </c>
      <c r="AD10" s="164">
        <f t="shared" si="9"/>
        <v>14.588023412877099</v>
      </c>
      <c r="AE10" s="159"/>
      <c r="AF10" s="159">
        <f t="shared" si="10"/>
        <v>17</v>
      </c>
      <c r="AG10" s="160">
        <f t="shared" si="11"/>
        <v>844</v>
      </c>
      <c r="AH10" s="161">
        <f t="shared" si="12"/>
        <v>9.47675724230856</v>
      </c>
      <c r="AI10" s="161">
        <f t="shared" si="13"/>
        <v>8.8858105865483505</v>
      </c>
      <c r="AJ10" s="161">
        <f t="shared" si="14"/>
        <v>10.1026469145195</v>
      </c>
      <c r="AK10" s="160">
        <f t="shared" si="15"/>
        <v>1</v>
      </c>
    </row>
    <row r="11" spans="1:37" x14ac:dyDescent="0.2">
      <c r="A11" s="62" t="s">
        <v>34</v>
      </c>
      <c r="B11" s="62" t="s">
        <v>59</v>
      </c>
      <c r="C11" s="62" t="s">
        <v>200</v>
      </c>
      <c r="D11" s="62"/>
      <c r="E11" s="62">
        <f t="shared" si="2"/>
        <v>22</v>
      </c>
      <c r="F11" s="128">
        <v>1323</v>
      </c>
      <c r="G11" s="129">
        <v>11.2778109283096</v>
      </c>
      <c r="H11" s="129">
        <v>10.7180276791417</v>
      </c>
      <c r="I11" s="129">
        <v>11.8629459805314</v>
      </c>
      <c r="J11" s="129"/>
      <c r="K11" s="129"/>
      <c r="L11" s="129"/>
      <c r="M11" s="60">
        <f t="shared" si="0"/>
        <v>1</v>
      </c>
      <c r="N11" s="61">
        <f t="shared" si="3"/>
        <v>2.0747821197638499</v>
      </c>
      <c r="O11" s="61">
        <f t="shared" si="16"/>
        <v>6.7646407207739498</v>
      </c>
      <c r="P11" s="129">
        <f t="shared" si="4"/>
        <v>8.7425051969694394</v>
      </c>
      <c r="Q11" s="129">
        <f t="shared" si="5"/>
        <v>8.6284533159573709</v>
      </c>
      <c r="R11" s="129">
        <f t="shared" si="6"/>
        <v>8.8579184808406506</v>
      </c>
      <c r="S11" s="61">
        <f t="shared" si="7"/>
        <v>10.4903635032935</v>
      </c>
      <c r="T11" s="61">
        <f t="shared" si="1"/>
        <v>16.959504685408302</v>
      </c>
      <c r="U11" s="61">
        <f t="shared" si="17"/>
        <v>10.350493684071536</v>
      </c>
      <c r="V11" s="61"/>
      <c r="Y11" s="159" t="s">
        <v>47</v>
      </c>
      <c r="Z11" s="159" t="s">
        <v>69</v>
      </c>
      <c r="AA11" s="159" t="s">
        <v>163</v>
      </c>
      <c r="AB11" s="159">
        <f t="shared" si="8"/>
        <v>3</v>
      </c>
      <c r="AC11" s="164">
        <f t="shared" si="18"/>
        <v>7.6401869158878499</v>
      </c>
      <c r="AD11" s="164">
        <f t="shared" si="9"/>
        <v>14.588023412877099</v>
      </c>
      <c r="AE11" s="159"/>
      <c r="AF11" s="159">
        <f t="shared" si="10"/>
        <v>15</v>
      </c>
      <c r="AG11" s="160">
        <f t="shared" si="11"/>
        <v>405</v>
      </c>
      <c r="AH11" s="161">
        <f t="shared" si="12"/>
        <v>9.3989324669296792</v>
      </c>
      <c r="AI11" s="161">
        <f t="shared" si="13"/>
        <v>8.5634374677935092</v>
      </c>
      <c r="AJ11" s="161">
        <f t="shared" si="14"/>
        <v>10.3067544136218</v>
      </c>
      <c r="AK11" s="160">
        <f t="shared" si="15"/>
        <v>5</v>
      </c>
    </row>
    <row r="12" spans="1:37" x14ac:dyDescent="0.2">
      <c r="A12" s="62" t="s">
        <v>35</v>
      </c>
      <c r="B12" s="62" t="s">
        <v>60</v>
      </c>
      <c r="C12" s="62" t="s">
        <v>163</v>
      </c>
      <c r="D12" s="62"/>
      <c r="E12" s="62">
        <f t="shared" si="2"/>
        <v>23</v>
      </c>
      <c r="F12" s="128">
        <v>1442</v>
      </c>
      <c r="G12" s="129">
        <v>12.5905876189645</v>
      </c>
      <c r="H12" s="129">
        <v>11.9955413658694</v>
      </c>
      <c r="I12" s="129">
        <v>13.2107204926058</v>
      </c>
      <c r="J12" s="129"/>
      <c r="K12" s="129"/>
      <c r="L12" s="129"/>
      <c r="M12" s="60">
        <f t="shared" si="0"/>
        <v>1</v>
      </c>
      <c r="N12" s="61">
        <f t="shared" si="3"/>
        <v>2.0747821197638499</v>
      </c>
      <c r="O12" s="61">
        <f t="shared" si="16"/>
        <v>6.7646407207739498</v>
      </c>
      <c r="P12" s="129">
        <f t="shared" si="4"/>
        <v>8.7425051969694394</v>
      </c>
      <c r="Q12" s="129">
        <f t="shared" si="5"/>
        <v>8.6284533159573709</v>
      </c>
      <c r="R12" s="129">
        <f t="shared" si="6"/>
        <v>8.8579184808406506</v>
      </c>
      <c r="S12" s="61">
        <f t="shared" si="7"/>
        <v>10.4903635032935</v>
      </c>
      <c r="T12" s="61">
        <f t="shared" si="1"/>
        <v>16.959504685408302</v>
      </c>
      <c r="U12" s="61">
        <f t="shared" si="17"/>
        <v>10.686261645453353</v>
      </c>
      <c r="V12" s="61"/>
      <c r="Y12" s="159" t="s">
        <v>50</v>
      </c>
      <c r="Z12" s="159" t="s">
        <v>161</v>
      </c>
      <c r="AA12" s="159" t="s">
        <v>163</v>
      </c>
      <c r="AB12" s="159">
        <f t="shared" si="8"/>
        <v>8</v>
      </c>
      <c r="AC12" s="164">
        <f t="shared" si="18"/>
        <v>7.6401869158878499</v>
      </c>
      <c r="AD12" s="164">
        <f t="shared" si="9"/>
        <v>14.588023412877099</v>
      </c>
      <c r="AE12" s="159"/>
      <c r="AF12" s="159">
        <f t="shared" si="10"/>
        <v>25</v>
      </c>
      <c r="AG12" s="160">
        <f t="shared" si="11"/>
        <v>648</v>
      </c>
      <c r="AH12" s="161">
        <f t="shared" si="12"/>
        <v>14.588023412877099</v>
      </c>
      <c r="AI12" s="161">
        <f t="shared" si="13"/>
        <v>13.5805732854233</v>
      </c>
      <c r="AJ12" s="161">
        <f t="shared" si="14"/>
        <v>15.656669447147999</v>
      </c>
      <c r="AK12" s="160">
        <f t="shared" si="15"/>
        <v>1</v>
      </c>
    </row>
    <row r="13" spans="1:37" x14ac:dyDescent="0.2">
      <c r="A13" s="62" t="s">
        <v>36</v>
      </c>
      <c r="B13" s="62" t="s">
        <v>61</v>
      </c>
      <c r="C13" s="62" t="s">
        <v>201</v>
      </c>
      <c r="D13" s="62"/>
      <c r="E13" s="62">
        <f t="shared" si="2"/>
        <v>1</v>
      </c>
      <c r="F13" s="128">
        <v>369</v>
      </c>
      <c r="G13" s="129">
        <v>2.0747821197638499</v>
      </c>
      <c r="H13" s="129">
        <v>1.8754127177780999</v>
      </c>
      <c r="I13" s="129">
        <v>2.2948501997816502</v>
      </c>
      <c r="J13" s="129"/>
      <c r="K13" s="129"/>
      <c r="L13" s="129"/>
      <c r="M13" s="60">
        <f t="shared" si="0"/>
        <v>2</v>
      </c>
      <c r="N13" s="61">
        <f t="shared" si="3"/>
        <v>2.0747821197638499</v>
      </c>
      <c r="O13" s="61">
        <f t="shared" si="16"/>
        <v>6.7646407207739498</v>
      </c>
      <c r="P13" s="129">
        <f t="shared" si="4"/>
        <v>8.7425051969694394</v>
      </c>
      <c r="Q13" s="129">
        <f t="shared" si="5"/>
        <v>8.6284533159573709</v>
      </c>
      <c r="R13" s="129">
        <f t="shared" si="6"/>
        <v>8.8579184808406506</v>
      </c>
      <c r="S13" s="61">
        <f t="shared" si="7"/>
        <v>10.4903635032935</v>
      </c>
      <c r="T13" s="61">
        <f t="shared" si="1"/>
        <v>16.959504685408302</v>
      </c>
      <c r="U13" s="61">
        <f t="shared" si="17"/>
        <v>5.8288207829793004</v>
      </c>
      <c r="V13" s="61"/>
      <c r="Y13" s="159" t="s">
        <v>53</v>
      </c>
      <c r="Z13" s="159" t="s">
        <v>162</v>
      </c>
      <c r="AA13" s="159" t="s">
        <v>163</v>
      </c>
      <c r="AB13" s="159">
        <f>RANK(AH13,$AH$6:$AH$13,1)</f>
        <v>2</v>
      </c>
      <c r="AC13" s="164">
        <f t="shared" si="18"/>
        <v>7.6401869158878499</v>
      </c>
      <c r="AD13" s="164">
        <f t="shared" si="9"/>
        <v>14.588023412877099</v>
      </c>
      <c r="AE13" s="159"/>
      <c r="AF13" s="159">
        <f t="shared" si="10"/>
        <v>14</v>
      </c>
      <c r="AG13" s="160">
        <f t="shared" si="11"/>
        <v>2065</v>
      </c>
      <c r="AH13" s="161">
        <f t="shared" si="12"/>
        <v>9.3206951026856206</v>
      </c>
      <c r="AI13" s="161">
        <f t="shared" si="13"/>
        <v>8.9448991674349791</v>
      </c>
      <c r="AJ13" s="161">
        <f t="shared" si="14"/>
        <v>9.7105953741135806</v>
      </c>
      <c r="AK13" s="160">
        <f t="shared" si="15"/>
        <v>1</v>
      </c>
    </row>
    <row r="14" spans="1:37" x14ac:dyDescent="0.2">
      <c r="A14" s="62" t="s">
        <v>37</v>
      </c>
      <c r="B14" s="62" t="s">
        <v>157</v>
      </c>
      <c r="C14" s="62" t="s">
        <v>201</v>
      </c>
      <c r="D14" s="62"/>
      <c r="E14" s="62">
        <f t="shared" si="2"/>
        <v>3</v>
      </c>
      <c r="F14" s="128">
        <v>1203</v>
      </c>
      <c r="G14" s="129">
        <v>5.7847663012117696</v>
      </c>
      <c r="H14" s="129">
        <v>5.4755626502092696</v>
      </c>
      <c r="I14" s="129">
        <v>6.1103019035743404</v>
      </c>
      <c r="J14" s="129"/>
      <c r="K14" s="129"/>
      <c r="L14" s="129"/>
      <c r="M14" s="60">
        <f t="shared" si="0"/>
        <v>2</v>
      </c>
      <c r="N14" s="61">
        <f t="shared" si="3"/>
        <v>2.0747821197638499</v>
      </c>
      <c r="O14" s="61">
        <f t="shared" si="16"/>
        <v>6.7646407207739498</v>
      </c>
      <c r="P14" s="129">
        <f t="shared" si="4"/>
        <v>8.7425051969694394</v>
      </c>
      <c r="Q14" s="129">
        <f t="shared" si="5"/>
        <v>8.6284533159573709</v>
      </c>
      <c r="R14" s="129">
        <f t="shared" si="6"/>
        <v>8.8579184808406506</v>
      </c>
      <c r="S14" s="61">
        <f t="shared" si="7"/>
        <v>10.4903635032935</v>
      </c>
      <c r="T14" s="61">
        <f t="shared" si="1"/>
        <v>16.959504685408302</v>
      </c>
      <c r="U14" s="61">
        <f t="shared" si="17"/>
        <v>5.8288207829793004</v>
      </c>
      <c r="V14" s="61"/>
      <c r="Y14" s="162" t="s">
        <v>29</v>
      </c>
      <c r="Z14" s="162" t="s">
        <v>55</v>
      </c>
      <c r="AA14" s="162" t="s">
        <v>201</v>
      </c>
      <c r="AB14" s="162">
        <f>RANK(AH14,$AH$14:$AH$22,1)</f>
        <v>8</v>
      </c>
      <c r="AC14" s="165">
        <f t="shared" ref="AC14:AC22" si="19">MIN($AH$14:$AH$22)</f>
        <v>2.0747821197638499</v>
      </c>
      <c r="AD14" s="165">
        <f>MAX($AH$14:$AH$22)</f>
        <v>9.9328627991048393</v>
      </c>
      <c r="AE14" s="162"/>
      <c r="AF14" s="162">
        <f t="shared" si="10"/>
        <v>13</v>
      </c>
      <c r="AG14" s="167">
        <f t="shared" si="11"/>
        <v>656</v>
      </c>
      <c r="AH14" s="165">
        <f t="shared" si="12"/>
        <v>8.6761010448353399</v>
      </c>
      <c r="AI14" s="165">
        <f t="shared" si="13"/>
        <v>8.0624268199646405</v>
      </c>
      <c r="AJ14" s="165">
        <f t="shared" si="14"/>
        <v>9.3317441746754106</v>
      </c>
      <c r="AK14" s="167">
        <f t="shared" si="15"/>
        <v>5</v>
      </c>
    </row>
    <row r="15" spans="1:37" x14ac:dyDescent="0.2">
      <c r="A15" s="62" t="s">
        <v>38</v>
      </c>
      <c r="B15" s="62" t="s">
        <v>62</v>
      </c>
      <c r="C15" s="62" t="s">
        <v>201</v>
      </c>
      <c r="D15" s="62"/>
      <c r="E15" s="62">
        <f t="shared" si="2"/>
        <v>18</v>
      </c>
      <c r="F15" s="128">
        <v>577</v>
      </c>
      <c r="G15" s="129">
        <v>9.9328627991048393</v>
      </c>
      <c r="H15" s="129">
        <v>9.1899779056265292</v>
      </c>
      <c r="I15" s="129">
        <v>10.7287050143029</v>
      </c>
      <c r="J15" s="129"/>
      <c r="K15" s="129"/>
      <c r="L15" s="129"/>
      <c r="M15" s="60">
        <f t="shared" si="0"/>
        <v>1</v>
      </c>
      <c r="N15" s="61">
        <f t="shared" si="3"/>
        <v>2.0747821197638499</v>
      </c>
      <c r="O15" s="61">
        <f t="shared" si="16"/>
        <v>6.7646407207739498</v>
      </c>
      <c r="P15" s="129">
        <f t="shared" si="4"/>
        <v>8.7425051969694394</v>
      </c>
      <c r="Q15" s="129">
        <f t="shared" si="5"/>
        <v>8.6284533159573709</v>
      </c>
      <c r="R15" s="129">
        <f t="shared" si="6"/>
        <v>8.8579184808406506</v>
      </c>
      <c r="S15" s="61">
        <f t="shared" si="7"/>
        <v>10.4903635032935</v>
      </c>
      <c r="T15" s="61">
        <f t="shared" si="1"/>
        <v>16.959504685408302</v>
      </c>
      <c r="U15" s="61">
        <f t="shared" si="17"/>
        <v>5.8288207829793004</v>
      </c>
      <c r="V15" s="61"/>
      <c r="Y15" s="162" t="s">
        <v>32</v>
      </c>
      <c r="Z15" s="162" t="s">
        <v>156</v>
      </c>
      <c r="AA15" s="162" t="s">
        <v>201</v>
      </c>
      <c r="AB15" s="162">
        <f>RANK(AH15,$AH$14:$AH$22,1)</f>
        <v>5</v>
      </c>
      <c r="AC15" s="165">
        <f t="shared" si="19"/>
        <v>2.0747821197638499</v>
      </c>
      <c r="AD15" s="165">
        <f t="shared" ref="AD15:AD22" si="20">MAX($AH$14:$AH$22)</f>
        <v>9.9328627991048393</v>
      </c>
      <c r="AE15" s="162"/>
      <c r="AF15" s="162">
        <f t="shared" si="10"/>
        <v>7</v>
      </c>
      <c r="AG15" s="167">
        <f t="shared" si="11"/>
        <v>916</v>
      </c>
      <c r="AH15" s="165">
        <f t="shared" si="12"/>
        <v>6.7646407207739498</v>
      </c>
      <c r="AI15" s="165">
        <f t="shared" si="13"/>
        <v>6.35378981639768</v>
      </c>
      <c r="AJ15" s="165">
        <f t="shared" si="14"/>
        <v>7.2000156260806003</v>
      </c>
      <c r="AK15" s="167">
        <f t="shared" si="15"/>
        <v>2</v>
      </c>
    </row>
    <row r="16" spans="1:37" x14ac:dyDescent="0.2">
      <c r="A16" s="62" t="s">
        <v>39</v>
      </c>
      <c r="B16" s="62" t="s">
        <v>158</v>
      </c>
      <c r="C16" s="62" t="s">
        <v>200</v>
      </c>
      <c r="D16" s="62"/>
      <c r="E16" s="62">
        <f t="shared" si="2"/>
        <v>26</v>
      </c>
      <c r="F16" s="128">
        <v>2027</v>
      </c>
      <c r="G16" s="129">
        <v>16.959504685408302</v>
      </c>
      <c r="H16" s="129">
        <v>16.297355336692299</v>
      </c>
      <c r="I16" s="129">
        <v>17.6428861159653</v>
      </c>
      <c r="J16" s="129"/>
      <c r="K16" s="129"/>
      <c r="L16" s="129"/>
      <c r="M16" s="60">
        <f t="shared" si="0"/>
        <v>1</v>
      </c>
      <c r="N16" s="61">
        <f t="shared" si="3"/>
        <v>2.0747821197638499</v>
      </c>
      <c r="O16" s="61">
        <f t="shared" si="16"/>
        <v>6.7646407207739498</v>
      </c>
      <c r="P16" s="129">
        <f t="shared" si="4"/>
        <v>8.7425051969694394</v>
      </c>
      <c r="Q16" s="129">
        <f t="shared" si="5"/>
        <v>8.6284533159573709</v>
      </c>
      <c r="R16" s="129">
        <f t="shared" si="6"/>
        <v>8.8579184808406506</v>
      </c>
      <c r="S16" s="61">
        <f t="shared" si="7"/>
        <v>10.4903635032935</v>
      </c>
      <c r="T16" s="61">
        <f t="shared" si="1"/>
        <v>16.959504685408302</v>
      </c>
      <c r="U16" s="61">
        <f t="shared" si="17"/>
        <v>10.350493684071536</v>
      </c>
      <c r="V16" s="61"/>
      <c r="Y16" s="162" t="s">
        <v>36</v>
      </c>
      <c r="Z16" s="162" t="s">
        <v>61</v>
      </c>
      <c r="AA16" s="162" t="s">
        <v>201</v>
      </c>
      <c r="AB16" s="162">
        <f>RANK(AH16,$AH$14:$AH$22,1)</f>
        <v>1</v>
      </c>
      <c r="AC16" s="165">
        <f t="shared" si="19"/>
        <v>2.0747821197638499</v>
      </c>
      <c r="AD16" s="165">
        <f t="shared" si="20"/>
        <v>9.9328627991048393</v>
      </c>
      <c r="AE16" s="162"/>
      <c r="AF16" s="162">
        <f t="shared" si="10"/>
        <v>1</v>
      </c>
      <c r="AG16" s="167">
        <f t="shared" si="11"/>
        <v>369</v>
      </c>
      <c r="AH16" s="165">
        <f t="shared" si="12"/>
        <v>2.0747821197638499</v>
      </c>
      <c r="AI16" s="165">
        <f t="shared" si="13"/>
        <v>1.8754127177780999</v>
      </c>
      <c r="AJ16" s="165">
        <f t="shared" si="14"/>
        <v>2.2948501997816502</v>
      </c>
      <c r="AK16" s="167">
        <f t="shared" si="15"/>
        <v>2</v>
      </c>
    </row>
    <row r="17" spans="1:37" x14ac:dyDescent="0.2">
      <c r="A17" s="62" t="s">
        <v>40</v>
      </c>
      <c r="B17" s="62" t="s">
        <v>63</v>
      </c>
      <c r="C17" s="62" t="s">
        <v>200</v>
      </c>
      <c r="D17" s="62"/>
      <c r="E17" s="62">
        <f t="shared" si="2"/>
        <v>12</v>
      </c>
      <c r="F17" s="128">
        <v>515</v>
      </c>
      <c r="G17" s="129">
        <v>8.20194298455168</v>
      </c>
      <c r="H17" s="129">
        <v>7.5485253808242403</v>
      </c>
      <c r="I17" s="129">
        <v>8.9064729761572092</v>
      </c>
      <c r="J17" s="129"/>
      <c r="K17" s="129"/>
      <c r="L17" s="129"/>
      <c r="M17" s="60">
        <f t="shared" si="0"/>
        <v>5</v>
      </c>
      <c r="N17" s="61">
        <f t="shared" si="3"/>
        <v>2.0747821197638499</v>
      </c>
      <c r="O17" s="61">
        <f t="shared" si="16"/>
        <v>6.7646407207739498</v>
      </c>
      <c r="P17" s="129">
        <f t="shared" si="4"/>
        <v>8.7425051969694394</v>
      </c>
      <c r="Q17" s="129">
        <f t="shared" si="5"/>
        <v>8.6284533159573709</v>
      </c>
      <c r="R17" s="129">
        <f t="shared" si="6"/>
        <v>8.8579184808406506</v>
      </c>
      <c r="S17" s="61">
        <f t="shared" si="7"/>
        <v>10.4903635032935</v>
      </c>
      <c r="T17" s="61">
        <f t="shared" si="1"/>
        <v>16.959504685408302</v>
      </c>
      <c r="U17" s="61">
        <f t="shared" si="17"/>
        <v>10.350493684071536</v>
      </c>
      <c r="V17" s="61"/>
      <c r="Y17" s="162" t="s">
        <v>37</v>
      </c>
      <c r="Z17" s="162" t="s">
        <v>157</v>
      </c>
      <c r="AA17" s="162" t="s">
        <v>201</v>
      </c>
      <c r="AB17" s="162">
        <f t="shared" ref="AB17:AB22" si="21">RANK(AH17,$AH$14:$AH$22,1)</f>
        <v>3</v>
      </c>
      <c r="AC17" s="165">
        <f t="shared" si="19"/>
        <v>2.0747821197638499</v>
      </c>
      <c r="AD17" s="165">
        <f>MAX($AH$14:$AH$22)</f>
        <v>9.9328627991048393</v>
      </c>
      <c r="AE17" s="162"/>
      <c r="AF17" s="162">
        <f t="shared" si="10"/>
        <v>3</v>
      </c>
      <c r="AG17" s="167">
        <f t="shared" si="11"/>
        <v>1203</v>
      </c>
      <c r="AH17" s="165">
        <f t="shared" si="12"/>
        <v>5.7847663012117696</v>
      </c>
      <c r="AI17" s="165">
        <f t="shared" si="13"/>
        <v>5.4755626502092696</v>
      </c>
      <c r="AJ17" s="165">
        <f t="shared" si="14"/>
        <v>6.1103019035743404</v>
      </c>
      <c r="AK17" s="167">
        <f t="shared" si="15"/>
        <v>2</v>
      </c>
    </row>
    <row r="18" spans="1:37" x14ac:dyDescent="0.2">
      <c r="A18" s="62" t="s">
        <v>41</v>
      </c>
      <c r="B18" s="62" t="s">
        <v>64</v>
      </c>
      <c r="C18" s="62" t="s">
        <v>163</v>
      </c>
      <c r="D18" s="62"/>
      <c r="E18" s="62">
        <f t="shared" si="2"/>
        <v>11</v>
      </c>
      <c r="F18" s="128">
        <v>654</v>
      </c>
      <c r="G18" s="129">
        <v>7.6401869158878499</v>
      </c>
      <c r="H18" s="129">
        <v>7.0962575602286799</v>
      </c>
      <c r="I18" s="129">
        <v>8.2221187213582105</v>
      </c>
      <c r="J18" s="129"/>
      <c r="K18" s="129"/>
      <c r="L18" s="129"/>
      <c r="M18" s="60">
        <f t="shared" si="0"/>
        <v>2</v>
      </c>
      <c r="N18" s="61">
        <f t="shared" si="3"/>
        <v>2.0747821197638499</v>
      </c>
      <c r="O18" s="61">
        <f t="shared" si="16"/>
        <v>6.7646407207739498</v>
      </c>
      <c r="P18" s="129">
        <f t="shared" si="4"/>
        <v>8.7425051969694394</v>
      </c>
      <c r="Q18" s="129">
        <f t="shared" si="5"/>
        <v>8.6284533159573709</v>
      </c>
      <c r="R18" s="129">
        <f t="shared" si="6"/>
        <v>8.8579184808406506</v>
      </c>
      <c r="S18" s="61">
        <f t="shared" si="7"/>
        <v>10.4903635032935</v>
      </c>
      <c r="T18" s="61">
        <f t="shared" si="1"/>
        <v>16.959504685408302</v>
      </c>
      <c r="U18" s="61">
        <f t="shared" si="17"/>
        <v>10.686261645453353</v>
      </c>
      <c r="V18" s="61"/>
      <c r="Y18" s="162" t="s">
        <v>38</v>
      </c>
      <c r="Z18" s="162" t="s">
        <v>62</v>
      </c>
      <c r="AA18" s="162" t="s">
        <v>201</v>
      </c>
      <c r="AB18" s="162">
        <f t="shared" si="21"/>
        <v>9</v>
      </c>
      <c r="AC18" s="165">
        <f t="shared" si="19"/>
        <v>2.0747821197638499</v>
      </c>
      <c r="AD18" s="165">
        <f t="shared" si="20"/>
        <v>9.9328627991048393</v>
      </c>
      <c r="AE18" s="162"/>
      <c r="AF18" s="162">
        <f t="shared" si="10"/>
        <v>18</v>
      </c>
      <c r="AG18" s="167">
        <f t="shared" si="11"/>
        <v>577</v>
      </c>
      <c r="AH18" s="165">
        <f t="shared" si="12"/>
        <v>9.9328627991048393</v>
      </c>
      <c r="AI18" s="165">
        <f t="shared" si="13"/>
        <v>9.1899779056265292</v>
      </c>
      <c r="AJ18" s="165">
        <f t="shared" si="14"/>
        <v>10.7287050143029</v>
      </c>
      <c r="AK18" s="167">
        <f t="shared" si="15"/>
        <v>1</v>
      </c>
    </row>
    <row r="19" spans="1:37" x14ac:dyDescent="0.2">
      <c r="A19" s="62" t="s">
        <v>42</v>
      </c>
      <c r="B19" s="62" t="s">
        <v>65</v>
      </c>
      <c r="C19" s="62" t="s">
        <v>200</v>
      </c>
      <c r="D19" s="62"/>
      <c r="E19" s="62">
        <f t="shared" si="2"/>
        <v>16</v>
      </c>
      <c r="F19" s="128">
        <v>393</v>
      </c>
      <c r="G19" s="129">
        <v>9.4357743097238895</v>
      </c>
      <c r="H19" s="129">
        <v>8.5849904339791898</v>
      </c>
      <c r="I19" s="129">
        <v>10.361315551092501</v>
      </c>
      <c r="J19" s="129"/>
      <c r="K19" s="129"/>
      <c r="L19" s="129"/>
      <c r="M19" s="60">
        <f t="shared" si="0"/>
        <v>5</v>
      </c>
      <c r="N19" s="61">
        <f t="shared" si="3"/>
        <v>2.0747821197638499</v>
      </c>
      <c r="O19" s="61">
        <f t="shared" si="16"/>
        <v>6.7646407207739498</v>
      </c>
      <c r="P19" s="129">
        <f t="shared" si="4"/>
        <v>8.7425051969694394</v>
      </c>
      <c r="Q19" s="129">
        <f t="shared" si="5"/>
        <v>8.6284533159573709</v>
      </c>
      <c r="R19" s="129">
        <f t="shared" si="6"/>
        <v>8.8579184808406506</v>
      </c>
      <c r="S19" s="61">
        <f t="shared" si="7"/>
        <v>10.4903635032935</v>
      </c>
      <c r="T19" s="61">
        <f t="shared" si="1"/>
        <v>16.959504685408302</v>
      </c>
      <c r="U19" s="61">
        <f t="shared" si="17"/>
        <v>10.350493684071536</v>
      </c>
      <c r="V19" s="61"/>
      <c r="Y19" s="162" t="s">
        <v>43</v>
      </c>
      <c r="Z19" s="162" t="s">
        <v>159</v>
      </c>
      <c r="AA19" s="162" t="s">
        <v>201</v>
      </c>
      <c r="AB19" s="162">
        <f t="shared" si="21"/>
        <v>7</v>
      </c>
      <c r="AC19" s="165">
        <f t="shared" si="19"/>
        <v>2.0747821197638499</v>
      </c>
      <c r="AD19" s="165">
        <f t="shared" si="20"/>
        <v>9.9328627991048393</v>
      </c>
      <c r="AE19" s="162"/>
      <c r="AF19" s="162">
        <f t="shared" si="10"/>
        <v>10</v>
      </c>
      <c r="AG19" s="167">
        <f t="shared" si="11"/>
        <v>586</v>
      </c>
      <c r="AH19" s="165">
        <f t="shared" si="12"/>
        <v>7.31768231768232</v>
      </c>
      <c r="AI19" s="165">
        <f t="shared" si="13"/>
        <v>6.7675278004864303</v>
      </c>
      <c r="AJ19" s="165">
        <f t="shared" si="14"/>
        <v>7.9087668424404196</v>
      </c>
      <c r="AK19" s="167">
        <f t="shared" si="15"/>
        <v>2</v>
      </c>
    </row>
    <row r="20" spans="1:37" x14ac:dyDescent="0.2">
      <c r="A20" s="62" t="s">
        <v>43</v>
      </c>
      <c r="B20" s="62" t="s">
        <v>159</v>
      </c>
      <c r="C20" s="62" t="s">
        <v>201</v>
      </c>
      <c r="D20" s="62"/>
      <c r="E20" s="62">
        <f t="shared" si="2"/>
        <v>10</v>
      </c>
      <c r="F20" s="128">
        <v>586</v>
      </c>
      <c r="G20" s="129">
        <v>7.31768231768232</v>
      </c>
      <c r="H20" s="129">
        <v>6.7675278004864303</v>
      </c>
      <c r="I20" s="129">
        <v>7.9087668424404196</v>
      </c>
      <c r="J20" s="129"/>
      <c r="K20" s="129"/>
      <c r="L20" s="129"/>
      <c r="M20" s="60">
        <f t="shared" si="0"/>
        <v>2</v>
      </c>
      <c r="N20" s="61">
        <f t="shared" si="3"/>
        <v>2.0747821197638499</v>
      </c>
      <c r="O20" s="61">
        <f t="shared" si="16"/>
        <v>6.7646407207739498</v>
      </c>
      <c r="P20" s="129">
        <f t="shared" si="4"/>
        <v>8.7425051969694394</v>
      </c>
      <c r="Q20" s="129">
        <f t="shared" si="5"/>
        <v>8.6284533159573709</v>
      </c>
      <c r="R20" s="129">
        <f t="shared" si="6"/>
        <v>8.8579184808406506</v>
      </c>
      <c r="S20" s="61">
        <f t="shared" si="7"/>
        <v>10.4903635032935</v>
      </c>
      <c r="T20" s="61">
        <f t="shared" si="1"/>
        <v>16.959504685408302</v>
      </c>
      <c r="U20" s="61">
        <f t="shared" si="17"/>
        <v>5.8288207829793004</v>
      </c>
      <c r="V20" s="61"/>
      <c r="Y20" s="162" t="s">
        <v>48</v>
      </c>
      <c r="Z20" s="162" t="s">
        <v>160</v>
      </c>
      <c r="AA20" s="162" t="s">
        <v>201</v>
      </c>
      <c r="AB20" s="162">
        <f t="shared" si="21"/>
        <v>6</v>
      </c>
      <c r="AC20" s="165">
        <f t="shared" si="19"/>
        <v>2.0747821197638499</v>
      </c>
      <c r="AD20" s="165">
        <f t="shared" si="20"/>
        <v>9.9328627991048393</v>
      </c>
      <c r="AE20" s="162"/>
      <c r="AF20" s="162">
        <f t="shared" si="10"/>
        <v>9</v>
      </c>
      <c r="AG20" s="167">
        <f t="shared" si="11"/>
        <v>370</v>
      </c>
      <c r="AH20" s="165">
        <f t="shared" si="12"/>
        <v>7.2350410637465803</v>
      </c>
      <c r="AI20" s="165">
        <f t="shared" si="13"/>
        <v>6.5566458102332401</v>
      </c>
      <c r="AJ20" s="165">
        <f t="shared" si="14"/>
        <v>7.9776351909624799</v>
      </c>
      <c r="AK20" s="167">
        <f t="shared" si="15"/>
        <v>2</v>
      </c>
    </row>
    <row r="21" spans="1:37" x14ac:dyDescent="0.2">
      <c r="A21" s="62" t="s">
        <v>44</v>
      </c>
      <c r="B21" s="62" t="s">
        <v>66</v>
      </c>
      <c r="C21" s="62" t="s">
        <v>200</v>
      </c>
      <c r="D21" s="62"/>
      <c r="E21" s="62">
        <f t="shared" si="2"/>
        <v>6</v>
      </c>
      <c r="F21" s="128">
        <v>232</v>
      </c>
      <c r="G21" s="129">
        <v>6.6551921973608703</v>
      </c>
      <c r="H21" s="129">
        <v>5.8745953272918801</v>
      </c>
      <c r="I21" s="129">
        <v>7.5312130551550904</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2</v>
      </c>
      <c r="N21" s="61">
        <f t="shared" si="3"/>
        <v>2.0747821197638499</v>
      </c>
      <c r="O21" s="61">
        <f t="shared" si="16"/>
        <v>6.7646407207739498</v>
      </c>
      <c r="P21" s="129">
        <f t="shared" si="4"/>
        <v>8.7425051969694394</v>
      </c>
      <c r="Q21" s="129">
        <f t="shared" si="5"/>
        <v>8.6284533159573709</v>
      </c>
      <c r="R21" s="129">
        <f t="shared" si="6"/>
        <v>8.8579184808406506</v>
      </c>
      <c r="S21" s="61">
        <f t="shared" si="7"/>
        <v>10.4903635032935</v>
      </c>
      <c r="T21" s="61">
        <f t="shared" si="1"/>
        <v>16.959504685408302</v>
      </c>
      <c r="U21" s="61">
        <f t="shared" si="17"/>
        <v>10.350493684071536</v>
      </c>
      <c r="V21" s="61"/>
      <c r="Y21" s="162" t="s">
        <v>52</v>
      </c>
      <c r="Z21" s="162" t="s">
        <v>72</v>
      </c>
      <c r="AA21" s="162" t="s">
        <v>201</v>
      </c>
      <c r="AB21" s="162">
        <f t="shared" si="21"/>
        <v>4</v>
      </c>
      <c r="AC21" s="165">
        <f t="shared" si="19"/>
        <v>2.0747821197638499</v>
      </c>
      <c r="AD21" s="165">
        <f t="shared" si="20"/>
        <v>9.9328627991048393</v>
      </c>
      <c r="AE21" s="162"/>
      <c r="AF21" s="162">
        <f t="shared" si="10"/>
        <v>4</v>
      </c>
      <c r="AG21" s="167">
        <f t="shared" si="11"/>
        <v>235</v>
      </c>
      <c r="AH21" s="165">
        <f t="shared" si="12"/>
        <v>5.9735638027453</v>
      </c>
      <c r="AI21" s="165">
        <f t="shared" si="13"/>
        <v>5.27504787536368</v>
      </c>
      <c r="AJ21" s="165">
        <f t="shared" si="14"/>
        <v>6.7579774197328897</v>
      </c>
      <c r="AK21" s="167">
        <f t="shared" si="15"/>
        <v>2</v>
      </c>
    </row>
    <row r="22" spans="1:37" x14ac:dyDescent="0.2">
      <c r="A22" s="62" t="s">
        <v>45</v>
      </c>
      <c r="B22" s="62" t="s">
        <v>67</v>
      </c>
      <c r="C22" s="62" t="s">
        <v>163</v>
      </c>
      <c r="D22" s="62"/>
      <c r="E22" s="62">
        <f t="shared" si="2"/>
        <v>21</v>
      </c>
      <c r="F22" s="128">
        <v>782</v>
      </c>
      <c r="G22" s="129">
        <v>11.268011527377499</v>
      </c>
      <c r="H22" s="129">
        <v>10.545405913734999</v>
      </c>
      <c r="I22" s="129">
        <v>12.0334716156343</v>
      </c>
      <c r="J22" s="129"/>
      <c r="K22" s="129"/>
      <c r="L22" s="129"/>
      <c r="M22" s="60">
        <f t="shared" si="0"/>
        <v>1</v>
      </c>
      <c r="N22" s="61">
        <f t="shared" si="3"/>
        <v>2.0747821197638499</v>
      </c>
      <c r="O22" s="61">
        <f t="shared" si="16"/>
        <v>6.7646407207739498</v>
      </c>
      <c r="P22" s="129">
        <f t="shared" si="4"/>
        <v>8.7425051969694394</v>
      </c>
      <c r="Q22" s="129">
        <f t="shared" si="5"/>
        <v>8.6284533159573709</v>
      </c>
      <c r="R22" s="129">
        <f t="shared" si="6"/>
        <v>8.8579184808406506</v>
      </c>
      <c r="S22" s="61">
        <f t="shared" si="7"/>
        <v>10.4903635032935</v>
      </c>
      <c r="T22" s="61">
        <f t="shared" si="1"/>
        <v>16.959504685408302</v>
      </c>
      <c r="U22" s="61">
        <f>VLOOKUP(C22,$C$43:$I$46,5,FALSE)</f>
        <v>10.686261645453353</v>
      </c>
      <c r="V22" s="61"/>
      <c r="Y22" s="162" t="s">
        <v>54</v>
      </c>
      <c r="Z22" s="162" t="s">
        <v>73</v>
      </c>
      <c r="AA22" s="162" t="s">
        <v>201</v>
      </c>
      <c r="AB22" s="162">
        <f t="shared" si="21"/>
        <v>2</v>
      </c>
      <c r="AC22" s="165">
        <f t="shared" si="19"/>
        <v>2.0747821197638499</v>
      </c>
      <c r="AD22" s="165">
        <f t="shared" si="20"/>
        <v>9.9328627991048393</v>
      </c>
      <c r="AE22" s="162"/>
      <c r="AF22" s="162">
        <f t="shared" si="10"/>
        <v>2</v>
      </c>
      <c r="AG22" s="167">
        <f t="shared" si="11"/>
        <v>212</v>
      </c>
      <c r="AH22" s="165">
        <f t="shared" si="12"/>
        <v>3.90999631132423</v>
      </c>
      <c r="AI22" s="165">
        <f t="shared" si="13"/>
        <v>3.4258433977457301</v>
      </c>
      <c r="AJ22" s="165">
        <f t="shared" si="14"/>
        <v>4.4594120426829598</v>
      </c>
      <c r="AK22" s="167">
        <f t="shared" si="15"/>
        <v>2</v>
      </c>
    </row>
    <row r="23" spans="1:37" x14ac:dyDescent="0.2">
      <c r="A23" s="62" t="s">
        <v>46</v>
      </c>
      <c r="B23" s="62" t="s">
        <v>68</v>
      </c>
      <c r="C23" s="62" t="s">
        <v>163</v>
      </c>
      <c r="D23" s="62"/>
      <c r="E23" s="62">
        <f t="shared" si="2"/>
        <v>17</v>
      </c>
      <c r="F23" s="128">
        <v>844</v>
      </c>
      <c r="G23" s="129">
        <v>9.47675724230856</v>
      </c>
      <c r="H23" s="129">
        <v>8.8858105865483505</v>
      </c>
      <c r="I23" s="129">
        <v>10.1026469145195</v>
      </c>
      <c r="J23" s="129"/>
      <c r="K23" s="129"/>
      <c r="L23" s="129"/>
      <c r="M23" s="60">
        <f t="shared" si="0"/>
        <v>1</v>
      </c>
      <c r="N23" s="61">
        <f t="shared" si="3"/>
        <v>2.0747821197638499</v>
      </c>
      <c r="O23" s="61">
        <f t="shared" si="16"/>
        <v>6.7646407207739498</v>
      </c>
      <c r="P23" s="129">
        <f t="shared" si="4"/>
        <v>8.7425051969694394</v>
      </c>
      <c r="Q23" s="129">
        <f t="shared" si="5"/>
        <v>8.6284533159573709</v>
      </c>
      <c r="R23" s="129">
        <f t="shared" si="6"/>
        <v>8.8579184808406506</v>
      </c>
      <c r="S23" s="61">
        <f t="shared" si="7"/>
        <v>10.4903635032935</v>
      </c>
      <c r="T23" s="61">
        <f t="shared" si="1"/>
        <v>16.959504685408302</v>
      </c>
      <c r="U23" s="61">
        <f t="shared" si="17"/>
        <v>10.686261645453353</v>
      </c>
      <c r="V23" s="61"/>
      <c r="Y23" s="163" t="s">
        <v>30</v>
      </c>
      <c r="Z23" s="163" t="s">
        <v>56</v>
      </c>
      <c r="AA23" s="163" t="s">
        <v>200</v>
      </c>
      <c r="AB23" s="163">
        <f>RANK(AH23,$AH$23:$AH$31,1)</f>
        <v>3</v>
      </c>
      <c r="AC23" s="166">
        <f>MIN($AH$23:$AH$31)</f>
        <v>6.6181336863004603</v>
      </c>
      <c r="AD23" s="166">
        <f>MAX($AH$23:$AH$31)</f>
        <v>16.959504685408302</v>
      </c>
      <c r="AE23" s="163"/>
      <c r="AF23" s="163">
        <f t="shared" si="10"/>
        <v>8</v>
      </c>
      <c r="AG23" s="168">
        <f t="shared" si="11"/>
        <v>603</v>
      </c>
      <c r="AH23" s="166">
        <f t="shared" si="12"/>
        <v>6.8336355394378998</v>
      </c>
      <c r="AI23" s="166">
        <f t="shared" si="13"/>
        <v>6.3257323943181296</v>
      </c>
      <c r="AJ23" s="166">
        <f t="shared" si="14"/>
        <v>7.37910660244287</v>
      </c>
      <c r="AK23" s="168">
        <f t="shared" si="15"/>
        <v>2</v>
      </c>
    </row>
    <row r="24" spans="1:37" x14ac:dyDescent="0.2">
      <c r="A24" s="62" t="s">
        <v>47</v>
      </c>
      <c r="B24" s="62" t="s">
        <v>69</v>
      </c>
      <c r="C24" s="62" t="s">
        <v>163</v>
      </c>
      <c r="D24" s="62"/>
      <c r="E24" s="62">
        <f t="shared" si="2"/>
        <v>15</v>
      </c>
      <c r="F24" s="128">
        <v>405</v>
      </c>
      <c r="G24" s="129">
        <v>9.3989324669296792</v>
      </c>
      <c r="H24" s="129">
        <v>8.5634374677935092</v>
      </c>
      <c r="I24" s="129">
        <v>10.3067544136218</v>
      </c>
      <c r="J24" s="129"/>
      <c r="K24" s="129"/>
      <c r="L24" s="129"/>
      <c r="M24" s="60">
        <f t="shared" si="0"/>
        <v>5</v>
      </c>
      <c r="N24" s="61">
        <f t="shared" si="3"/>
        <v>2.0747821197638499</v>
      </c>
      <c r="O24" s="61">
        <f t="shared" si="16"/>
        <v>6.7646407207739498</v>
      </c>
      <c r="P24" s="129">
        <f t="shared" si="4"/>
        <v>8.7425051969694394</v>
      </c>
      <c r="Q24" s="129">
        <f t="shared" si="5"/>
        <v>8.6284533159573709</v>
      </c>
      <c r="R24" s="129">
        <f t="shared" si="6"/>
        <v>8.8579184808406506</v>
      </c>
      <c r="S24" s="61">
        <f t="shared" si="7"/>
        <v>10.4903635032935</v>
      </c>
      <c r="T24" s="61">
        <f t="shared" si="1"/>
        <v>16.959504685408302</v>
      </c>
      <c r="U24" s="61">
        <f t="shared" si="17"/>
        <v>10.686261645453353</v>
      </c>
      <c r="V24" s="61"/>
      <c r="Y24" s="163" t="s">
        <v>31</v>
      </c>
      <c r="Z24" s="163" t="s">
        <v>57</v>
      </c>
      <c r="AA24" s="163" t="s">
        <v>200</v>
      </c>
      <c r="AB24" s="163">
        <f t="shared" ref="AB24:AB31" si="22">RANK(AH24,$AH$23:$AH$31,1)</f>
        <v>6</v>
      </c>
      <c r="AC24" s="166">
        <f t="shared" ref="AC24:AC31" si="23">MIN($AH$23:$AH$31)</f>
        <v>6.6181336863004603</v>
      </c>
      <c r="AD24" s="166">
        <f t="shared" ref="AD24:AD31" si="24">MAX($AH$23:$AH$31)</f>
        <v>16.959504685408302</v>
      </c>
      <c r="AE24" s="163"/>
      <c r="AF24" s="163">
        <f t="shared" si="10"/>
        <v>19</v>
      </c>
      <c r="AG24" s="168">
        <f t="shared" si="11"/>
        <v>1032</v>
      </c>
      <c r="AH24" s="166">
        <f t="shared" si="12"/>
        <v>10.2482621648461</v>
      </c>
      <c r="AI24" s="166">
        <f t="shared" si="13"/>
        <v>9.6709876293024593</v>
      </c>
      <c r="AJ24" s="166">
        <f t="shared" si="14"/>
        <v>10.855853767532199</v>
      </c>
      <c r="AK24" s="168">
        <f t="shared" si="15"/>
        <v>1</v>
      </c>
    </row>
    <row r="25" spans="1:37" x14ac:dyDescent="0.2">
      <c r="A25" s="62" t="s">
        <v>48</v>
      </c>
      <c r="B25" s="62" t="s">
        <v>160</v>
      </c>
      <c r="C25" s="62" t="s">
        <v>201</v>
      </c>
      <c r="D25" s="62"/>
      <c r="E25" s="62">
        <f t="shared" si="2"/>
        <v>9</v>
      </c>
      <c r="F25" s="128">
        <v>370</v>
      </c>
      <c r="G25" s="129">
        <v>7.2350410637465803</v>
      </c>
      <c r="H25" s="129">
        <v>6.5566458102332401</v>
      </c>
      <c r="I25" s="129">
        <v>7.9776351909624799</v>
      </c>
      <c r="J25" s="129"/>
      <c r="K25" s="129"/>
      <c r="L25" s="129"/>
      <c r="M25" s="60">
        <f t="shared" si="0"/>
        <v>2</v>
      </c>
      <c r="N25" s="61">
        <f t="shared" si="3"/>
        <v>2.0747821197638499</v>
      </c>
      <c r="O25" s="61">
        <f t="shared" si="16"/>
        <v>6.7646407207739498</v>
      </c>
      <c r="P25" s="129">
        <f t="shared" si="4"/>
        <v>8.7425051969694394</v>
      </c>
      <c r="Q25" s="129">
        <f t="shared" si="5"/>
        <v>8.6284533159573709</v>
      </c>
      <c r="R25" s="129">
        <f t="shared" si="6"/>
        <v>8.8579184808406506</v>
      </c>
      <c r="S25" s="61">
        <f t="shared" si="7"/>
        <v>10.4903635032935</v>
      </c>
      <c r="T25" s="61">
        <f t="shared" si="1"/>
        <v>16.959504685408302</v>
      </c>
      <c r="U25" s="61">
        <f t="shared" si="17"/>
        <v>5.8288207829793004</v>
      </c>
      <c r="V25" s="61"/>
      <c r="Y25" s="163" t="s">
        <v>34</v>
      </c>
      <c r="Z25" s="163" t="s">
        <v>59</v>
      </c>
      <c r="AA25" s="163" t="s">
        <v>200</v>
      </c>
      <c r="AB25" s="163">
        <f t="shared" si="22"/>
        <v>8</v>
      </c>
      <c r="AC25" s="166">
        <f t="shared" si="23"/>
        <v>6.6181336863004603</v>
      </c>
      <c r="AD25" s="166">
        <f t="shared" si="24"/>
        <v>16.959504685408302</v>
      </c>
      <c r="AE25" s="163"/>
      <c r="AF25" s="163">
        <f t="shared" si="10"/>
        <v>22</v>
      </c>
      <c r="AG25" s="168">
        <f t="shared" si="11"/>
        <v>1323</v>
      </c>
      <c r="AH25" s="166">
        <f t="shared" si="12"/>
        <v>11.2778109283096</v>
      </c>
      <c r="AI25" s="166">
        <f t="shared" si="13"/>
        <v>10.7180276791417</v>
      </c>
      <c r="AJ25" s="166">
        <f t="shared" si="14"/>
        <v>11.8629459805314</v>
      </c>
      <c r="AK25" s="168">
        <f t="shared" si="15"/>
        <v>1</v>
      </c>
    </row>
    <row r="26" spans="1:37" x14ac:dyDescent="0.2">
      <c r="A26" s="62" t="s">
        <v>49</v>
      </c>
      <c r="B26" s="62" t="s">
        <v>70</v>
      </c>
      <c r="C26" s="62" t="s">
        <v>200</v>
      </c>
      <c r="D26" s="62"/>
      <c r="E26" s="62">
        <f t="shared" si="2"/>
        <v>5</v>
      </c>
      <c r="F26" s="128">
        <v>500</v>
      </c>
      <c r="G26" s="129">
        <v>6.6181336863004603</v>
      </c>
      <c r="H26" s="129">
        <v>6.0793195779583398</v>
      </c>
      <c r="I26" s="129">
        <v>7.2010417616656603</v>
      </c>
      <c r="J26" s="129"/>
      <c r="K26" s="129"/>
      <c r="L26" s="129"/>
      <c r="M26" s="60">
        <f t="shared" si="0"/>
        <v>2</v>
      </c>
      <c r="N26" s="61">
        <f t="shared" si="3"/>
        <v>2.0747821197638499</v>
      </c>
      <c r="O26" s="61">
        <f t="shared" si="16"/>
        <v>6.7646407207739498</v>
      </c>
      <c r="P26" s="129">
        <f t="shared" si="4"/>
        <v>8.7425051969694394</v>
      </c>
      <c r="Q26" s="129">
        <f t="shared" si="5"/>
        <v>8.6284533159573709</v>
      </c>
      <c r="R26" s="129">
        <f t="shared" si="6"/>
        <v>8.8579184808406506</v>
      </c>
      <c r="S26" s="61">
        <f t="shared" si="7"/>
        <v>10.4903635032935</v>
      </c>
      <c r="T26" s="61">
        <f t="shared" si="1"/>
        <v>16.959504685408302</v>
      </c>
      <c r="U26" s="61">
        <f t="shared" si="17"/>
        <v>10.350493684071536</v>
      </c>
      <c r="V26" s="61"/>
      <c r="Y26" s="163" t="s">
        <v>39</v>
      </c>
      <c r="Z26" s="163" t="s">
        <v>158</v>
      </c>
      <c r="AA26" s="163" t="s">
        <v>200</v>
      </c>
      <c r="AB26" s="163">
        <f t="shared" si="22"/>
        <v>9</v>
      </c>
      <c r="AC26" s="166">
        <f t="shared" si="23"/>
        <v>6.6181336863004603</v>
      </c>
      <c r="AD26" s="166">
        <f t="shared" si="24"/>
        <v>16.959504685408302</v>
      </c>
      <c r="AE26" s="163"/>
      <c r="AF26" s="163">
        <f t="shared" si="10"/>
        <v>26</v>
      </c>
      <c r="AG26" s="168">
        <f t="shared" si="11"/>
        <v>2027</v>
      </c>
      <c r="AH26" s="166">
        <f t="shared" si="12"/>
        <v>16.959504685408302</v>
      </c>
      <c r="AI26" s="166">
        <f t="shared" si="13"/>
        <v>16.297355336692299</v>
      </c>
      <c r="AJ26" s="166">
        <f t="shared" si="14"/>
        <v>17.6428861159653</v>
      </c>
      <c r="AK26" s="168">
        <f t="shared" si="15"/>
        <v>1</v>
      </c>
    </row>
    <row r="27" spans="1:37" x14ac:dyDescent="0.2">
      <c r="A27" s="62" t="s">
        <v>50</v>
      </c>
      <c r="B27" s="62" t="s">
        <v>161</v>
      </c>
      <c r="C27" s="62" t="s">
        <v>163</v>
      </c>
      <c r="D27" s="62"/>
      <c r="E27" s="62">
        <f t="shared" si="2"/>
        <v>25</v>
      </c>
      <c r="F27" s="128">
        <v>648</v>
      </c>
      <c r="G27" s="129">
        <v>14.588023412877099</v>
      </c>
      <c r="H27" s="129">
        <v>13.5805732854233</v>
      </c>
      <c r="I27" s="129">
        <v>15.656669447147999</v>
      </c>
      <c r="J27" s="129"/>
      <c r="K27" s="129"/>
      <c r="L27" s="129"/>
      <c r="M27" s="60">
        <f t="shared" si="0"/>
        <v>1</v>
      </c>
      <c r="N27" s="61">
        <f t="shared" si="3"/>
        <v>2.0747821197638499</v>
      </c>
      <c r="O27" s="61">
        <f t="shared" si="16"/>
        <v>6.7646407207739498</v>
      </c>
      <c r="P27" s="129">
        <f t="shared" si="4"/>
        <v>8.7425051969694394</v>
      </c>
      <c r="Q27" s="129">
        <f t="shared" si="5"/>
        <v>8.6284533159573709</v>
      </c>
      <c r="R27" s="129">
        <f t="shared" si="6"/>
        <v>8.8579184808406506</v>
      </c>
      <c r="S27" s="61">
        <f t="shared" si="7"/>
        <v>10.4903635032935</v>
      </c>
      <c r="T27" s="61">
        <f t="shared" si="1"/>
        <v>16.959504685408302</v>
      </c>
      <c r="U27" s="61">
        <f t="shared" si="17"/>
        <v>10.686261645453353</v>
      </c>
      <c r="V27" s="61"/>
      <c r="Y27" s="163" t="s">
        <v>40</v>
      </c>
      <c r="Z27" s="163" t="s">
        <v>63</v>
      </c>
      <c r="AA27" s="163" t="s">
        <v>200</v>
      </c>
      <c r="AB27" s="163">
        <f t="shared" si="22"/>
        <v>4</v>
      </c>
      <c r="AC27" s="166">
        <f t="shared" si="23"/>
        <v>6.6181336863004603</v>
      </c>
      <c r="AD27" s="166">
        <f t="shared" si="24"/>
        <v>16.959504685408302</v>
      </c>
      <c r="AE27" s="163"/>
      <c r="AF27" s="163">
        <f t="shared" si="10"/>
        <v>12</v>
      </c>
      <c r="AG27" s="168">
        <f t="shared" si="11"/>
        <v>515</v>
      </c>
      <c r="AH27" s="166">
        <f t="shared" si="12"/>
        <v>8.20194298455168</v>
      </c>
      <c r="AI27" s="166">
        <f t="shared" si="13"/>
        <v>7.5485253808242403</v>
      </c>
      <c r="AJ27" s="166">
        <f t="shared" si="14"/>
        <v>8.9064729761572092</v>
      </c>
      <c r="AK27" s="168">
        <f t="shared" si="15"/>
        <v>5</v>
      </c>
    </row>
    <row r="28" spans="1:37" x14ac:dyDescent="0.2">
      <c r="A28" s="62" t="s">
        <v>51</v>
      </c>
      <c r="B28" s="62" t="s">
        <v>71</v>
      </c>
      <c r="C28" s="62" t="s">
        <v>200</v>
      </c>
      <c r="D28" s="62"/>
      <c r="E28" s="62">
        <f t="shared" si="2"/>
        <v>20</v>
      </c>
      <c r="F28" s="128">
        <v>430</v>
      </c>
      <c r="G28" s="129">
        <v>10.4903635032935</v>
      </c>
      <c r="H28" s="129">
        <v>9.5889871363461197</v>
      </c>
      <c r="I28" s="129">
        <v>11.4657250062233</v>
      </c>
      <c r="J28" s="129"/>
      <c r="K28" s="129"/>
      <c r="L28" s="129"/>
      <c r="M28" s="60">
        <f t="shared" si="0"/>
        <v>1</v>
      </c>
      <c r="N28" s="61">
        <f t="shared" si="3"/>
        <v>2.0747821197638499</v>
      </c>
      <c r="O28" s="61">
        <f t="shared" si="16"/>
        <v>6.7646407207739498</v>
      </c>
      <c r="P28" s="129">
        <f t="shared" si="4"/>
        <v>8.7425051969694394</v>
      </c>
      <c r="Q28" s="129">
        <f t="shared" si="5"/>
        <v>8.6284533159573709</v>
      </c>
      <c r="R28" s="129">
        <f t="shared" si="6"/>
        <v>8.8579184808406506</v>
      </c>
      <c r="S28" s="61">
        <f t="shared" si="7"/>
        <v>10.4903635032935</v>
      </c>
      <c r="T28" s="61">
        <f t="shared" si="1"/>
        <v>16.959504685408302</v>
      </c>
      <c r="U28" s="61">
        <f t="shared" si="17"/>
        <v>10.350493684071536</v>
      </c>
      <c r="V28" s="61"/>
      <c r="Y28" s="163" t="s">
        <v>42</v>
      </c>
      <c r="Z28" s="163" t="s">
        <v>65</v>
      </c>
      <c r="AA28" s="163" t="s">
        <v>200</v>
      </c>
      <c r="AB28" s="163">
        <f t="shared" si="22"/>
        <v>5</v>
      </c>
      <c r="AC28" s="166">
        <f t="shared" si="23"/>
        <v>6.6181336863004603</v>
      </c>
      <c r="AD28" s="166">
        <f t="shared" si="24"/>
        <v>16.959504685408302</v>
      </c>
      <c r="AE28" s="163"/>
      <c r="AF28" s="163">
        <f t="shared" si="10"/>
        <v>16</v>
      </c>
      <c r="AG28" s="168">
        <f t="shared" si="11"/>
        <v>393</v>
      </c>
      <c r="AH28" s="166">
        <f t="shared" si="12"/>
        <v>9.4357743097238895</v>
      </c>
      <c r="AI28" s="166">
        <f t="shared" si="13"/>
        <v>8.5849904339791898</v>
      </c>
      <c r="AJ28" s="166">
        <f t="shared" si="14"/>
        <v>10.361315551092501</v>
      </c>
      <c r="AK28" s="168">
        <f t="shared" si="15"/>
        <v>5</v>
      </c>
    </row>
    <row r="29" spans="1:37" x14ac:dyDescent="0.2">
      <c r="A29" s="62" t="s">
        <v>52</v>
      </c>
      <c r="B29" s="62" t="s">
        <v>72</v>
      </c>
      <c r="C29" s="62" t="s">
        <v>201</v>
      </c>
      <c r="D29" s="62"/>
      <c r="E29" s="62">
        <f t="shared" si="2"/>
        <v>4</v>
      </c>
      <c r="F29" s="128">
        <v>235</v>
      </c>
      <c r="G29" s="129">
        <v>5.9735638027453</v>
      </c>
      <c r="H29" s="129">
        <v>5.27504787536368</v>
      </c>
      <c r="I29" s="129">
        <v>6.7579774197328897</v>
      </c>
      <c r="J29" s="129"/>
      <c r="K29" s="129"/>
      <c r="L29" s="129"/>
      <c r="M29" s="60">
        <f t="shared" si="0"/>
        <v>2</v>
      </c>
      <c r="N29" s="61">
        <f t="shared" si="3"/>
        <v>2.0747821197638499</v>
      </c>
      <c r="O29" s="61">
        <f t="shared" si="16"/>
        <v>6.7646407207739498</v>
      </c>
      <c r="P29" s="129">
        <f t="shared" si="4"/>
        <v>8.7425051969694394</v>
      </c>
      <c r="Q29" s="129">
        <f t="shared" si="5"/>
        <v>8.6284533159573709</v>
      </c>
      <c r="R29" s="129">
        <f t="shared" si="6"/>
        <v>8.8579184808406506</v>
      </c>
      <c r="S29" s="61">
        <f t="shared" si="7"/>
        <v>10.4903635032935</v>
      </c>
      <c r="T29" s="61">
        <f t="shared" si="1"/>
        <v>16.959504685408302</v>
      </c>
      <c r="U29" s="61">
        <f t="shared" si="17"/>
        <v>5.8288207829793004</v>
      </c>
      <c r="V29" s="61"/>
      <c r="Y29" s="163" t="s">
        <v>44</v>
      </c>
      <c r="Z29" s="163" t="s">
        <v>66</v>
      </c>
      <c r="AA29" s="163" t="s">
        <v>200</v>
      </c>
      <c r="AB29" s="163">
        <f t="shared" si="22"/>
        <v>2</v>
      </c>
      <c r="AC29" s="166">
        <f t="shared" si="23"/>
        <v>6.6181336863004603</v>
      </c>
      <c r="AD29" s="166">
        <f t="shared" si="24"/>
        <v>16.959504685408302</v>
      </c>
      <c r="AE29" s="163"/>
      <c r="AF29" s="163">
        <f t="shared" si="10"/>
        <v>6</v>
      </c>
      <c r="AG29" s="168">
        <f t="shared" si="11"/>
        <v>232</v>
      </c>
      <c r="AH29" s="166">
        <f t="shared" si="12"/>
        <v>6.6551921973608703</v>
      </c>
      <c r="AI29" s="166">
        <f t="shared" si="13"/>
        <v>5.8745953272918801</v>
      </c>
      <c r="AJ29" s="166">
        <f t="shared" si="14"/>
        <v>7.5312130551550904</v>
      </c>
      <c r="AK29" s="168">
        <f t="shared" si="15"/>
        <v>2</v>
      </c>
    </row>
    <row r="30" spans="1:37" x14ac:dyDescent="0.2">
      <c r="A30" s="62" t="s">
        <v>53</v>
      </c>
      <c r="B30" s="62" t="s">
        <v>162</v>
      </c>
      <c r="C30" s="62" t="s">
        <v>163</v>
      </c>
      <c r="D30" s="62"/>
      <c r="E30" s="62">
        <f t="shared" si="2"/>
        <v>14</v>
      </c>
      <c r="F30" s="128">
        <v>2065</v>
      </c>
      <c r="G30" s="129">
        <v>9.3206951026856206</v>
      </c>
      <c r="H30" s="129">
        <v>8.9448991674349791</v>
      </c>
      <c r="I30" s="129">
        <v>9.7105953741135806</v>
      </c>
      <c r="J30" s="129"/>
      <c r="K30" s="129"/>
      <c r="L30" s="129"/>
      <c r="M30" s="60">
        <f t="shared" si="0"/>
        <v>1</v>
      </c>
      <c r="N30" s="61">
        <f t="shared" si="3"/>
        <v>2.0747821197638499</v>
      </c>
      <c r="O30" s="61">
        <f t="shared" si="16"/>
        <v>6.7646407207739498</v>
      </c>
      <c r="P30" s="129">
        <f>$G$32</f>
        <v>8.7425051969694394</v>
      </c>
      <c r="Q30" s="129">
        <f t="shared" si="5"/>
        <v>8.6284533159573709</v>
      </c>
      <c r="R30" s="129">
        <f t="shared" si="6"/>
        <v>8.8579184808406506</v>
      </c>
      <c r="S30" s="61">
        <f t="shared" si="7"/>
        <v>10.4903635032935</v>
      </c>
      <c r="T30" s="61">
        <f t="shared" si="1"/>
        <v>16.959504685408302</v>
      </c>
      <c r="U30" s="61">
        <f t="shared" si="17"/>
        <v>10.686261645453353</v>
      </c>
      <c r="V30" s="61"/>
      <c r="Y30" s="163" t="s">
        <v>49</v>
      </c>
      <c r="Z30" s="163" t="s">
        <v>70</v>
      </c>
      <c r="AA30" s="163" t="s">
        <v>200</v>
      </c>
      <c r="AB30" s="163">
        <f t="shared" si="22"/>
        <v>1</v>
      </c>
      <c r="AC30" s="166">
        <f t="shared" si="23"/>
        <v>6.6181336863004603</v>
      </c>
      <c r="AD30" s="166">
        <f t="shared" si="24"/>
        <v>16.959504685408302</v>
      </c>
      <c r="AE30" s="163"/>
      <c r="AF30" s="163">
        <f t="shared" si="10"/>
        <v>5</v>
      </c>
      <c r="AG30" s="168">
        <f t="shared" si="11"/>
        <v>500</v>
      </c>
      <c r="AH30" s="166">
        <f t="shared" si="12"/>
        <v>6.6181336863004603</v>
      </c>
      <c r="AI30" s="166">
        <f t="shared" si="13"/>
        <v>6.0793195779583398</v>
      </c>
      <c r="AJ30" s="166">
        <f t="shared" si="14"/>
        <v>7.2010417616656603</v>
      </c>
      <c r="AK30" s="168">
        <f t="shared" si="15"/>
        <v>2</v>
      </c>
    </row>
    <row r="31" spans="1:37" x14ac:dyDescent="0.2">
      <c r="A31" s="62" t="s">
        <v>54</v>
      </c>
      <c r="B31" s="62" t="s">
        <v>73</v>
      </c>
      <c r="C31" s="62" t="s">
        <v>201</v>
      </c>
      <c r="D31" s="62"/>
      <c r="E31" s="62">
        <f t="shared" si="2"/>
        <v>2</v>
      </c>
      <c r="F31" s="128">
        <v>212</v>
      </c>
      <c r="G31" s="129">
        <v>3.90999631132423</v>
      </c>
      <c r="H31" s="129">
        <v>3.4258433977457301</v>
      </c>
      <c r="I31" s="129">
        <v>4.4594120426829598</v>
      </c>
      <c r="J31" s="129"/>
      <c r="K31" s="129"/>
      <c r="L31" s="129"/>
      <c r="M31" s="60">
        <f t="shared" si="0"/>
        <v>2</v>
      </c>
      <c r="N31" s="61">
        <f t="shared" si="3"/>
        <v>2.0747821197638499</v>
      </c>
      <c r="O31" s="61">
        <f t="shared" si="16"/>
        <v>6.7646407207739498</v>
      </c>
      <c r="P31" s="129">
        <f t="shared" si="4"/>
        <v>8.7425051969694394</v>
      </c>
      <c r="Q31" s="129">
        <f t="shared" si="5"/>
        <v>8.6284533159573709</v>
      </c>
      <c r="R31" s="129">
        <f t="shared" si="6"/>
        <v>8.8579184808406506</v>
      </c>
      <c r="S31" s="61">
        <f t="shared" si="7"/>
        <v>10.4903635032935</v>
      </c>
      <c r="T31" s="61">
        <f t="shared" si="1"/>
        <v>16.959504685408302</v>
      </c>
      <c r="U31" s="61">
        <f t="shared" si="17"/>
        <v>5.8288207829793004</v>
      </c>
      <c r="V31" s="61"/>
      <c r="Y31" s="163" t="s">
        <v>51</v>
      </c>
      <c r="Z31" s="163" t="s">
        <v>71</v>
      </c>
      <c r="AA31" s="163" t="s">
        <v>200</v>
      </c>
      <c r="AB31" s="163">
        <f t="shared" si="22"/>
        <v>7</v>
      </c>
      <c r="AC31" s="166">
        <f t="shared" si="23"/>
        <v>6.6181336863004603</v>
      </c>
      <c r="AD31" s="166">
        <f t="shared" si="24"/>
        <v>16.959504685408302</v>
      </c>
      <c r="AE31" s="163"/>
      <c r="AF31" s="163">
        <f t="shared" si="10"/>
        <v>20</v>
      </c>
      <c r="AG31" s="168">
        <f t="shared" si="11"/>
        <v>430</v>
      </c>
      <c r="AH31" s="166">
        <f t="shared" si="12"/>
        <v>10.4903635032935</v>
      </c>
      <c r="AI31" s="166">
        <f t="shared" si="13"/>
        <v>9.5889871363461197</v>
      </c>
      <c r="AJ31" s="166">
        <f t="shared" si="14"/>
        <v>11.4657250062233</v>
      </c>
      <c r="AK31" s="168">
        <f t="shared" si="15"/>
        <v>1</v>
      </c>
    </row>
    <row r="32" spans="1:37" x14ac:dyDescent="0.2">
      <c r="A32" s="62"/>
      <c r="B32" s="62" t="s">
        <v>171</v>
      </c>
      <c r="C32" s="62"/>
      <c r="D32" s="62"/>
      <c r="E32" s="62"/>
      <c r="F32" s="128">
        <v>20355</v>
      </c>
      <c r="G32" s="254">
        <v>8.7425051969694394</v>
      </c>
      <c r="H32" s="129">
        <v>8.6284533159573709</v>
      </c>
      <c r="I32" s="129">
        <v>8.8579184808406506</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343" t="s">
        <v>163</v>
      </c>
      <c r="D44" s="62"/>
      <c r="E44" s="62"/>
      <c r="F44" s="128">
        <v>8144</v>
      </c>
      <c r="G44" s="254">
        <v>10.686261645453353</v>
      </c>
      <c r="H44" s="254">
        <v>10.468901645046433</v>
      </c>
      <c r="I44" s="254">
        <v>10.907584760803328</v>
      </c>
      <c r="J44" s="254">
        <f>VLOOKUP($C44,$AA$6:$AD$13,3,FALSE)</f>
        <v>7.6401869158878499</v>
      </c>
      <c r="K44" s="254">
        <f>VLOOKUP($C44,$AA$6:$AD$13,4,FALSE)</f>
        <v>14.588023412877099</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1</v>
      </c>
      <c r="N44" s="61">
        <f>MIN($G$6:$G$31)</f>
        <v>2.0747821197638499</v>
      </c>
      <c r="O44" s="61">
        <f>VLOOKUP(7,$E$5:$G$39,3,FALSE)</f>
        <v>6.7646407207739498</v>
      </c>
      <c r="P44" s="129">
        <f>$G$32</f>
        <v>8.7425051969694394</v>
      </c>
      <c r="Q44" s="129">
        <f>$H$32</f>
        <v>8.6284533159573709</v>
      </c>
      <c r="R44" s="129">
        <f>$I$32</f>
        <v>8.8579184808406506</v>
      </c>
      <c r="S44" s="61">
        <f>VLOOKUP(20,$E$5:$G$39,3,FALSE)</f>
        <v>10.4903635032935</v>
      </c>
      <c r="T44" s="61">
        <f>MAX($G$6:$G$31)</f>
        <v>16.959504685408302</v>
      </c>
    </row>
    <row r="45" spans="1:22" x14ac:dyDescent="0.2">
      <c r="C45" s="343" t="s">
        <v>201</v>
      </c>
      <c r="D45" s="62"/>
      <c r="E45" s="62"/>
      <c r="F45" s="128">
        <v>5156</v>
      </c>
      <c r="G45" s="254">
        <v>5.8288207829793004</v>
      </c>
      <c r="H45" s="254">
        <v>5.6763360483454814</v>
      </c>
      <c r="I45" s="254">
        <v>5.985141831245806</v>
      </c>
      <c r="J45" s="254">
        <f>VLOOKUP($C45,$AA$14:$AD$22,3,FALSE)</f>
        <v>2.0747821197638499</v>
      </c>
      <c r="K45" s="254">
        <f>VLOOKUP($C45,$AA$14:$AD$22,4,FALSE)</f>
        <v>9.9328627991048393</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2</v>
      </c>
      <c r="N45" s="61">
        <f>MIN($G$6:$G$31)</f>
        <v>2.0747821197638499</v>
      </c>
      <c r="O45" s="61">
        <f>VLOOKUP(7,$E$5:$G$39,3,FALSE)</f>
        <v>6.7646407207739498</v>
      </c>
      <c r="P45" s="129">
        <f>$G$32</f>
        <v>8.7425051969694394</v>
      </c>
      <c r="Q45" s="129">
        <f t="shared" ref="Q45:Q46" si="25">$H$32</f>
        <v>8.6284533159573709</v>
      </c>
      <c r="R45" s="129">
        <f t="shared" ref="R45:R46" si="26">$I$32</f>
        <v>8.8579184808406506</v>
      </c>
      <c r="S45" s="61">
        <f>VLOOKUP(20,$E$5:$G$39,3,FALSE)</f>
        <v>10.4903635032935</v>
      </c>
      <c r="T45" s="61">
        <f t="shared" ref="T45:T46" si="27">MAX($G$6:$G$31)</f>
        <v>16.959504685408302</v>
      </c>
    </row>
    <row r="46" spans="1:22" x14ac:dyDescent="0.2">
      <c r="C46" s="343" t="s">
        <v>200</v>
      </c>
      <c r="D46" s="62"/>
      <c r="E46" s="62"/>
      <c r="F46" s="128">
        <v>7055</v>
      </c>
      <c r="G46" s="254">
        <v>10.350493684071536</v>
      </c>
      <c r="H46" s="254">
        <v>10.12404029881797</v>
      </c>
      <c r="I46" s="254">
        <v>10.581415999128616</v>
      </c>
      <c r="J46" s="254">
        <f>VLOOKUP($C46,$AA$23:$AD$31,3,FALSE)</f>
        <v>6.6181336863004603</v>
      </c>
      <c r="K46" s="254">
        <f>VLOOKUP($C46,$AA$23:$AD$31,4,FALSE)</f>
        <v>16.959504685408302</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1</v>
      </c>
      <c r="N46" s="61">
        <f>MIN($G$6:$G$31)</f>
        <v>2.0747821197638499</v>
      </c>
      <c r="O46" s="61">
        <f>VLOOKUP(7,$E$5:$G$39,3,FALSE)</f>
        <v>6.7646407207739498</v>
      </c>
      <c r="P46" s="129">
        <f t="shared" ref="P46" si="28">$G$32</f>
        <v>8.7425051969694394</v>
      </c>
      <c r="Q46" s="129">
        <f t="shared" si="25"/>
        <v>8.6284533159573709</v>
      </c>
      <c r="R46" s="129">
        <f t="shared" si="26"/>
        <v>8.8579184808406506</v>
      </c>
      <c r="S46" s="61">
        <f>VLOOKUP(20,$E$5:$G$39,3,FALSE)</f>
        <v>10.4903635032935</v>
      </c>
      <c r="T46" s="61">
        <f t="shared" si="27"/>
        <v>16.959504685408302</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C2:D2" xr:uid="{00000000-0002-0000-2E00-000000000000}">
      <formula1>"Better / Worse,Higher / Lower,Significance not measured"</formula1>
    </dataValidation>
    <dataValidation type="list" allowBlank="1" showInputMessage="1" showErrorMessage="1" sqref="K2:N2" xr:uid="{00000000-0002-0000-2E00-000001000000}">
      <formula1>"High = Worst,Low = Worst"</formula1>
    </dataValidation>
  </dataValidations>
  <pageMargins left="0.75" right="0.75" top="1" bottom="1" header="0.5" footer="0.5"/>
  <pageSetup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tabColor theme="6" tint="0.39997558519241921"/>
  </sheetPr>
  <dimension ref="A1:AK55"/>
  <sheetViews>
    <sheetView workbookViewId="0">
      <selection activeCell="F6" sqref="F6:F31"/>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9" style="21" customWidth="1"/>
    <col min="8" max="8" width="7.33203125" style="21" customWidth="1"/>
    <col min="9" max="9" width="6.88671875" style="21" customWidth="1"/>
    <col min="10" max="10" width="9.109375" style="21" customWidth="1"/>
    <col min="11" max="11" width="8.33203125" style="21" customWidth="1"/>
    <col min="12"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9.3320312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13</v>
      </c>
      <c r="F6" s="128">
        <v>162</v>
      </c>
      <c r="G6" s="129">
        <v>857.45261590673158</v>
      </c>
      <c r="H6" s="129">
        <v>722.80639774639758</v>
      </c>
      <c r="I6" s="129">
        <v>1008.7695855558579</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5</v>
      </c>
      <c r="N6" s="61">
        <f>MIN($G$6:$G$32)</f>
        <v>194.16851135322827</v>
      </c>
      <c r="O6" s="61">
        <f>VLOOKUP(7,$E$5:$G$39,3,FALSE)</f>
        <v>700.61946759826139</v>
      </c>
      <c r="P6" s="129">
        <f>$G$32</f>
        <v>937.56617676650262</v>
      </c>
      <c r="Q6" s="129">
        <f>$H$32</f>
        <v>914.45578398234034</v>
      </c>
      <c r="R6" s="129">
        <f>$I$32</f>
        <v>961.10082730707143</v>
      </c>
      <c r="S6" s="61">
        <f>VLOOKUP(20,$E$5:$G$39,3,FALSE)</f>
        <v>952.81114728804243</v>
      </c>
      <c r="T6" s="61">
        <f t="shared" ref="T6:T31" si="1">MAX($G$6:$G$31)</f>
        <v>1858.4826359216281</v>
      </c>
      <c r="U6" s="61">
        <f>VLOOKUP(C6,$C$43:$I$46,5,FALSE)</f>
        <v>1304.0213285777729</v>
      </c>
      <c r="V6" s="61"/>
      <c r="Y6" s="159" t="s">
        <v>33</v>
      </c>
      <c r="Z6" s="159" t="s">
        <v>58</v>
      </c>
      <c r="AA6" s="159" t="s">
        <v>163</v>
      </c>
      <c r="AB6" s="159">
        <f>RANK(AH6,$AH$6:$AH$13,1)</f>
        <v>8</v>
      </c>
      <c r="AC6" s="164">
        <f>MIN($AH$6:$AH$13)</f>
        <v>506.67482261709102</v>
      </c>
      <c r="AD6" s="164">
        <f>MAX($AH$6:$AH$13)</f>
        <v>939.29517916824227</v>
      </c>
      <c r="AE6" s="159"/>
      <c r="AF6" s="159">
        <f>VLOOKUP($Y6,$A$6:$I$31,5,FALSE)</f>
        <v>18</v>
      </c>
      <c r="AG6" s="160">
        <f>VLOOKUP($Y6,$A$6:$I$31,6,FALSE)</f>
        <v>294</v>
      </c>
      <c r="AH6" s="161">
        <f>VLOOKUP($Y6,$A$6:$I$31,7,FALSE)</f>
        <v>939.29517916824227</v>
      </c>
      <c r="AI6" s="161">
        <f>VLOOKUP($Y6,$A$6:$I$31,8,FALSE)</f>
        <v>833.03597025138674</v>
      </c>
      <c r="AJ6" s="161">
        <f>VLOOKUP($Y6,$A$6:$I$31,9,FALSE)</f>
        <v>1055.1573268946902</v>
      </c>
      <c r="AK6" s="160">
        <f>VLOOKUP($Y6,$A$6:$M$31,13,FALSE)</f>
        <v>5</v>
      </c>
    </row>
    <row r="7" spans="1:37" x14ac:dyDescent="0.2">
      <c r="A7" s="62" t="s">
        <v>30</v>
      </c>
      <c r="B7" s="62" t="s">
        <v>56</v>
      </c>
      <c r="C7" s="62" t="s">
        <v>200</v>
      </c>
      <c r="D7" s="62"/>
      <c r="E7" s="62">
        <f t="shared" ref="E7:E31" si="2">RANK(G7,$G$6:$G$31,1)</f>
        <v>14</v>
      </c>
      <c r="F7" s="128">
        <v>267</v>
      </c>
      <c r="G7" s="129">
        <v>872.72847355543888</v>
      </c>
      <c r="H7" s="129">
        <v>769.66837862570583</v>
      </c>
      <c r="I7" s="129">
        <v>985.58534816815393</v>
      </c>
      <c r="J7" s="129"/>
      <c r="K7" s="129"/>
      <c r="L7" s="129"/>
      <c r="M7" s="60">
        <f t="shared" si="0"/>
        <v>5</v>
      </c>
      <c r="N7" s="61">
        <f t="shared" ref="N7:N31" si="3">MIN($G$6:$G$32)</f>
        <v>194.16851135322827</v>
      </c>
      <c r="O7" s="61">
        <f>VLOOKUP(7,$E$5:$G$39,3,FALSE)</f>
        <v>700.61946759826139</v>
      </c>
      <c r="P7" s="129">
        <f t="shared" ref="P7:P31" si="4">$G$32</f>
        <v>937.56617676650262</v>
      </c>
      <c r="Q7" s="129">
        <f t="shared" ref="Q7:Q31" si="5">$H$32</f>
        <v>914.45578398234034</v>
      </c>
      <c r="R7" s="129">
        <f t="shared" ref="R7:R31" si="6">$I$32</f>
        <v>961.10082730707143</v>
      </c>
      <c r="S7" s="61">
        <f t="shared" ref="S7:S31" si="7">VLOOKUP(20,$E$5:$G$39,3,FALSE)</f>
        <v>952.81114728804243</v>
      </c>
      <c r="T7" s="61">
        <f t="shared" si="1"/>
        <v>1858.4826359216281</v>
      </c>
      <c r="U7" s="61">
        <f>VLOOKUP(C7,$C$43:$I$46,5,FALSE)</f>
        <v>864.06255533820081</v>
      </c>
      <c r="V7" s="61"/>
      <c r="Y7" s="159" t="s">
        <v>35</v>
      </c>
      <c r="Z7" s="159" t="s">
        <v>60</v>
      </c>
      <c r="AA7" s="159" t="s">
        <v>163</v>
      </c>
      <c r="AB7" s="159">
        <f t="shared" ref="AB7:AB12" si="8">RANK(AH7,$AH$6:$AH$13,1)</f>
        <v>6</v>
      </c>
      <c r="AC7" s="164">
        <f>MIN($AH$6:$AH$13)</f>
        <v>506.67482261709102</v>
      </c>
      <c r="AD7" s="164">
        <f t="shared" ref="AD7:AD13" si="9">MAX($AH$6:$AH$13)</f>
        <v>939.29517916824227</v>
      </c>
      <c r="AE7" s="159"/>
      <c r="AF7" s="159">
        <f t="shared" ref="AF7:AF31" si="10">VLOOKUP($Y7,$A$6:$I$31,5,FALSE)</f>
        <v>12</v>
      </c>
      <c r="AG7" s="160">
        <f t="shared" ref="AG7:AG31" si="11">VLOOKUP($Y7,$A$6:$I$31,6,FALSE)</f>
        <v>331</v>
      </c>
      <c r="AH7" s="161">
        <f t="shared" ref="AH7:AH31" si="12">VLOOKUP($Y7,$A$6:$I$31,7,FALSE)</f>
        <v>815.18062294369292</v>
      </c>
      <c r="AI7" s="161">
        <f t="shared" ref="AI7:AI31" si="13">VLOOKUP($Y7,$A$6:$I$31,8,FALSE)</f>
        <v>729.33795637728053</v>
      </c>
      <c r="AJ7" s="161">
        <f t="shared" ref="AJ7:AJ31" si="14">VLOOKUP($Y7,$A$6:$I$31,9,FALSE)</f>
        <v>908.31436285197969</v>
      </c>
      <c r="AK7" s="160">
        <f t="shared" ref="AK7:AK31" si="15">VLOOKUP($Y7,$A$6:$M$31,13,FALSE)</f>
        <v>2</v>
      </c>
    </row>
    <row r="8" spans="1:37" x14ac:dyDescent="0.2">
      <c r="A8" s="62" t="s">
        <v>31</v>
      </c>
      <c r="B8" s="62" t="s">
        <v>57</v>
      </c>
      <c r="C8" s="62" t="s">
        <v>200</v>
      </c>
      <c r="D8" s="62"/>
      <c r="E8" s="62">
        <f t="shared" si="2"/>
        <v>8</v>
      </c>
      <c r="F8" s="128">
        <v>258</v>
      </c>
      <c r="G8" s="129">
        <v>718.88417343471122</v>
      </c>
      <c r="H8" s="129">
        <v>633.53578523143312</v>
      </c>
      <c r="I8" s="129">
        <v>812.49323474919061</v>
      </c>
      <c r="J8" s="129"/>
      <c r="K8" s="129"/>
      <c r="L8" s="129"/>
      <c r="M8" s="60">
        <f t="shared" si="0"/>
        <v>2</v>
      </c>
      <c r="N8" s="61">
        <f t="shared" si="3"/>
        <v>194.16851135322827</v>
      </c>
      <c r="O8" s="61">
        <f t="shared" ref="O8:O31" si="16">VLOOKUP(7,$E$5:$G$39,3,FALSE)</f>
        <v>700.61946759826139</v>
      </c>
      <c r="P8" s="129">
        <f t="shared" si="4"/>
        <v>937.56617676650262</v>
      </c>
      <c r="Q8" s="129">
        <f t="shared" si="5"/>
        <v>914.45578398234034</v>
      </c>
      <c r="R8" s="129">
        <f t="shared" si="6"/>
        <v>961.10082730707143</v>
      </c>
      <c r="S8" s="61">
        <f t="shared" si="7"/>
        <v>952.81114728804243</v>
      </c>
      <c r="T8" s="61">
        <f t="shared" si="1"/>
        <v>1858.4826359216281</v>
      </c>
      <c r="U8" s="61">
        <f t="shared" ref="U8:U31" si="17">VLOOKUP(C8,$C$43:$I$46,5,FALSE)</f>
        <v>864.06255533820081</v>
      </c>
      <c r="V8" s="61"/>
      <c r="Y8" s="159" t="s">
        <v>41</v>
      </c>
      <c r="Z8" s="159" t="s">
        <v>64</v>
      </c>
      <c r="AA8" s="159" t="s">
        <v>163</v>
      </c>
      <c r="AB8" s="159">
        <f t="shared" si="8"/>
        <v>3</v>
      </c>
      <c r="AC8" s="164">
        <f t="shared" ref="AC8:AC13" si="18">MIN($AH$6:$AH$13)</f>
        <v>506.67482261709102</v>
      </c>
      <c r="AD8" s="164">
        <f>MAX($AH$6:$AH$13)</f>
        <v>939.29517916824227</v>
      </c>
      <c r="AE8" s="159"/>
      <c r="AF8" s="159">
        <f t="shared" si="10"/>
        <v>7</v>
      </c>
      <c r="AG8" s="160">
        <f t="shared" si="11"/>
        <v>252</v>
      </c>
      <c r="AH8" s="161">
        <f t="shared" si="12"/>
        <v>700.61946759826139</v>
      </c>
      <c r="AI8" s="161">
        <f t="shared" si="13"/>
        <v>616.52060195345393</v>
      </c>
      <c r="AJ8" s="161">
        <f t="shared" si="14"/>
        <v>792.95943932913485</v>
      </c>
      <c r="AK8" s="160">
        <f t="shared" si="15"/>
        <v>2</v>
      </c>
    </row>
    <row r="9" spans="1:37" x14ac:dyDescent="0.2">
      <c r="A9" s="62" t="s">
        <v>32</v>
      </c>
      <c r="B9" s="62" t="s">
        <v>156</v>
      </c>
      <c r="C9" s="62" t="s">
        <v>201</v>
      </c>
      <c r="D9" s="62"/>
      <c r="E9" s="62">
        <f t="shared" si="2"/>
        <v>26</v>
      </c>
      <c r="F9" s="128">
        <v>639</v>
      </c>
      <c r="G9" s="129">
        <v>1858.4826359216281</v>
      </c>
      <c r="H9" s="129">
        <v>1706.6653820126271</v>
      </c>
      <c r="I9" s="129">
        <v>2019.4627701480044</v>
      </c>
      <c r="J9" s="129"/>
      <c r="K9" s="129"/>
      <c r="L9" s="129"/>
      <c r="M9" s="60">
        <f t="shared" si="0"/>
        <v>1</v>
      </c>
      <c r="N9" s="61">
        <f t="shared" si="3"/>
        <v>194.16851135322827</v>
      </c>
      <c r="O9" s="61">
        <f t="shared" si="16"/>
        <v>700.61946759826139</v>
      </c>
      <c r="P9" s="129">
        <f t="shared" si="4"/>
        <v>937.56617676650262</v>
      </c>
      <c r="Q9" s="129">
        <f t="shared" si="5"/>
        <v>914.45578398234034</v>
      </c>
      <c r="R9" s="129">
        <f t="shared" si="6"/>
        <v>961.10082730707143</v>
      </c>
      <c r="S9" s="61">
        <f t="shared" si="7"/>
        <v>952.81114728804243</v>
      </c>
      <c r="T9" s="61">
        <f t="shared" si="1"/>
        <v>1858.4826359216281</v>
      </c>
      <c r="U9" s="61">
        <f t="shared" si="17"/>
        <v>1304.0213285777729</v>
      </c>
      <c r="V9" s="61"/>
      <c r="X9" s="63"/>
      <c r="Y9" s="159" t="s">
        <v>45</v>
      </c>
      <c r="Z9" s="159" t="s">
        <v>67</v>
      </c>
      <c r="AA9" s="159" t="s">
        <v>163</v>
      </c>
      <c r="AB9" s="159">
        <f t="shared" si="8"/>
        <v>5</v>
      </c>
      <c r="AC9" s="164">
        <f t="shared" si="18"/>
        <v>506.67482261709102</v>
      </c>
      <c r="AD9" s="164">
        <f t="shared" si="9"/>
        <v>939.29517916824227</v>
      </c>
      <c r="AE9" s="159"/>
      <c r="AF9" s="159">
        <f t="shared" si="10"/>
        <v>11</v>
      </c>
      <c r="AG9" s="160">
        <f t="shared" si="11"/>
        <v>191</v>
      </c>
      <c r="AH9" s="161">
        <f t="shared" si="12"/>
        <v>782.71263184207965</v>
      </c>
      <c r="AI9" s="161">
        <f t="shared" si="13"/>
        <v>674.85396161664346</v>
      </c>
      <c r="AJ9" s="161">
        <f t="shared" si="14"/>
        <v>902.80655690204992</v>
      </c>
      <c r="AK9" s="160">
        <f t="shared" si="15"/>
        <v>2</v>
      </c>
    </row>
    <row r="10" spans="1:37" x14ac:dyDescent="0.2">
      <c r="A10" s="62" t="s">
        <v>33</v>
      </c>
      <c r="B10" s="62" t="s">
        <v>58</v>
      </c>
      <c r="C10" s="62" t="s">
        <v>163</v>
      </c>
      <c r="D10" s="62"/>
      <c r="E10" s="62">
        <f t="shared" si="2"/>
        <v>18</v>
      </c>
      <c r="F10" s="128">
        <v>294</v>
      </c>
      <c r="G10" s="129">
        <v>939.29517916824227</v>
      </c>
      <c r="H10" s="129">
        <v>833.03597025138674</v>
      </c>
      <c r="I10" s="129">
        <v>1055.1573268946902</v>
      </c>
      <c r="J10" s="129"/>
      <c r="K10" s="129"/>
      <c r="L10" s="129"/>
      <c r="M10" s="60">
        <f t="shared" si="0"/>
        <v>5</v>
      </c>
      <c r="N10" s="61">
        <f t="shared" si="3"/>
        <v>194.16851135322827</v>
      </c>
      <c r="O10" s="61">
        <f t="shared" si="16"/>
        <v>700.61946759826139</v>
      </c>
      <c r="P10" s="129">
        <f t="shared" si="4"/>
        <v>937.56617676650262</v>
      </c>
      <c r="Q10" s="129">
        <f t="shared" si="5"/>
        <v>914.45578398234034</v>
      </c>
      <c r="R10" s="129">
        <f t="shared" si="6"/>
        <v>961.10082730707143</v>
      </c>
      <c r="S10" s="61">
        <f t="shared" si="7"/>
        <v>952.81114728804243</v>
      </c>
      <c r="T10" s="61">
        <f t="shared" si="1"/>
        <v>1858.4826359216281</v>
      </c>
      <c r="U10" s="61">
        <f t="shared" si="17"/>
        <v>769.96255324486162</v>
      </c>
      <c r="V10" s="61"/>
      <c r="Y10" s="159" t="s">
        <v>46</v>
      </c>
      <c r="Z10" s="159" t="s">
        <v>68</v>
      </c>
      <c r="AA10" s="159" t="s">
        <v>163</v>
      </c>
      <c r="AB10" s="159">
        <f t="shared" si="8"/>
        <v>2</v>
      </c>
      <c r="AC10" s="164">
        <f t="shared" si="18"/>
        <v>506.67482261709102</v>
      </c>
      <c r="AD10" s="164">
        <f t="shared" si="9"/>
        <v>939.29517916824227</v>
      </c>
      <c r="AE10" s="159"/>
      <c r="AF10" s="159">
        <f t="shared" si="10"/>
        <v>6</v>
      </c>
      <c r="AG10" s="160">
        <f t="shared" si="11"/>
        <v>190</v>
      </c>
      <c r="AH10" s="161">
        <f t="shared" si="12"/>
        <v>523.8767537444478</v>
      </c>
      <c r="AI10" s="161">
        <f t="shared" si="13"/>
        <v>451.6203334689659</v>
      </c>
      <c r="AJ10" s="161">
        <f t="shared" si="14"/>
        <v>604.35262788236423</v>
      </c>
      <c r="AK10" s="160">
        <f t="shared" si="15"/>
        <v>2</v>
      </c>
    </row>
    <row r="11" spans="1:37" x14ac:dyDescent="0.2">
      <c r="A11" s="62" t="s">
        <v>34</v>
      </c>
      <c r="B11" s="62" t="s">
        <v>59</v>
      </c>
      <c r="C11" s="62" t="s">
        <v>200</v>
      </c>
      <c r="D11" s="62"/>
      <c r="E11" s="62">
        <f t="shared" si="2"/>
        <v>19</v>
      </c>
      <c r="F11" s="128">
        <v>383</v>
      </c>
      <c r="G11" s="129">
        <v>947.61948832781752</v>
      </c>
      <c r="H11" s="129">
        <v>852.95724199994027</v>
      </c>
      <c r="I11" s="129">
        <v>1049.732268544597</v>
      </c>
      <c r="J11" s="129"/>
      <c r="K11" s="129"/>
      <c r="L11" s="129"/>
      <c r="M11" s="60">
        <f t="shared" si="0"/>
        <v>5</v>
      </c>
      <c r="N11" s="61">
        <f t="shared" si="3"/>
        <v>194.16851135322827</v>
      </c>
      <c r="O11" s="61">
        <f t="shared" si="16"/>
        <v>700.61946759826139</v>
      </c>
      <c r="P11" s="129">
        <f t="shared" si="4"/>
        <v>937.56617676650262</v>
      </c>
      <c r="Q11" s="129">
        <f t="shared" si="5"/>
        <v>914.45578398234034</v>
      </c>
      <c r="R11" s="129">
        <f t="shared" si="6"/>
        <v>961.10082730707143</v>
      </c>
      <c r="S11" s="61">
        <f t="shared" si="7"/>
        <v>952.81114728804243</v>
      </c>
      <c r="T11" s="61">
        <f t="shared" si="1"/>
        <v>1858.4826359216281</v>
      </c>
      <c r="U11" s="61">
        <f t="shared" si="17"/>
        <v>864.06255533820081</v>
      </c>
      <c r="V11" s="61"/>
      <c r="Y11" s="159" t="s">
        <v>47</v>
      </c>
      <c r="Z11" s="159" t="s">
        <v>69</v>
      </c>
      <c r="AA11" s="159" t="s">
        <v>163</v>
      </c>
      <c r="AB11" s="159">
        <f t="shared" si="8"/>
        <v>1</v>
      </c>
      <c r="AC11" s="164">
        <f t="shared" si="18"/>
        <v>506.67482261709102</v>
      </c>
      <c r="AD11" s="164">
        <f t="shared" si="9"/>
        <v>939.29517916824227</v>
      </c>
      <c r="AE11" s="159"/>
      <c r="AF11" s="159">
        <f t="shared" si="10"/>
        <v>5</v>
      </c>
      <c r="AG11" s="160">
        <f t="shared" si="11"/>
        <v>80</v>
      </c>
      <c r="AH11" s="161">
        <f t="shared" si="12"/>
        <v>506.67482261709102</v>
      </c>
      <c r="AI11" s="161">
        <f t="shared" si="13"/>
        <v>400.52167064378705</v>
      </c>
      <c r="AJ11" s="161">
        <f t="shared" si="14"/>
        <v>632.05690196677972</v>
      </c>
      <c r="AK11" s="160">
        <f t="shared" si="15"/>
        <v>2</v>
      </c>
    </row>
    <row r="12" spans="1:37" x14ac:dyDescent="0.2">
      <c r="A12" s="62" t="s">
        <v>35</v>
      </c>
      <c r="B12" s="62" t="s">
        <v>60</v>
      </c>
      <c r="C12" s="62" t="s">
        <v>163</v>
      </c>
      <c r="D12" s="62"/>
      <c r="E12" s="62">
        <f t="shared" si="2"/>
        <v>12</v>
      </c>
      <c r="F12" s="128">
        <v>331</v>
      </c>
      <c r="G12" s="129">
        <v>815.18062294369292</v>
      </c>
      <c r="H12" s="129">
        <v>729.33795637728053</v>
      </c>
      <c r="I12" s="129">
        <v>908.31436285197969</v>
      </c>
      <c r="J12" s="129"/>
      <c r="K12" s="129"/>
      <c r="L12" s="129"/>
      <c r="M12" s="60">
        <f t="shared" si="0"/>
        <v>2</v>
      </c>
      <c r="N12" s="61">
        <f t="shared" si="3"/>
        <v>194.16851135322827</v>
      </c>
      <c r="O12" s="61">
        <f t="shared" si="16"/>
        <v>700.61946759826139</v>
      </c>
      <c r="P12" s="129">
        <f t="shared" si="4"/>
        <v>937.56617676650262</v>
      </c>
      <c r="Q12" s="129">
        <f t="shared" si="5"/>
        <v>914.45578398234034</v>
      </c>
      <c r="R12" s="129">
        <f t="shared" si="6"/>
        <v>961.10082730707143</v>
      </c>
      <c r="S12" s="61">
        <f t="shared" si="7"/>
        <v>952.81114728804243</v>
      </c>
      <c r="T12" s="61">
        <f t="shared" si="1"/>
        <v>1858.4826359216281</v>
      </c>
      <c r="U12" s="61">
        <f t="shared" si="17"/>
        <v>769.96255324486162</v>
      </c>
      <c r="V12" s="61"/>
      <c r="Y12" s="159" t="s">
        <v>50</v>
      </c>
      <c r="Z12" s="159" t="s">
        <v>161</v>
      </c>
      <c r="AA12" s="159" t="s">
        <v>163</v>
      </c>
      <c r="AB12" s="159">
        <f t="shared" si="8"/>
        <v>4</v>
      </c>
      <c r="AC12" s="164">
        <f t="shared" si="18"/>
        <v>506.67482261709102</v>
      </c>
      <c r="AD12" s="164">
        <f t="shared" si="9"/>
        <v>939.29517916824227</v>
      </c>
      <c r="AE12" s="159"/>
      <c r="AF12" s="159">
        <f t="shared" si="10"/>
        <v>9</v>
      </c>
      <c r="AG12" s="160">
        <f t="shared" si="11"/>
        <v>115</v>
      </c>
      <c r="AH12" s="161">
        <f t="shared" si="12"/>
        <v>762.59787170684069</v>
      </c>
      <c r="AI12" s="161">
        <f t="shared" si="13"/>
        <v>628.432379256481</v>
      </c>
      <c r="AJ12" s="161">
        <f t="shared" si="14"/>
        <v>916.72173599117468</v>
      </c>
      <c r="AK12" s="160">
        <f t="shared" si="15"/>
        <v>5</v>
      </c>
    </row>
    <row r="13" spans="1:37" x14ac:dyDescent="0.2">
      <c r="A13" s="62" t="s">
        <v>36</v>
      </c>
      <c r="B13" s="62" t="s">
        <v>61</v>
      </c>
      <c r="C13" s="62" t="s">
        <v>201</v>
      </c>
      <c r="D13" s="62"/>
      <c r="E13" s="62">
        <f t="shared" si="2"/>
        <v>1</v>
      </c>
      <c r="F13" s="128">
        <v>81</v>
      </c>
      <c r="G13" s="129">
        <v>194.16851135322827</v>
      </c>
      <c r="H13" s="129">
        <v>70.799658877272051</v>
      </c>
      <c r="I13" s="129">
        <v>339.73355860680209</v>
      </c>
      <c r="J13" s="129"/>
      <c r="K13" s="129"/>
      <c r="L13" s="129"/>
      <c r="M13" s="60">
        <f t="shared" si="0"/>
        <v>2</v>
      </c>
      <c r="N13" s="61">
        <f t="shared" si="3"/>
        <v>194.16851135322827</v>
      </c>
      <c r="O13" s="61">
        <f t="shared" si="16"/>
        <v>700.61946759826139</v>
      </c>
      <c r="P13" s="129">
        <f t="shared" si="4"/>
        <v>937.56617676650262</v>
      </c>
      <c r="Q13" s="129">
        <f t="shared" si="5"/>
        <v>914.45578398234034</v>
      </c>
      <c r="R13" s="129">
        <f t="shared" si="6"/>
        <v>961.10082730707143</v>
      </c>
      <c r="S13" s="61">
        <f t="shared" si="7"/>
        <v>952.81114728804243</v>
      </c>
      <c r="T13" s="61">
        <f t="shared" si="1"/>
        <v>1858.4826359216281</v>
      </c>
      <c r="U13" s="61">
        <f t="shared" si="17"/>
        <v>1304.0213285777729</v>
      </c>
      <c r="V13" s="61"/>
      <c r="Y13" s="159" t="s">
        <v>53</v>
      </c>
      <c r="Z13" s="159" t="s">
        <v>162</v>
      </c>
      <c r="AA13" s="159" t="s">
        <v>163</v>
      </c>
      <c r="AB13" s="159">
        <f>RANK(AH13,$AH$6:$AH$13,1)</f>
        <v>7</v>
      </c>
      <c r="AC13" s="164">
        <f t="shared" si="18"/>
        <v>506.67482261709102</v>
      </c>
      <c r="AD13" s="164">
        <f t="shared" si="9"/>
        <v>939.29517916824227</v>
      </c>
      <c r="AE13" s="159"/>
      <c r="AF13" s="159">
        <f t="shared" si="10"/>
        <v>16</v>
      </c>
      <c r="AG13" s="160">
        <f t="shared" si="11"/>
        <v>664</v>
      </c>
      <c r="AH13" s="161">
        <f t="shared" si="12"/>
        <v>892.0500817867927</v>
      </c>
      <c r="AI13" s="161">
        <f t="shared" si="13"/>
        <v>824.71824004617804</v>
      </c>
      <c r="AJ13" s="161">
        <f t="shared" si="14"/>
        <v>963.36600029402632</v>
      </c>
      <c r="AK13" s="160">
        <f t="shared" si="15"/>
        <v>5</v>
      </c>
    </row>
    <row r="14" spans="1:37" x14ac:dyDescent="0.2">
      <c r="A14" s="62" t="s">
        <v>37</v>
      </c>
      <c r="B14" s="62" t="s">
        <v>157</v>
      </c>
      <c r="C14" s="62" t="s">
        <v>201</v>
      </c>
      <c r="D14" s="62"/>
      <c r="E14" s="62">
        <f t="shared" si="2"/>
        <v>25</v>
      </c>
      <c r="F14" s="128">
        <v>571</v>
      </c>
      <c r="G14" s="129">
        <v>1552.9549408105277</v>
      </c>
      <c r="H14" s="129">
        <v>1409.6011045021216</v>
      </c>
      <c r="I14" s="129">
        <v>1705.4788987650004</v>
      </c>
      <c r="J14" s="129"/>
      <c r="K14" s="129"/>
      <c r="L14" s="129"/>
      <c r="M14" s="60">
        <f t="shared" si="0"/>
        <v>1</v>
      </c>
      <c r="N14" s="61">
        <f t="shared" si="3"/>
        <v>194.16851135322827</v>
      </c>
      <c r="O14" s="61">
        <f t="shared" si="16"/>
        <v>700.61946759826139</v>
      </c>
      <c r="P14" s="129">
        <f t="shared" si="4"/>
        <v>937.56617676650262</v>
      </c>
      <c r="Q14" s="129">
        <f t="shared" si="5"/>
        <v>914.45578398234034</v>
      </c>
      <c r="R14" s="129">
        <f t="shared" si="6"/>
        <v>961.10082730707143</v>
      </c>
      <c r="S14" s="61">
        <f t="shared" si="7"/>
        <v>952.81114728804243</v>
      </c>
      <c r="T14" s="61">
        <f t="shared" si="1"/>
        <v>1858.4826359216281</v>
      </c>
      <c r="U14" s="61">
        <f t="shared" si="17"/>
        <v>1304.0213285777729</v>
      </c>
      <c r="V14" s="61"/>
      <c r="Y14" s="162" t="s">
        <v>29</v>
      </c>
      <c r="Z14" s="162" t="s">
        <v>55</v>
      </c>
      <c r="AA14" s="162" t="s">
        <v>201</v>
      </c>
      <c r="AB14" s="162">
        <f>RANK(AH14,$AH$14:$AH$22,1)</f>
        <v>4</v>
      </c>
      <c r="AC14" s="165">
        <f t="shared" ref="AC14:AC22" si="19">MIN($AH$14:$AH$22)</f>
        <v>194.16851135322827</v>
      </c>
      <c r="AD14" s="165">
        <f>MAX($AH$14:$AH$22)</f>
        <v>1858.4826359216281</v>
      </c>
      <c r="AE14" s="162"/>
      <c r="AF14" s="162">
        <f t="shared" si="10"/>
        <v>13</v>
      </c>
      <c r="AG14" s="167">
        <f t="shared" si="11"/>
        <v>162</v>
      </c>
      <c r="AH14" s="165">
        <f t="shared" si="12"/>
        <v>857.45261590673158</v>
      </c>
      <c r="AI14" s="165">
        <f t="shared" si="13"/>
        <v>722.80639774639758</v>
      </c>
      <c r="AJ14" s="165">
        <f t="shared" si="14"/>
        <v>1008.7695855558579</v>
      </c>
      <c r="AK14" s="167">
        <f t="shared" si="15"/>
        <v>5</v>
      </c>
    </row>
    <row r="15" spans="1:37" x14ac:dyDescent="0.2">
      <c r="A15" s="62" t="s">
        <v>38</v>
      </c>
      <c r="B15" s="62" t="s">
        <v>62</v>
      </c>
      <c r="C15" s="62" t="s">
        <v>201</v>
      </c>
      <c r="D15" s="62"/>
      <c r="E15" s="62">
        <f t="shared" si="2"/>
        <v>24</v>
      </c>
      <c r="F15" s="128">
        <v>270</v>
      </c>
      <c r="G15" s="129">
        <v>1394.9762146225255</v>
      </c>
      <c r="H15" s="129">
        <v>1232.8958616269529</v>
      </c>
      <c r="I15" s="129">
        <v>1572.3735785299109</v>
      </c>
      <c r="J15" s="129"/>
      <c r="K15" s="129"/>
      <c r="L15" s="129"/>
      <c r="M15" s="60">
        <f t="shared" si="0"/>
        <v>1</v>
      </c>
      <c r="N15" s="61">
        <f t="shared" si="3"/>
        <v>194.16851135322827</v>
      </c>
      <c r="O15" s="61">
        <f t="shared" si="16"/>
        <v>700.61946759826139</v>
      </c>
      <c r="P15" s="129">
        <f t="shared" si="4"/>
        <v>937.56617676650262</v>
      </c>
      <c r="Q15" s="129">
        <f t="shared" si="5"/>
        <v>914.45578398234034</v>
      </c>
      <c r="R15" s="129">
        <f t="shared" si="6"/>
        <v>961.10082730707143</v>
      </c>
      <c r="S15" s="61">
        <f t="shared" si="7"/>
        <v>952.81114728804243</v>
      </c>
      <c r="T15" s="61">
        <f t="shared" si="1"/>
        <v>1858.4826359216281</v>
      </c>
      <c r="U15" s="61">
        <f t="shared" si="17"/>
        <v>1304.0213285777729</v>
      </c>
      <c r="V15" s="61"/>
      <c r="Y15" s="162" t="s">
        <v>32</v>
      </c>
      <c r="Z15" s="162" t="s">
        <v>156</v>
      </c>
      <c r="AA15" s="162" t="s">
        <v>201</v>
      </c>
      <c r="AB15" s="162">
        <f>RANK(AH15,$AH$14:$AH$22,1)</f>
        <v>9</v>
      </c>
      <c r="AC15" s="165">
        <f t="shared" si="19"/>
        <v>194.16851135322827</v>
      </c>
      <c r="AD15" s="165">
        <f t="shared" ref="AD15:AD22" si="20">MAX($AH$14:$AH$22)</f>
        <v>1858.4826359216281</v>
      </c>
      <c r="AE15" s="162"/>
      <c r="AF15" s="162">
        <f t="shared" si="10"/>
        <v>26</v>
      </c>
      <c r="AG15" s="167">
        <f t="shared" si="11"/>
        <v>639</v>
      </c>
      <c r="AH15" s="165">
        <f t="shared" si="12"/>
        <v>1858.4826359216281</v>
      </c>
      <c r="AI15" s="165">
        <f t="shared" si="13"/>
        <v>1706.6653820126271</v>
      </c>
      <c r="AJ15" s="165">
        <f t="shared" si="14"/>
        <v>2019.4627701480044</v>
      </c>
      <c r="AK15" s="167">
        <f t="shared" si="15"/>
        <v>1</v>
      </c>
    </row>
    <row r="16" spans="1:37" x14ac:dyDescent="0.2">
      <c r="A16" s="62" t="s">
        <v>39</v>
      </c>
      <c r="B16" s="62" t="s">
        <v>158</v>
      </c>
      <c r="C16" s="62" t="s">
        <v>200</v>
      </c>
      <c r="D16" s="62"/>
      <c r="E16" s="62">
        <f t="shared" si="2"/>
        <v>15</v>
      </c>
      <c r="F16" s="128">
        <v>287</v>
      </c>
      <c r="G16" s="129">
        <v>879.20859401092139</v>
      </c>
      <c r="H16" s="129">
        <v>777.84001003684818</v>
      </c>
      <c r="I16" s="129">
        <v>989.85462373968278</v>
      </c>
      <c r="J16" s="129"/>
      <c r="K16" s="129"/>
      <c r="L16" s="129"/>
      <c r="M16" s="60">
        <f t="shared" si="0"/>
        <v>5</v>
      </c>
      <c r="N16" s="61">
        <f t="shared" si="3"/>
        <v>194.16851135322827</v>
      </c>
      <c r="O16" s="61">
        <f t="shared" si="16"/>
        <v>700.61946759826139</v>
      </c>
      <c r="P16" s="129">
        <f t="shared" si="4"/>
        <v>937.56617676650262</v>
      </c>
      <c r="Q16" s="129">
        <f t="shared" si="5"/>
        <v>914.45578398234034</v>
      </c>
      <c r="R16" s="129">
        <f t="shared" si="6"/>
        <v>961.10082730707143</v>
      </c>
      <c r="S16" s="61">
        <f t="shared" si="7"/>
        <v>952.81114728804243</v>
      </c>
      <c r="T16" s="61">
        <f t="shared" si="1"/>
        <v>1858.4826359216281</v>
      </c>
      <c r="U16" s="61">
        <f t="shared" si="17"/>
        <v>864.06255533820081</v>
      </c>
      <c r="V16" s="61"/>
      <c r="Y16" s="162" t="s">
        <v>36</v>
      </c>
      <c r="Z16" s="162" t="s">
        <v>61</v>
      </c>
      <c r="AA16" s="162" t="s">
        <v>201</v>
      </c>
      <c r="AB16" s="162">
        <f>RANK(AH16,$AH$14:$AH$22,1)</f>
        <v>1</v>
      </c>
      <c r="AC16" s="165">
        <f t="shared" si="19"/>
        <v>194.16851135322827</v>
      </c>
      <c r="AD16" s="165">
        <f t="shared" si="20"/>
        <v>1858.4826359216281</v>
      </c>
      <c r="AE16" s="162"/>
      <c r="AF16" s="162">
        <f t="shared" si="10"/>
        <v>1</v>
      </c>
      <c r="AG16" s="167">
        <f t="shared" si="11"/>
        <v>81</v>
      </c>
      <c r="AH16" s="165">
        <f t="shared" si="12"/>
        <v>194.16851135322827</v>
      </c>
      <c r="AI16" s="165">
        <f t="shared" si="13"/>
        <v>70.799658877272051</v>
      </c>
      <c r="AJ16" s="165">
        <f t="shared" si="14"/>
        <v>339.73355860680209</v>
      </c>
      <c r="AK16" s="167">
        <f t="shared" si="15"/>
        <v>2</v>
      </c>
    </row>
    <row r="17" spans="1:37" x14ac:dyDescent="0.2">
      <c r="A17" s="62" t="s">
        <v>40</v>
      </c>
      <c r="B17" s="62" t="s">
        <v>63</v>
      </c>
      <c r="C17" s="62" t="s">
        <v>200</v>
      </c>
      <c r="D17" s="62"/>
      <c r="E17" s="62">
        <f t="shared" si="2"/>
        <v>22</v>
      </c>
      <c r="F17" s="128">
        <v>254</v>
      </c>
      <c r="G17" s="129">
        <v>1135.2575870620753</v>
      </c>
      <c r="H17" s="129">
        <v>997.55131921070426</v>
      </c>
      <c r="I17" s="129">
        <v>1286.402110010762</v>
      </c>
      <c r="J17" s="129"/>
      <c r="K17" s="129"/>
      <c r="L17" s="129"/>
      <c r="M17" s="60">
        <f t="shared" si="0"/>
        <v>1</v>
      </c>
      <c r="N17" s="61">
        <f t="shared" si="3"/>
        <v>194.16851135322827</v>
      </c>
      <c r="O17" s="61">
        <f t="shared" si="16"/>
        <v>700.61946759826139</v>
      </c>
      <c r="P17" s="129">
        <f t="shared" si="4"/>
        <v>937.56617676650262</v>
      </c>
      <c r="Q17" s="129">
        <f t="shared" si="5"/>
        <v>914.45578398234034</v>
      </c>
      <c r="R17" s="129">
        <f t="shared" si="6"/>
        <v>961.10082730707143</v>
      </c>
      <c r="S17" s="61">
        <f t="shared" si="7"/>
        <v>952.81114728804243</v>
      </c>
      <c r="T17" s="61">
        <f t="shared" si="1"/>
        <v>1858.4826359216281</v>
      </c>
      <c r="U17" s="61">
        <f t="shared" si="17"/>
        <v>864.06255533820081</v>
      </c>
      <c r="V17" s="61"/>
      <c r="Y17" s="162" t="s">
        <v>37</v>
      </c>
      <c r="Z17" s="162" t="s">
        <v>157</v>
      </c>
      <c r="AA17" s="162" t="s">
        <v>201</v>
      </c>
      <c r="AB17" s="162">
        <f t="shared" ref="AB17:AB22" si="21">RANK(AH17,$AH$14:$AH$22,1)</f>
        <v>8</v>
      </c>
      <c r="AC17" s="165">
        <f t="shared" si="19"/>
        <v>194.16851135322827</v>
      </c>
      <c r="AD17" s="165">
        <f>MAX($AH$14:$AH$22)</f>
        <v>1858.4826359216281</v>
      </c>
      <c r="AE17" s="162"/>
      <c r="AF17" s="162">
        <f t="shared" si="10"/>
        <v>25</v>
      </c>
      <c r="AG17" s="167">
        <f t="shared" si="11"/>
        <v>571</v>
      </c>
      <c r="AH17" s="165">
        <f t="shared" si="12"/>
        <v>1552.9549408105277</v>
      </c>
      <c r="AI17" s="165">
        <f t="shared" si="13"/>
        <v>1409.6011045021216</v>
      </c>
      <c r="AJ17" s="165">
        <f t="shared" si="14"/>
        <v>1705.4788987650004</v>
      </c>
      <c r="AK17" s="167">
        <f t="shared" si="15"/>
        <v>1</v>
      </c>
    </row>
    <row r="18" spans="1:37" x14ac:dyDescent="0.2">
      <c r="A18" s="62" t="s">
        <v>41</v>
      </c>
      <c r="B18" s="62" t="s">
        <v>64</v>
      </c>
      <c r="C18" s="62" t="s">
        <v>163</v>
      </c>
      <c r="D18" s="62"/>
      <c r="E18" s="62">
        <f t="shared" si="2"/>
        <v>7</v>
      </c>
      <c r="F18" s="128">
        <v>252</v>
      </c>
      <c r="G18" s="129">
        <v>700.61946759826139</v>
      </c>
      <c r="H18" s="129">
        <v>616.52060195345393</v>
      </c>
      <c r="I18" s="129">
        <v>792.95943932913485</v>
      </c>
      <c r="J18" s="129"/>
      <c r="K18" s="129"/>
      <c r="L18" s="129"/>
      <c r="M18" s="60">
        <f t="shared" si="0"/>
        <v>2</v>
      </c>
      <c r="N18" s="61">
        <f t="shared" si="3"/>
        <v>194.16851135322827</v>
      </c>
      <c r="O18" s="61">
        <f t="shared" si="16"/>
        <v>700.61946759826139</v>
      </c>
      <c r="P18" s="129">
        <f t="shared" si="4"/>
        <v>937.56617676650262</v>
      </c>
      <c r="Q18" s="129">
        <f t="shared" si="5"/>
        <v>914.45578398234034</v>
      </c>
      <c r="R18" s="129">
        <f t="shared" si="6"/>
        <v>961.10082730707143</v>
      </c>
      <c r="S18" s="61">
        <f t="shared" si="7"/>
        <v>952.81114728804243</v>
      </c>
      <c r="T18" s="61">
        <f t="shared" si="1"/>
        <v>1858.4826359216281</v>
      </c>
      <c r="U18" s="61">
        <f t="shared" si="17"/>
        <v>769.96255324486162</v>
      </c>
      <c r="V18" s="61"/>
      <c r="Y18" s="162" t="s">
        <v>38</v>
      </c>
      <c r="Z18" s="162" t="s">
        <v>62</v>
      </c>
      <c r="AA18" s="162" t="s">
        <v>201</v>
      </c>
      <c r="AB18" s="162">
        <f t="shared" si="21"/>
        <v>7</v>
      </c>
      <c r="AC18" s="165">
        <f t="shared" si="19"/>
        <v>194.16851135322827</v>
      </c>
      <c r="AD18" s="165">
        <f t="shared" si="20"/>
        <v>1858.4826359216281</v>
      </c>
      <c r="AE18" s="162"/>
      <c r="AF18" s="162">
        <f t="shared" si="10"/>
        <v>24</v>
      </c>
      <c r="AG18" s="167">
        <f t="shared" si="11"/>
        <v>270</v>
      </c>
      <c r="AH18" s="165">
        <f t="shared" si="12"/>
        <v>1394.9762146225255</v>
      </c>
      <c r="AI18" s="165">
        <f t="shared" si="13"/>
        <v>1232.8958616269529</v>
      </c>
      <c r="AJ18" s="165">
        <f t="shared" si="14"/>
        <v>1572.3735785299109</v>
      </c>
      <c r="AK18" s="167">
        <f t="shared" si="15"/>
        <v>1</v>
      </c>
    </row>
    <row r="19" spans="1:37" x14ac:dyDescent="0.2">
      <c r="A19" s="62" t="s">
        <v>42</v>
      </c>
      <c r="B19" s="62" t="s">
        <v>65</v>
      </c>
      <c r="C19" s="62" t="s">
        <v>200</v>
      </c>
      <c r="D19" s="62"/>
      <c r="E19" s="62">
        <f t="shared" si="2"/>
        <v>20</v>
      </c>
      <c r="F19" s="128">
        <v>109</v>
      </c>
      <c r="G19" s="129">
        <v>952.81114728804243</v>
      </c>
      <c r="H19" s="129">
        <v>772.48610194863602</v>
      </c>
      <c r="I19" s="129">
        <v>1160.7479369827593</v>
      </c>
      <c r="J19" s="129"/>
      <c r="K19" s="129"/>
      <c r="L19" s="129"/>
      <c r="M19" s="60">
        <f t="shared" si="0"/>
        <v>5</v>
      </c>
      <c r="N19" s="61">
        <f t="shared" si="3"/>
        <v>194.16851135322827</v>
      </c>
      <c r="O19" s="61">
        <f t="shared" si="16"/>
        <v>700.61946759826139</v>
      </c>
      <c r="P19" s="129">
        <f t="shared" si="4"/>
        <v>937.56617676650262</v>
      </c>
      <c r="Q19" s="129">
        <f t="shared" si="5"/>
        <v>914.45578398234034</v>
      </c>
      <c r="R19" s="129">
        <f t="shared" si="6"/>
        <v>961.10082730707143</v>
      </c>
      <c r="S19" s="61">
        <f t="shared" si="7"/>
        <v>952.81114728804243</v>
      </c>
      <c r="T19" s="61">
        <f t="shared" si="1"/>
        <v>1858.4826359216281</v>
      </c>
      <c r="U19" s="61">
        <f t="shared" si="17"/>
        <v>864.06255533820081</v>
      </c>
      <c r="V19" s="61"/>
      <c r="Y19" s="162" t="s">
        <v>43</v>
      </c>
      <c r="Z19" s="162" t="s">
        <v>159</v>
      </c>
      <c r="AA19" s="162" t="s">
        <v>201</v>
      </c>
      <c r="AB19" s="162">
        <f t="shared" si="21"/>
        <v>6</v>
      </c>
      <c r="AC19" s="165">
        <f t="shared" si="19"/>
        <v>194.16851135322827</v>
      </c>
      <c r="AD19" s="165">
        <f t="shared" si="20"/>
        <v>1858.4826359216281</v>
      </c>
      <c r="AE19" s="162"/>
      <c r="AF19" s="162">
        <f t="shared" si="10"/>
        <v>23</v>
      </c>
      <c r="AG19" s="167">
        <f t="shared" si="11"/>
        <v>362</v>
      </c>
      <c r="AH19" s="165">
        <f t="shared" si="12"/>
        <v>1270.6538955087794</v>
      </c>
      <c r="AI19" s="165">
        <f t="shared" si="13"/>
        <v>1139.3033425860071</v>
      </c>
      <c r="AJ19" s="165">
        <f t="shared" si="14"/>
        <v>1412.6511123826524</v>
      </c>
      <c r="AK19" s="167">
        <f t="shared" si="15"/>
        <v>1</v>
      </c>
    </row>
    <row r="20" spans="1:37" x14ac:dyDescent="0.2">
      <c r="A20" s="62" t="s">
        <v>43</v>
      </c>
      <c r="B20" s="62" t="s">
        <v>159</v>
      </c>
      <c r="C20" s="62" t="s">
        <v>201</v>
      </c>
      <c r="D20" s="62"/>
      <c r="E20" s="62">
        <f t="shared" si="2"/>
        <v>23</v>
      </c>
      <c r="F20" s="128">
        <v>362</v>
      </c>
      <c r="G20" s="129">
        <v>1270.6538955087794</v>
      </c>
      <c r="H20" s="129">
        <v>1139.3033425860071</v>
      </c>
      <c r="I20" s="129">
        <v>1412.6511123826524</v>
      </c>
      <c r="J20" s="129"/>
      <c r="K20" s="129"/>
      <c r="L20" s="129"/>
      <c r="M20" s="60">
        <f t="shared" si="0"/>
        <v>1</v>
      </c>
      <c r="N20" s="61">
        <f t="shared" si="3"/>
        <v>194.16851135322827</v>
      </c>
      <c r="O20" s="61">
        <f t="shared" si="16"/>
        <v>700.61946759826139</v>
      </c>
      <c r="P20" s="129">
        <f t="shared" si="4"/>
        <v>937.56617676650262</v>
      </c>
      <c r="Q20" s="129">
        <f t="shared" si="5"/>
        <v>914.45578398234034</v>
      </c>
      <c r="R20" s="129">
        <f t="shared" si="6"/>
        <v>961.10082730707143</v>
      </c>
      <c r="S20" s="61">
        <f t="shared" si="7"/>
        <v>952.81114728804243</v>
      </c>
      <c r="T20" s="61">
        <f t="shared" si="1"/>
        <v>1858.4826359216281</v>
      </c>
      <c r="U20" s="61">
        <f t="shared" si="17"/>
        <v>1304.0213285777729</v>
      </c>
      <c r="V20" s="61"/>
      <c r="Y20" s="162" t="s">
        <v>48</v>
      </c>
      <c r="Z20" s="162" t="s">
        <v>160</v>
      </c>
      <c r="AA20" s="162" t="s">
        <v>201</v>
      </c>
      <c r="AB20" s="162">
        <f t="shared" si="21"/>
        <v>2</v>
      </c>
      <c r="AC20" s="165">
        <f t="shared" si="19"/>
        <v>194.16851135322827</v>
      </c>
      <c r="AD20" s="165">
        <f t="shared" si="20"/>
        <v>1858.4826359216281</v>
      </c>
      <c r="AE20" s="162"/>
      <c r="AF20" s="162">
        <f t="shared" si="10"/>
        <v>2</v>
      </c>
      <c r="AG20" s="167">
        <f t="shared" si="11"/>
        <v>38</v>
      </c>
      <c r="AH20" s="165">
        <f t="shared" si="12"/>
        <v>209.36372525987727</v>
      </c>
      <c r="AI20" s="165">
        <f t="shared" si="13"/>
        <v>147.50743506429569</v>
      </c>
      <c r="AJ20" s="165">
        <f t="shared" si="14"/>
        <v>288.18157026649789</v>
      </c>
      <c r="AK20" s="167">
        <f t="shared" si="15"/>
        <v>2</v>
      </c>
    </row>
    <row r="21" spans="1:37" x14ac:dyDescent="0.2">
      <c r="A21" s="62" t="s">
        <v>44</v>
      </c>
      <c r="B21" s="62" t="s">
        <v>66</v>
      </c>
      <c r="C21" s="62" t="s">
        <v>200</v>
      </c>
      <c r="D21" s="62"/>
      <c r="E21" s="62">
        <f t="shared" si="2"/>
        <v>4</v>
      </c>
      <c r="F21" s="128">
        <v>55</v>
      </c>
      <c r="G21" s="129">
        <v>497.79198905601237</v>
      </c>
      <c r="H21" s="129">
        <v>372.4977902768843</v>
      </c>
      <c r="I21" s="129">
        <v>650.99281307161527</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2</v>
      </c>
      <c r="N21" s="61">
        <f t="shared" si="3"/>
        <v>194.16851135322827</v>
      </c>
      <c r="O21" s="61">
        <f t="shared" si="16"/>
        <v>700.61946759826139</v>
      </c>
      <c r="P21" s="129">
        <f t="shared" si="4"/>
        <v>937.56617676650262</v>
      </c>
      <c r="Q21" s="129">
        <f t="shared" si="5"/>
        <v>914.45578398234034</v>
      </c>
      <c r="R21" s="129">
        <f t="shared" si="6"/>
        <v>961.10082730707143</v>
      </c>
      <c r="S21" s="61">
        <f t="shared" si="7"/>
        <v>952.81114728804243</v>
      </c>
      <c r="T21" s="61">
        <f t="shared" si="1"/>
        <v>1858.4826359216281</v>
      </c>
      <c r="U21" s="61">
        <f t="shared" si="17"/>
        <v>864.06255533820081</v>
      </c>
      <c r="V21" s="61"/>
      <c r="Y21" s="162" t="s">
        <v>52</v>
      </c>
      <c r="Z21" s="162" t="s">
        <v>72</v>
      </c>
      <c r="AA21" s="162" t="s">
        <v>201</v>
      </c>
      <c r="AB21" s="162">
        <f t="shared" si="21"/>
        <v>5</v>
      </c>
      <c r="AC21" s="165">
        <f t="shared" si="19"/>
        <v>194.16851135322827</v>
      </c>
      <c r="AD21" s="165">
        <f t="shared" si="20"/>
        <v>1858.4826359216281</v>
      </c>
      <c r="AE21" s="162"/>
      <c r="AF21" s="162">
        <f t="shared" si="10"/>
        <v>21</v>
      </c>
      <c r="AG21" s="167">
        <f t="shared" si="11"/>
        <v>74</v>
      </c>
      <c r="AH21" s="165">
        <f t="shared" si="12"/>
        <v>955.13150876038162</v>
      </c>
      <c r="AI21" s="165">
        <f t="shared" si="13"/>
        <v>708.42111928684835</v>
      </c>
      <c r="AJ21" s="165">
        <f t="shared" si="14"/>
        <v>1248.4815090301224</v>
      </c>
      <c r="AK21" s="167">
        <f t="shared" si="15"/>
        <v>5</v>
      </c>
    </row>
    <row r="22" spans="1:37" x14ac:dyDescent="0.2">
      <c r="A22" s="62" t="s">
        <v>45</v>
      </c>
      <c r="B22" s="62" t="s">
        <v>67</v>
      </c>
      <c r="C22" s="62" t="s">
        <v>163</v>
      </c>
      <c r="D22" s="62"/>
      <c r="E22" s="62">
        <f t="shared" si="2"/>
        <v>11</v>
      </c>
      <c r="F22" s="128">
        <v>191</v>
      </c>
      <c r="G22" s="129">
        <v>782.71263184207965</v>
      </c>
      <c r="H22" s="129">
        <v>674.85396161664346</v>
      </c>
      <c r="I22" s="129">
        <v>902.80655690204992</v>
      </c>
      <c r="J22" s="129"/>
      <c r="K22" s="129"/>
      <c r="L22" s="129"/>
      <c r="M22" s="60">
        <f t="shared" si="0"/>
        <v>2</v>
      </c>
      <c r="N22" s="61">
        <f t="shared" si="3"/>
        <v>194.16851135322827</v>
      </c>
      <c r="O22" s="61">
        <f t="shared" si="16"/>
        <v>700.61946759826139</v>
      </c>
      <c r="P22" s="129">
        <f t="shared" si="4"/>
        <v>937.56617676650262</v>
      </c>
      <c r="Q22" s="129">
        <f t="shared" si="5"/>
        <v>914.45578398234034</v>
      </c>
      <c r="R22" s="129">
        <f t="shared" si="6"/>
        <v>961.10082730707143</v>
      </c>
      <c r="S22" s="61">
        <f t="shared" si="7"/>
        <v>952.81114728804243</v>
      </c>
      <c r="T22" s="61">
        <f t="shared" si="1"/>
        <v>1858.4826359216281</v>
      </c>
      <c r="U22" s="61">
        <f>VLOOKUP(C22,$C$43:$I$46,5,FALSE)</f>
        <v>769.96255324486162</v>
      </c>
      <c r="V22" s="61"/>
      <c r="Y22" s="162" t="s">
        <v>54</v>
      </c>
      <c r="Z22" s="162" t="s">
        <v>73</v>
      </c>
      <c r="AA22" s="162" t="s">
        <v>201</v>
      </c>
      <c r="AB22" s="162">
        <f t="shared" si="21"/>
        <v>3</v>
      </c>
      <c r="AC22" s="165">
        <f t="shared" si="19"/>
        <v>194.16851135322827</v>
      </c>
      <c r="AD22" s="165">
        <f t="shared" si="20"/>
        <v>1858.4826359216281</v>
      </c>
      <c r="AE22" s="162"/>
      <c r="AF22" s="162">
        <f t="shared" si="10"/>
        <v>3</v>
      </c>
      <c r="AG22" s="167">
        <f t="shared" si="11"/>
        <v>29</v>
      </c>
      <c r="AH22" s="165">
        <f t="shared" si="12"/>
        <v>322.01995263227423</v>
      </c>
      <c r="AI22" s="165">
        <f t="shared" si="13"/>
        <v>180.39896677055287</v>
      </c>
      <c r="AJ22" s="165">
        <f t="shared" si="14"/>
        <v>508.98563981664671</v>
      </c>
      <c r="AK22" s="167">
        <f t="shared" si="15"/>
        <v>2</v>
      </c>
    </row>
    <row r="23" spans="1:37" x14ac:dyDescent="0.2">
      <c r="A23" s="62" t="s">
        <v>46</v>
      </c>
      <c r="B23" s="62" t="s">
        <v>68</v>
      </c>
      <c r="C23" s="62" t="s">
        <v>163</v>
      </c>
      <c r="D23" s="62"/>
      <c r="E23" s="62">
        <f t="shared" si="2"/>
        <v>6</v>
      </c>
      <c r="F23" s="128">
        <v>190</v>
      </c>
      <c r="G23" s="129">
        <v>523.8767537444478</v>
      </c>
      <c r="H23" s="129">
        <v>451.6203334689659</v>
      </c>
      <c r="I23" s="129">
        <v>604.35262788236423</v>
      </c>
      <c r="J23" s="129"/>
      <c r="K23" s="129"/>
      <c r="L23" s="129"/>
      <c r="M23" s="60">
        <f t="shared" si="0"/>
        <v>2</v>
      </c>
      <c r="N23" s="61">
        <f t="shared" si="3"/>
        <v>194.16851135322827</v>
      </c>
      <c r="O23" s="61">
        <f t="shared" si="16"/>
        <v>700.61946759826139</v>
      </c>
      <c r="P23" s="129">
        <f t="shared" si="4"/>
        <v>937.56617676650262</v>
      </c>
      <c r="Q23" s="129">
        <f t="shared" si="5"/>
        <v>914.45578398234034</v>
      </c>
      <c r="R23" s="129">
        <f t="shared" si="6"/>
        <v>961.10082730707143</v>
      </c>
      <c r="S23" s="61">
        <f t="shared" si="7"/>
        <v>952.81114728804243</v>
      </c>
      <c r="T23" s="61">
        <f t="shared" si="1"/>
        <v>1858.4826359216281</v>
      </c>
      <c r="U23" s="61">
        <f t="shared" si="17"/>
        <v>769.96255324486162</v>
      </c>
      <c r="V23" s="61"/>
      <c r="Y23" s="163" t="s">
        <v>30</v>
      </c>
      <c r="Z23" s="163" t="s">
        <v>56</v>
      </c>
      <c r="AA23" s="163" t="s">
        <v>200</v>
      </c>
      <c r="AB23" s="163">
        <f>RANK(AH23,$AH$23:$AH$31,1)</f>
        <v>4</v>
      </c>
      <c r="AC23" s="166">
        <f>MIN($AH$23:$AH$31)</f>
        <v>497.79198905601237</v>
      </c>
      <c r="AD23" s="166">
        <f>MAX($AH$23:$AH$31)</f>
        <v>1135.2575870620753</v>
      </c>
      <c r="AE23" s="163"/>
      <c r="AF23" s="163">
        <f t="shared" si="10"/>
        <v>14</v>
      </c>
      <c r="AG23" s="168">
        <f t="shared" si="11"/>
        <v>267</v>
      </c>
      <c r="AH23" s="166">
        <f t="shared" si="12"/>
        <v>872.72847355543888</v>
      </c>
      <c r="AI23" s="166">
        <f t="shared" si="13"/>
        <v>769.66837862570583</v>
      </c>
      <c r="AJ23" s="166">
        <f t="shared" si="14"/>
        <v>985.58534816815393</v>
      </c>
      <c r="AK23" s="168">
        <f t="shared" si="15"/>
        <v>5</v>
      </c>
    </row>
    <row r="24" spans="1:37" x14ac:dyDescent="0.2">
      <c r="A24" s="62" t="s">
        <v>47</v>
      </c>
      <c r="B24" s="62" t="s">
        <v>69</v>
      </c>
      <c r="C24" s="62" t="s">
        <v>163</v>
      </c>
      <c r="D24" s="62"/>
      <c r="E24" s="62">
        <f t="shared" si="2"/>
        <v>5</v>
      </c>
      <c r="F24" s="128">
        <v>80</v>
      </c>
      <c r="G24" s="129">
        <v>506.67482261709102</v>
      </c>
      <c r="H24" s="129">
        <v>400.52167064378705</v>
      </c>
      <c r="I24" s="129">
        <v>632.05690196677972</v>
      </c>
      <c r="J24" s="129"/>
      <c r="K24" s="129"/>
      <c r="L24" s="129"/>
      <c r="M24" s="60">
        <f t="shared" si="0"/>
        <v>2</v>
      </c>
      <c r="N24" s="61">
        <f t="shared" si="3"/>
        <v>194.16851135322827</v>
      </c>
      <c r="O24" s="61">
        <f t="shared" si="16"/>
        <v>700.61946759826139</v>
      </c>
      <c r="P24" s="129">
        <f t="shared" si="4"/>
        <v>937.56617676650262</v>
      </c>
      <c r="Q24" s="129">
        <f t="shared" si="5"/>
        <v>914.45578398234034</v>
      </c>
      <c r="R24" s="129">
        <f t="shared" si="6"/>
        <v>961.10082730707143</v>
      </c>
      <c r="S24" s="61">
        <f t="shared" si="7"/>
        <v>952.81114728804243</v>
      </c>
      <c r="T24" s="61">
        <f t="shared" si="1"/>
        <v>1858.4826359216281</v>
      </c>
      <c r="U24" s="61">
        <f t="shared" si="17"/>
        <v>769.96255324486162</v>
      </c>
      <c r="V24" s="61"/>
      <c r="Y24" s="163" t="s">
        <v>31</v>
      </c>
      <c r="Z24" s="163" t="s">
        <v>57</v>
      </c>
      <c r="AA24" s="163" t="s">
        <v>200</v>
      </c>
      <c r="AB24" s="163">
        <f t="shared" ref="AB24:AB31" si="22">RANK(AH24,$AH$23:$AH$31,1)</f>
        <v>2</v>
      </c>
      <c r="AC24" s="166">
        <f t="shared" ref="AC24:AC31" si="23">MIN($AH$23:$AH$31)</f>
        <v>497.79198905601237</v>
      </c>
      <c r="AD24" s="166">
        <f t="shared" ref="AD24:AD31" si="24">MAX($AH$23:$AH$31)</f>
        <v>1135.2575870620753</v>
      </c>
      <c r="AE24" s="163"/>
      <c r="AF24" s="163">
        <f t="shared" si="10"/>
        <v>8</v>
      </c>
      <c r="AG24" s="168">
        <f t="shared" si="11"/>
        <v>258</v>
      </c>
      <c r="AH24" s="166">
        <f t="shared" si="12"/>
        <v>718.88417343471122</v>
      </c>
      <c r="AI24" s="166">
        <f t="shared" si="13"/>
        <v>633.53578523143312</v>
      </c>
      <c r="AJ24" s="166">
        <f t="shared" si="14"/>
        <v>812.49323474919061</v>
      </c>
      <c r="AK24" s="168">
        <f t="shared" si="15"/>
        <v>2</v>
      </c>
    </row>
    <row r="25" spans="1:37" x14ac:dyDescent="0.2">
      <c r="A25" s="62" t="s">
        <v>48</v>
      </c>
      <c r="B25" s="62" t="s">
        <v>160</v>
      </c>
      <c r="C25" s="62" t="s">
        <v>201</v>
      </c>
      <c r="D25" s="62"/>
      <c r="E25" s="62">
        <f t="shared" si="2"/>
        <v>2</v>
      </c>
      <c r="F25" s="128">
        <v>38</v>
      </c>
      <c r="G25" s="129">
        <v>209.36372525987727</v>
      </c>
      <c r="H25" s="129">
        <v>147.50743506429569</v>
      </c>
      <c r="I25" s="129">
        <v>288.18157026649789</v>
      </c>
      <c r="J25" s="129"/>
      <c r="K25" s="129"/>
      <c r="L25" s="129"/>
      <c r="M25" s="60">
        <f t="shared" si="0"/>
        <v>2</v>
      </c>
      <c r="N25" s="61">
        <f t="shared" si="3"/>
        <v>194.16851135322827</v>
      </c>
      <c r="O25" s="61">
        <f t="shared" si="16"/>
        <v>700.61946759826139</v>
      </c>
      <c r="P25" s="129">
        <f t="shared" si="4"/>
        <v>937.56617676650262</v>
      </c>
      <c r="Q25" s="129">
        <f t="shared" si="5"/>
        <v>914.45578398234034</v>
      </c>
      <c r="R25" s="129">
        <f t="shared" si="6"/>
        <v>961.10082730707143</v>
      </c>
      <c r="S25" s="61">
        <f t="shared" si="7"/>
        <v>952.81114728804243</v>
      </c>
      <c r="T25" s="61">
        <f t="shared" si="1"/>
        <v>1858.4826359216281</v>
      </c>
      <c r="U25" s="61">
        <f t="shared" si="17"/>
        <v>1304.0213285777729</v>
      </c>
      <c r="V25" s="61"/>
      <c r="Y25" s="163" t="s">
        <v>34</v>
      </c>
      <c r="Z25" s="163" t="s">
        <v>59</v>
      </c>
      <c r="AA25" s="163" t="s">
        <v>200</v>
      </c>
      <c r="AB25" s="163">
        <f t="shared" si="22"/>
        <v>7</v>
      </c>
      <c r="AC25" s="166">
        <f t="shared" si="23"/>
        <v>497.79198905601237</v>
      </c>
      <c r="AD25" s="166">
        <f t="shared" si="24"/>
        <v>1135.2575870620753</v>
      </c>
      <c r="AE25" s="163"/>
      <c r="AF25" s="163">
        <f t="shared" si="10"/>
        <v>19</v>
      </c>
      <c r="AG25" s="168">
        <f t="shared" si="11"/>
        <v>383</v>
      </c>
      <c r="AH25" s="166">
        <f t="shared" si="12"/>
        <v>947.61948832781752</v>
      </c>
      <c r="AI25" s="166">
        <f t="shared" si="13"/>
        <v>852.95724199994027</v>
      </c>
      <c r="AJ25" s="166">
        <f t="shared" si="14"/>
        <v>1049.732268544597</v>
      </c>
      <c r="AK25" s="168">
        <f t="shared" si="15"/>
        <v>5</v>
      </c>
    </row>
    <row r="26" spans="1:37" x14ac:dyDescent="0.2">
      <c r="A26" s="62" t="s">
        <v>49</v>
      </c>
      <c r="B26" s="62" t="s">
        <v>70</v>
      </c>
      <c r="C26" s="62" t="s">
        <v>200</v>
      </c>
      <c r="D26" s="62"/>
      <c r="E26" s="62">
        <f t="shared" si="2"/>
        <v>10</v>
      </c>
      <c r="F26" s="128">
        <v>168</v>
      </c>
      <c r="G26" s="129">
        <v>779.46246048307307</v>
      </c>
      <c r="H26" s="129">
        <v>660.16103501746863</v>
      </c>
      <c r="I26" s="129">
        <v>913.25152959305501</v>
      </c>
      <c r="J26" s="129"/>
      <c r="K26" s="129"/>
      <c r="L26" s="129"/>
      <c r="M26" s="60">
        <f t="shared" si="0"/>
        <v>2</v>
      </c>
      <c r="N26" s="61">
        <f t="shared" si="3"/>
        <v>194.16851135322827</v>
      </c>
      <c r="O26" s="61">
        <f t="shared" si="16"/>
        <v>700.61946759826139</v>
      </c>
      <c r="P26" s="129">
        <f t="shared" si="4"/>
        <v>937.56617676650262</v>
      </c>
      <c r="Q26" s="129">
        <f t="shared" si="5"/>
        <v>914.45578398234034</v>
      </c>
      <c r="R26" s="129">
        <f t="shared" si="6"/>
        <v>961.10082730707143</v>
      </c>
      <c r="S26" s="61">
        <f t="shared" si="7"/>
        <v>952.81114728804243</v>
      </c>
      <c r="T26" s="61">
        <f t="shared" si="1"/>
        <v>1858.4826359216281</v>
      </c>
      <c r="U26" s="61">
        <f t="shared" si="17"/>
        <v>864.06255533820081</v>
      </c>
      <c r="V26" s="61"/>
      <c r="Y26" s="163" t="s">
        <v>39</v>
      </c>
      <c r="Z26" s="163" t="s">
        <v>158</v>
      </c>
      <c r="AA26" s="163" t="s">
        <v>200</v>
      </c>
      <c r="AB26" s="163">
        <f t="shared" si="22"/>
        <v>5</v>
      </c>
      <c r="AC26" s="166">
        <f t="shared" si="23"/>
        <v>497.79198905601237</v>
      </c>
      <c r="AD26" s="166">
        <f t="shared" si="24"/>
        <v>1135.2575870620753</v>
      </c>
      <c r="AE26" s="163"/>
      <c r="AF26" s="163">
        <f t="shared" si="10"/>
        <v>15</v>
      </c>
      <c r="AG26" s="168">
        <f t="shared" si="11"/>
        <v>287</v>
      </c>
      <c r="AH26" s="166">
        <f t="shared" si="12"/>
        <v>879.20859401092139</v>
      </c>
      <c r="AI26" s="166">
        <f t="shared" si="13"/>
        <v>777.84001003684818</v>
      </c>
      <c r="AJ26" s="166">
        <f t="shared" si="14"/>
        <v>989.85462373968278</v>
      </c>
      <c r="AK26" s="168">
        <f t="shared" si="15"/>
        <v>5</v>
      </c>
    </row>
    <row r="27" spans="1:37" x14ac:dyDescent="0.2">
      <c r="A27" s="62" t="s">
        <v>50</v>
      </c>
      <c r="B27" s="62" t="s">
        <v>161</v>
      </c>
      <c r="C27" s="62" t="s">
        <v>163</v>
      </c>
      <c r="D27" s="62"/>
      <c r="E27" s="62">
        <f t="shared" si="2"/>
        <v>9</v>
      </c>
      <c r="F27" s="128">
        <v>115</v>
      </c>
      <c r="G27" s="129">
        <v>762.59787170684069</v>
      </c>
      <c r="H27" s="129">
        <v>628.432379256481</v>
      </c>
      <c r="I27" s="129">
        <v>916.72173599117468</v>
      </c>
      <c r="J27" s="129"/>
      <c r="K27" s="129"/>
      <c r="L27" s="129"/>
      <c r="M27" s="60">
        <f t="shared" si="0"/>
        <v>5</v>
      </c>
      <c r="N27" s="61">
        <f t="shared" si="3"/>
        <v>194.16851135322827</v>
      </c>
      <c r="O27" s="61">
        <f t="shared" si="16"/>
        <v>700.61946759826139</v>
      </c>
      <c r="P27" s="129">
        <f t="shared" si="4"/>
        <v>937.56617676650262</v>
      </c>
      <c r="Q27" s="129">
        <f t="shared" si="5"/>
        <v>914.45578398234034</v>
      </c>
      <c r="R27" s="129">
        <f t="shared" si="6"/>
        <v>961.10082730707143</v>
      </c>
      <c r="S27" s="61">
        <f t="shared" si="7"/>
        <v>952.81114728804243</v>
      </c>
      <c r="T27" s="61">
        <f t="shared" si="1"/>
        <v>1858.4826359216281</v>
      </c>
      <c r="U27" s="61">
        <f t="shared" si="17"/>
        <v>769.96255324486162</v>
      </c>
      <c r="V27" s="61"/>
      <c r="Y27" s="163" t="s">
        <v>40</v>
      </c>
      <c r="Z27" s="163" t="s">
        <v>63</v>
      </c>
      <c r="AA27" s="163" t="s">
        <v>200</v>
      </c>
      <c r="AB27" s="163">
        <f t="shared" si="22"/>
        <v>9</v>
      </c>
      <c r="AC27" s="166">
        <f t="shared" si="23"/>
        <v>497.79198905601237</v>
      </c>
      <c r="AD27" s="166">
        <f t="shared" si="24"/>
        <v>1135.2575870620753</v>
      </c>
      <c r="AE27" s="163"/>
      <c r="AF27" s="163">
        <f t="shared" si="10"/>
        <v>22</v>
      </c>
      <c r="AG27" s="168">
        <f t="shared" si="11"/>
        <v>254</v>
      </c>
      <c r="AH27" s="166">
        <f t="shared" si="12"/>
        <v>1135.2575870620753</v>
      </c>
      <c r="AI27" s="166">
        <f t="shared" si="13"/>
        <v>997.55131921070426</v>
      </c>
      <c r="AJ27" s="166">
        <f t="shared" si="14"/>
        <v>1286.402110010762</v>
      </c>
      <c r="AK27" s="168">
        <f t="shared" si="15"/>
        <v>1</v>
      </c>
    </row>
    <row r="28" spans="1:37" x14ac:dyDescent="0.2">
      <c r="A28" s="62" t="s">
        <v>51</v>
      </c>
      <c r="B28" s="62" t="s">
        <v>71</v>
      </c>
      <c r="C28" s="62" t="s">
        <v>200</v>
      </c>
      <c r="D28" s="62"/>
      <c r="E28" s="62">
        <f t="shared" si="2"/>
        <v>17</v>
      </c>
      <c r="F28" s="128">
        <v>109</v>
      </c>
      <c r="G28" s="129">
        <v>901.66595962070085</v>
      </c>
      <c r="H28" s="129">
        <v>733.01562510280007</v>
      </c>
      <c r="I28" s="129">
        <v>1096.1403825972016</v>
      </c>
      <c r="J28" s="129"/>
      <c r="K28" s="129"/>
      <c r="L28" s="129"/>
      <c r="M28" s="60">
        <f t="shared" si="0"/>
        <v>5</v>
      </c>
      <c r="N28" s="61">
        <f t="shared" si="3"/>
        <v>194.16851135322827</v>
      </c>
      <c r="O28" s="61">
        <f t="shared" si="16"/>
        <v>700.61946759826139</v>
      </c>
      <c r="P28" s="129">
        <f t="shared" si="4"/>
        <v>937.56617676650262</v>
      </c>
      <c r="Q28" s="129">
        <f t="shared" si="5"/>
        <v>914.45578398234034</v>
      </c>
      <c r="R28" s="129">
        <f t="shared" si="6"/>
        <v>961.10082730707143</v>
      </c>
      <c r="S28" s="61">
        <f t="shared" si="7"/>
        <v>952.81114728804243</v>
      </c>
      <c r="T28" s="61">
        <f t="shared" si="1"/>
        <v>1858.4826359216281</v>
      </c>
      <c r="U28" s="61">
        <f t="shared" si="17"/>
        <v>864.06255533820081</v>
      </c>
      <c r="V28" s="61"/>
      <c r="Y28" s="163" t="s">
        <v>42</v>
      </c>
      <c r="Z28" s="163" t="s">
        <v>65</v>
      </c>
      <c r="AA28" s="163" t="s">
        <v>200</v>
      </c>
      <c r="AB28" s="163">
        <f t="shared" si="22"/>
        <v>8</v>
      </c>
      <c r="AC28" s="166">
        <f t="shared" si="23"/>
        <v>497.79198905601237</v>
      </c>
      <c r="AD28" s="166">
        <f t="shared" si="24"/>
        <v>1135.2575870620753</v>
      </c>
      <c r="AE28" s="163"/>
      <c r="AF28" s="163">
        <f t="shared" si="10"/>
        <v>20</v>
      </c>
      <c r="AG28" s="168">
        <f t="shared" si="11"/>
        <v>109</v>
      </c>
      <c r="AH28" s="166">
        <f t="shared" si="12"/>
        <v>952.81114728804243</v>
      </c>
      <c r="AI28" s="166">
        <f t="shared" si="13"/>
        <v>772.48610194863602</v>
      </c>
      <c r="AJ28" s="166">
        <f t="shared" si="14"/>
        <v>1160.7479369827593</v>
      </c>
      <c r="AK28" s="168">
        <f t="shared" si="15"/>
        <v>5</v>
      </c>
    </row>
    <row r="29" spans="1:37" x14ac:dyDescent="0.2">
      <c r="A29" s="62" t="s">
        <v>52</v>
      </c>
      <c r="B29" s="62" t="s">
        <v>72</v>
      </c>
      <c r="C29" s="62" t="s">
        <v>201</v>
      </c>
      <c r="D29" s="62"/>
      <c r="E29" s="62">
        <f t="shared" si="2"/>
        <v>21</v>
      </c>
      <c r="F29" s="128">
        <v>74</v>
      </c>
      <c r="G29" s="129">
        <v>955.13150876038162</v>
      </c>
      <c r="H29" s="129">
        <v>708.42111928684835</v>
      </c>
      <c r="I29" s="129">
        <v>1248.4815090301224</v>
      </c>
      <c r="J29" s="129"/>
      <c r="K29" s="129"/>
      <c r="L29" s="129"/>
      <c r="M29" s="60">
        <f t="shared" si="0"/>
        <v>5</v>
      </c>
      <c r="N29" s="61">
        <f t="shared" si="3"/>
        <v>194.16851135322827</v>
      </c>
      <c r="O29" s="61">
        <f t="shared" si="16"/>
        <v>700.61946759826139</v>
      </c>
      <c r="P29" s="129">
        <f t="shared" si="4"/>
        <v>937.56617676650262</v>
      </c>
      <c r="Q29" s="129">
        <f t="shared" si="5"/>
        <v>914.45578398234034</v>
      </c>
      <c r="R29" s="129">
        <f t="shared" si="6"/>
        <v>961.10082730707143</v>
      </c>
      <c r="S29" s="61">
        <f t="shared" si="7"/>
        <v>952.81114728804243</v>
      </c>
      <c r="T29" s="61">
        <f t="shared" si="1"/>
        <v>1858.4826359216281</v>
      </c>
      <c r="U29" s="61">
        <f t="shared" si="17"/>
        <v>1304.0213285777729</v>
      </c>
      <c r="V29" s="61"/>
      <c r="Y29" s="163" t="s">
        <v>44</v>
      </c>
      <c r="Z29" s="163" t="s">
        <v>66</v>
      </c>
      <c r="AA29" s="163" t="s">
        <v>200</v>
      </c>
      <c r="AB29" s="163">
        <f t="shared" si="22"/>
        <v>1</v>
      </c>
      <c r="AC29" s="166">
        <f t="shared" si="23"/>
        <v>497.79198905601237</v>
      </c>
      <c r="AD29" s="166">
        <f t="shared" si="24"/>
        <v>1135.2575870620753</v>
      </c>
      <c r="AE29" s="163"/>
      <c r="AF29" s="163">
        <f t="shared" si="10"/>
        <v>4</v>
      </c>
      <c r="AG29" s="168">
        <f t="shared" si="11"/>
        <v>55</v>
      </c>
      <c r="AH29" s="166">
        <f t="shared" si="12"/>
        <v>497.79198905601237</v>
      </c>
      <c r="AI29" s="166">
        <f t="shared" si="13"/>
        <v>372.4977902768843</v>
      </c>
      <c r="AJ29" s="166">
        <f t="shared" si="14"/>
        <v>650.99281307161527</v>
      </c>
      <c r="AK29" s="168">
        <f t="shared" si="15"/>
        <v>2</v>
      </c>
    </row>
    <row r="30" spans="1:37" x14ac:dyDescent="0.2">
      <c r="A30" s="62" t="s">
        <v>53</v>
      </c>
      <c r="B30" s="62" t="s">
        <v>162</v>
      </c>
      <c r="C30" s="62" t="s">
        <v>163</v>
      </c>
      <c r="D30" s="62"/>
      <c r="E30" s="62">
        <f t="shared" si="2"/>
        <v>16</v>
      </c>
      <c r="F30" s="128">
        <v>664</v>
      </c>
      <c r="G30" s="129">
        <v>892.0500817867927</v>
      </c>
      <c r="H30" s="129">
        <v>824.71824004617804</v>
      </c>
      <c r="I30" s="129">
        <v>963.36600029402632</v>
      </c>
      <c r="J30" s="129"/>
      <c r="K30" s="129"/>
      <c r="L30" s="129"/>
      <c r="M30" s="60">
        <f t="shared" si="0"/>
        <v>5</v>
      </c>
      <c r="N30" s="61">
        <f t="shared" si="3"/>
        <v>194.16851135322827</v>
      </c>
      <c r="O30" s="61">
        <f t="shared" si="16"/>
        <v>700.61946759826139</v>
      </c>
      <c r="P30" s="129">
        <f>$G$32</f>
        <v>937.56617676650262</v>
      </c>
      <c r="Q30" s="129">
        <f t="shared" si="5"/>
        <v>914.45578398234034</v>
      </c>
      <c r="R30" s="129">
        <f t="shared" si="6"/>
        <v>961.10082730707143</v>
      </c>
      <c r="S30" s="61">
        <f t="shared" si="7"/>
        <v>952.81114728804243</v>
      </c>
      <c r="T30" s="61">
        <f t="shared" si="1"/>
        <v>1858.4826359216281</v>
      </c>
      <c r="U30" s="61">
        <f t="shared" si="17"/>
        <v>769.96255324486162</v>
      </c>
      <c r="V30" s="61"/>
      <c r="Y30" s="163" t="s">
        <v>49</v>
      </c>
      <c r="Z30" s="163" t="s">
        <v>70</v>
      </c>
      <c r="AA30" s="163" t="s">
        <v>200</v>
      </c>
      <c r="AB30" s="163">
        <f t="shared" si="22"/>
        <v>3</v>
      </c>
      <c r="AC30" s="166">
        <f t="shared" si="23"/>
        <v>497.79198905601237</v>
      </c>
      <c r="AD30" s="166">
        <f t="shared" si="24"/>
        <v>1135.2575870620753</v>
      </c>
      <c r="AE30" s="163"/>
      <c r="AF30" s="163">
        <f t="shared" si="10"/>
        <v>10</v>
      </c>
      <c r="AG30" s="168">
        <f t="shared" si="11"/>
        <v>168</v>
      </c>
      <c r="AH30" s="166">
        <f t="shared" si="12"/>
        <v>779.46246048307307</v>
      </c>
      <c r="AI30" s="166">
        <f t="shared" si="13"/>
        <v>660.16103501746863</v>
      </c>
      <c r="AJ30" s="166">
        <f t="shared" si="14"/>
        <v>913.25152959305501</v>
      </c>
      <c r="AK30" s="168">
        <f t="shared" si="15"/>
        <v>2</v>
      </c>
    </row>
    <row r="31" spans="1:37" x14ac:dyDescent="0.2">
      <c r="A31" s="62" t="s">
        <v>54</v>
      </c>
      <c r="B31" s="62" t="s">
        <v>73</v>
      </c>
      <c r="C31" s="62" t="s">
        <v>201</v>
      </c>
      <c r="D31" s="62"/>
      <c r="E31" s="62">
        <f t="shared" si="2"/>
        <v>3</v>
      </c>
      <c r="F31" s="128">
        <v>29</v>
      </c>
      <c r="G31" s="129">
        <v>322.01995263227423</v>
      </c>
      <c r="H31" s="129">
        <v>180.39896677055287</v>
      </c>
      <c r="I31" s="129">
        <v>508.98563981664671</v>
      </c>
      <c r="J31" s="129"/>
      <c r="K31" s="129"/>
      <c r="L31" s="129"/>
      <c r="M31" s="60">
        <f t="shared" si="0"/>
        <v>2</v>
      </c>
      <c r="N31" s="61">
        <f t="shared" si="3"/>
        <v>194.16851135322827</v>
      </c>
      <c r="O31" s="61">
        <f t="shared" si="16"/>
        <v>700.61946759826139</v>
      </c>
      <c r="P31" s="129">
        <f t="shared" si="4"/>
        <v>937.56617676650262</v>
      </c>
      <c r="Q31" s="129">
        <f t="shared" si="5"/>
        <v>914.45578398234034</v>
      </c>
      <c r="R31" s="129">
        <f t="shared" si="6"/>
        <v>961.10082730707143</v>
      </c>
      <c r="S31" s="61">
        <f t="shared" si="7"/>
        <v>952.81114728804243</v>
      </c>
      <c r="T31" s="61">
        <f t="shared" si="1"/>
        <v>1858.4826359216281</v>
      </c>
      <c r="U31" s="61">
        <f t="shared" si="17"/>
        <v>1304.0213285777729</v>
      </c>
      <c r="V31" s="61"/>
      <c r="Y31" s="163" t="s">
        <v>51</v>
      </c>
      <c r="Z31" s="163" t="s">
        <v>71</v>
      </c>
      <c r="AA31" s="163" t="s">
        <v>200</v>
      </c>
      <c r="AB31" s="163">
        <f t="shared" si="22"/>
        <v>6</v>
      </c>
      <c r="AC31" s="166">
        <f t="shared" si="23"/>
        <v>497.79198905601237</v>
      </c>
      <c r="AD31" s="166">
        <f t="shared" si="24"/>
        <v>1135.2575870620753</v>
      </c>
      <c r="AE31" s="163"/>
      <c r="AF31" s="163">
        <f t="shared" si="10"/>
        <v>17</v>
      </c>
      <c r="AG31" s="168">
        <f t="shared" si="11"/>
        <v>109</v>
      </c>
      <c r="AH31" s="166">
        <f t="shared" si="12"/>
        <v>901.66595962070085</v>
      </c>
      <c r="AI31" s="166">
        <f t="shared" si="13"/>
        <v>733.01562510280007</v>
      </c>
      <c r="AJ31" s="166">
        <f t="shared" si="14"/>
        <v>1096.1403825972016</v>
      </c>
      <c r="AK31" s="168">
        <f t="shared" si="15"/>
        <v>5</v>
      </c>
    </row>
    <row r="32" spans="1:37" x14ac:dyDescent="0.2">
      <c r="A32" s="62"/>
      <c r="B32" s="62" t="s">
        <v>171</v>
      </c>
      <c r="C32" s="62"/>
      <c r="D32" s="62"/>
      <c r="E32" s="62"/>
      <c r="F32" s="128">
        <v>6603</v>
      </c>
      <c r="G32" s="344">
        <v>937.56617676650262</v>
      </c>
      <c r="H32" s="129">
        <v>914.45578398234034</v>
      </c>
      <c r="I32" s="129">
        <v>961.10082730707143</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2117</v>
      </c>
      <c r="G44" s="344">
        <v>769.96255324486162</v>
      </c>
      <c r="H44" s="129">
        <v>737.31237285435043</v>
      </c>
      <c r="I44" s="129">
        <v>803.67955693501187</v>
      </c>
      <c r="J44" s="344">
        <f>VLOOKUP($C44,$AA$6:$AD$13,3,FALSE)</f>
        <v>506.67482261709102</v>
      </c>
      <c r="K44" s="344">
        <f>VLOOKUP($C44,$AA$6:$AD$13,4,FALSE)</f>
        <v>939.29517916824227</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2</v>
      </c>
      <c r="N44" s="61">
        <f>MIN($G$6:$G$31)</f>
        <v>194.16851135322827</v>
      </c>
      <c r="O44" s="61">
        <f>VLOOKUP(7,$E$5:$G$39,3,FALSE)</f>
        <v>700.61946759826139</v>
      </c>
      <c r="P44" s="129">
        <f>$G$32</f>
        <v>937.56617676650262</v>
      </c>
      <c r="Q44" s="129">
        <f>$H$32</f>
        <v>914.45578398234034</v>
      </c>
      <c r="R44" s="129">
        <f>$I$32</f>
        <v>961.10082730707143</v>
      </c>
      <c r="S44" s="61">
        <f>VLOOKUP(20,$E$5:$G$39,3,FALSE)</f>
        <v>952.81114728804243</v>
      </c>
      <c r="T44" s="61">
        <f>MAX($G$6:$G$31)</f>
        <v>1858.4826359216281</v>
      </c>
    </row>
    <row r="45" spans="1:22" x14ac:dyDescent="0.2">
      <c r="C45" s="62" t="s">
        <v>201</v>
      </c>
      <c r="D45" s="62"/>
      <c r="E45" s="62"/>
      <c r="F45" s="128">
        <v>2596</v>
      </c>
      <c r="G45" s="344">
        <v>1304.0213285777729</v>
      </c>
      <c r="H45" s="129">
        <v>1249.8812142569411</v>
      </c>
      <c r="I45" s="129">
        <v>1359.7561447626072</v>
      </c>
      <c r="J45" s="344">
        <f>VLOOKUP($C45,$AA$14:$AD$22,3,FALSE)</f>
        <v>194.16851135322827</v>
      </c>
      <c r="K45" s="344">
        <f>VLOOKUP($C45,$AA$14:$AD$22,4,FALSE)</f>
        <v>1858.4826359216281</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1</v>
      </c>
      <c r="N45" s="61">
        <f>MIN($G$6:$G$31)</f>
        <v>194.16851135322827</v>
      </c>
      <c r="O45" s="61">
        <f>VLOOKUP(7,$E$5:$G$39,3,FALSE)</f>
        <v>700.61946759826139</v>
      </c>
      <c r="P45" s="129">
        <f>$G$32</f>
        <v>937.56617676650262</v>
      </c>
      <c r="Q45" s="129">
        <f t="shared" ref="Q45:Q46" si="25">$H$32</f>
        <v>914.45578398234034</v>
      </c>
      <c r="R45" s="129">
        <f t="shared" ref="R45:R46" si="26">$I$32</f>
        <v>961.10082730707143</v>
      </c>
      <c r="S45" s="61">
        <f>VLOOKUP(20,$E$5:$G$39,3,FALSE)</f>
        <v>952.81114728804243</v>
      </c>
      <c r="T45" s="61">
        <f t="shared" ref="T45:T46" si="27">MAX($G$6:$G$31)</f>
        <v>1858.4826359216281</v>
      </c>
    </row>
    <row r="46" spans="1:22" x14ac:dyDescent="0.2">
      <c r="C46" s="62" t="s">
        <v>200</v>
      </c>
      <c r="D46" s="62"/>
      <c r="E46" s="62"/>
      <c r="F46" s="128">
        <v>1890</v>
      </c>
      <c r="G46" s="344">
        <v>864.06255533820081</v>
      </c>
      <c r="H46" s="129">
        <v>824.95862092193477</v>
      </c>
      <c r="I46" s="129">
        <v>904.52015468743161</v>
      </c>
      <c r="J46" s="344">
        <f>VLOOKUP($C46,$AA$23:$AD$31,3,FALSE)</f>
        <v>497.79198905601237</v>
      </c>
      <c r="K46" s="344">
        <f>VLOOKUP($C46,$AA$23:$AD$31,4,FALSE)</f>
        <v>1135.2575870620753</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2</v>
      </c>
      <c r="N46" s="61">
        <f>MIN($G$6:$G$31)</f>
        <v>194.16851135322827</v>
      </c>
      <c r="O46" s="61">
        <f>VLOOKUP(7,$E$5:$G$39,3,FALSE)</f>
        <v>700.61946759826139</v>
      </c>
      <c r="P46" s="129">
        <f t="shared" ref="P46" si="28">$G$32</f>
        <v>937.56617676650262</v>
      </c>
      <c r="Q46" s="129">
        <f t="shared" si="25"/>
        <v>914.45578398234034</v>
      </c>
      <c r="R46" s="129">
        <f t="shared" si="26"/>
        <v>961.10082730707143</v>
      </c>
      <c r="S46" s="61">
        <f>VLOOKUP(20,$E$5:$G$39,3,FALSE)</f>
        <v>952.81114728804243</v>
      </c>
      <c r="T46" s="61">
        <f t="shared" si="27"/>
        <v>1858.4826359216281</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K2:N2" xr:uid="{00000000-0002-0000-2F00-000000000000}">
      <formula1>"High = Worst,Low = Worst"</formula1>
    </dataValidation>
    <dataValidation type="list" allowBlank="1" showInputMessage="1" showErrorMessage="1" sqref="C2:D2" xr:uid="{00000000-0002-0000-2F00-000001000000}">
      <formula1>"Better / Worse,Higher / Lower,Significance not measured"</formula1>
    </dataValidation>
  </dataValidations>
  <pageMargins left="0.75" right="0.75" top="1" bottom="1" header="0.5" footer="0.5"/>
  <pageSetup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7">
    <tabColor theme="6" tint="0.39997558519241921"/>
  </sheetPr>
  <dimension ref="A1:AK55"/>
  <sheetViews>
    <sheetView workbookViewId="0">
      <selection activeCell="C35" sqref="C35"/>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8" width="7.33203125" style="21" customWidth="1"/>
    <col min="9" max="9" width="6.886718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5.554687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9</v>
      </c>
      <c r="F6" s="128">
        <v>9</v>
      </c>
      <c r="G6" s="129">
        <v>33.709039293183068</v>
      </c>
      <c r="H6" s="129">
        <v>13.78886553131454</v>
      </c>
      <c r="I6" s="129">
        <v>66.626752673405932</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5</v>
      </c>
      <c r="N6" s="61">
        <f>MIN($G$6:$G$32)</f>
        <v>6.1383928571428559</v>
      </c>
      <c r="O6" s="61">
        <f>VLOOKUP(7,$E$5:$G$39,3,FALSE)</f>
        <v>29.450247108574921</v>
      </c>
      <c r="P6" s="129">
        <f>$G$32</f>
        <v>49.491593757294879</v>
      </c>
      <c r="Q6" s="129">
        <f>$H$32</f>
        <v>44.674063266386895</v>
      </c>
      <c r="R6" s="129">
        <f>$I$32</f>
        <v>54.670518513386718</v>
      </c>
      <c r="S6" s="61">
        <f>VLOOKUP(20,$E$5:$G$39,3,FALSE)</f>
        <v>59.121408345803268</v>
      </c>
      <c r="T6" s="61">
        <f t="shared" ref="T6:T31" si="1">MAX($G$6:$G$31)</f>
        <v>85.869077570142508</v>
      </c>
      <c r="U6" s="61">
        <f>VLOOKUP(C6,$C$43:$I$46,5,FALSE)</f>
        <v>62.378078112986849</v>
      </c>
      <c r="V6" s="61"/>
      <c r="Y6" s="159" t="s">
        <v>33</v>
      </c>
      <c r="Z6" s="159" t="s">
        <v>58</v>
      </c>
      <c r="AA6" s="159" t="s">
        <v>163</v>
      </c>
      <c r="AB6" s="159">
        <f>RANK(AH6,$AH$6:$AH$13,1)</f>
        <v>8</v>
      </c>
      <c r="AC6" s="164">
        <f>MIN($AH$6:$AH$13)</f>
        <v>6.1383928571428559</v>
      </c>
      <c r="AD6" s="164">
        <f>MAX($AH$6:$AH$13)</f>
        <v>74.906166992898946</v>
      </c>
      <c r="AE6" s="159"/>
      <c r="AF6" s="159">
        <f>VLOOKUP($Y6,$A$6:$I$31,5,FALSE)</f>
        <v>23</v>
      </c>
      <c r="AG6" s="160">
        <f>VLOOKUP($Y6,$A$6:$I$31,6,FALSE)</f>
        <v>25</v>
      </c>
      <c r="AH6" s="161">
        <f>VLOOKUP($Y6,$A$6:$I$31,7,FALSE)</f>
        <v>74.906166992898946</v>
      </c>
      <c r="AI6" s="161">
        <f>VLOOKUP($Y6,$A$6:$I$31,8,FALSE)</f>
        <v>47.953297596000006</v>
      </c>
      <c r="AJ6" s="161">
        <f>VLOOKUP($Y6,$A$6:$I$31,9,FALSE)</f>
        <v>111.26722292756254</v>
      </c>
      <c r="AK6" s="160">
        <f>VLOOKUP($Y6,$A$6:$M$31,13,FALSE)</f>
        <v>5</v>
      </c>
    </row>
    <row r="7" spans="1:37" x14ac:dyDescent="0.2">
      <c r="A7" s="62" t="s">
        <v>30</v>
      </c>
      <c r="B7" s="62" t="s">
        <v>56</v>
      </c>
      <c r="C7" s="62" t="s">
        <v>200</v>
      </c>
      <c r="D7" s="62"/>
      <c r="E7" s="62">
        <f t="shared" ref="E7:E31" si="2">RANK(G7,$G$6:$G$31,1)</f>
        <v>22</v>
      </c>
      <c r="F7" s="128">
        <v>22</v>
      </c>
      <c r="G7" s="129">
        <v>67.511715060153534</v>
      </c>
      <c r="H7" s="129">
        <v>42.118160577570684</v>
      </c>
      <c r="I7" s="129">
        <v>102.46093679423109</v>
      </c>
      <c r="J7" s="129"/>
      <c r="K7" s="129"/>
      <c r="L7" s="129"/>
      <c r="M7" s="60">
        <f t="shared" si="0"/>
        <v>5</v>
      </c>
      <c r="N7" s="61">
        <f t="shared" ref="N7:N31" si="3">MIN($G$6:$G$32)</f>
        <v>6.1383928571428559</v>
      </c>
      <c r="O7" s="61">
        <f>VLOOKUP(7,$E$5:$G$39,3,FALSE)</f>
        <v>29.450247108574921</v>
      </c>
      <c r="P7" s="129">
        <f t="shared" ref="P7:P31" si="4">$G$32</f>
        <v>49.491593757294879</v>
      </c>
      <c r="Q7" s="129">
        <f t="shared" ref="Q7:Q31" si="5">$H$32</f>
        <v>44.674063266386895</v>
      </c>
      <c r="R7" s="129">
        <f t="shared" ref="R7:R31" si="6">$I$32</f>
        <v>54.670518513386718</v>
      </c>
      <c r="S7" s="61">
        <f t="shared" ref="S7:S31" si="7">VLOOKUP(20,$E$5:$G$39,3,FALSE)</f>
        <v>59.121408345803268</v>
      </c>
      <c r="T7" s="61">
        <f t="shared" si="1"/>
        <v>85.869077570142508</v>
      </c>
      <c r="U7" s="61">
        <f>VLOOKUP(C7,$C$43:$I$46,5,FALSE)</f>
        <v>54.184831862831302</v>
      </c>
      <c r="V7" s="61"/>
      <c r="Y7" s="159" t="s">
        <v>35</v>
      </c>
      <c r="Z7" s="159" t="s">
        <v>60</v>
      </c>
      <c r="AA7" s="159" t="s">
        <v>163</v>
      </c>
      <c r="AB7" s="159">
        <f t="shared" ref="AB7:AB12" si="8">RANK(AH7,$AH$6:$AH$13,1)</f>
        <v>7</v>
      </c>
      <c r="AC7" s="164">
        <f>MIN($AH$6:$AH$13)</f>
        <v>6.1383928571428559</v>
      </c>
      <c r="AD7" s="164">
        <f t="shared" ref="AD7:AD13" si="9">MAX($AH$6:$AH$13)</f>
        <v>74.906166992898946</v>
      </c>
      <c r="AE7" s="159"/>
      <c r="AF7" s="159">
        <f t="shared" ref="AF7:AF31" si="10">VLOOKUP($Y7,$A$6:$I$31,5,FALSE)</f>
        <v>13</v>
      </c>
      <c r="AG7" s="160">
        <f t="shared" ref="AG7:AG31" si="11">VLOOKUP($Y7,$A$6:$I$31,6,FALSE)</f>
        <v>19</v>
      </c>
      <c r="AH7" s="161">
        <f t="shared" ref="AH7:AH31" si="12">VLOOKUP($Y7,$A$6:$I$31,7,FALSE)</f>
        <v>45.443411853545122</v>
      </c>
      <c r="AI7" s="161">
        <f t="shared" ref="AI7:AI31" si="13">VLOOKUP($Y7,$A$6:$I$31,8,FALSE)</f>
        <v>27.223738506315847</v>
      </c>
      <c r="AJ7" s="161">
        <f t="shared" ref="AJ7:AJ31" si="14">VLOOKUP($Y7,$A$6:$I$31,9,FALSE)</f>
        <v>71.143406976042897</v>
      </c>
      <c r="AK7" s="160">
        <f t="shared" ref="AK7:AK31" si="15">VLOOKUP($Y7,$A$6:$M$31,13,FALSE)</f>
        <v>5</v>
      </c>
    </row>
    <row r="8" spans="1:37" x14ac:dyDescent="0.2">
      <c r="A8" s="62" t="s">
        <v>31</v>
      </c>
      <c r="B8" s="62" t="s">
        <v>57</v>
      </c>
      <c r="C8" s="62" t="s">
        <v>200</v>
      </c>
      <c r="D8" s="62"/>
      <c r="E8" s="62">
        <f t="shared" si="2"/>
        <v>17</v>
      </c>
      <c r="F8" s="128">
        <v>21</v>
      </c>
      <c r="G8" s="129">
        <v>57.047391942210837</v>
      </c>
      <c r="H8" s="129">
        <v>35.213354176462182</v>
      </c>
      <c r="I8" s="129">
        <v>87.327024673616506</v>
      </c>
      <c r="J8" s="129"/>
      <c r="K8" s="129"/>
      <c r="L8" s="129"/>
      <c r="M8" s="60">
        <f t="shared" si="0"/>
        <v>5</v>
      </c>
      <c r="N8" s="61">
        <f t="shared" si="3"/>
        <v>6.1383928571428559</v>
      </c>
      <c r="O8" s="61">
        <f t="shared" ref="O8:O31" si="16">VLOOKUP(7,$E$5:$G$39,3,FALSE)</f>
        <v>29.450247108574921</v>
      </c>
      <c r="P8" s="129">
        <f t="shared" si="4"/>
        <v>49.491593757294879</v>
      </c>
      <c r="Q8" s="129">
        <f t="shared" si="5"/>
        <v>44.674063266386895</v>
      </c>
      <c r="R8" s="129">
        <f t="shared" si="6"/>
        <v>54.670518513386718</v>
      </c>
      <c r="S8" s="61">
        <f t="shared" si="7"/>
        <v>59.121408345803268</v>
      </c>
      <c r="T8" s="61">
        <f t="shared" si="1"/>
        <v>85.869077570142508</v>
      </c>
      <c r="U8" s="61">
        <f t="shared" ref="U8:U31" si="17">VLOOKUP(C8,$C$43:$I$46,5,FALSE)</f>
        <v>54.184831862831302</v>
      </c>
      <c r="V8" s="61"/>
      <c r="Y8" s="159" t="s">
        <v>41</v>
      </c>
      <c r="Z8" s="159" t="s">
        <v>64</v>
      </c>
      <c r="AA8" s="159" t="s">
        <v>163</v>
      </c>
      <c r="AB8" s="159">
        <f t="shared" si="8"/>
        <v>5</v>
      </c>
      <c r="AC8" s="164">
        <f t="shared" ref="AC8:AC13" si="18">MIN($AH$6:$AH$13)</f>
        <v>6.1383928571428559</v>
      </c>
      <c r="AD8" s="164">
        <f>MAX($AH$6:$AH$13)</f>
        <v>74.906166992898946</v>
      </c>
      <c r="AE8" s="159"/>
      <c r="AF8" s="159">
        <f t="shared" si="10"/>
        <v>11</v>
      </c>
      <c r="AG8" s="160">
        <f t="shared" si="11"/>
        <v>15</v>
      </c>
      <c r="AH8" s="161">
        <f t="shared" si="12"/>
        <v>39.557880806935991</v>
      </c>
      <c r="AI8" s="161">
        <f t="shared" si="13"/>
        <v>22.095548959203285</v>
      </c>
      <c r="AJ8" s="161">
        <f t="shared" si="14"/>
        <v>65.290507188317733</v>
      </c>
      <c r="AK8" s="160">
        <f t="shared" si="15"/>
        <v>5</v>
      </c>
    </row>
    <row r="9" spans="1:37" x14ac:dyDescent="0.2">
      <c r="A9" s="62" t="s">
        <v>32</v>
      </c>
      <c r="B9" s="62" t="s">
        <v>156</v>
      </c>
      <c r="C9" s="62" t="s">
        <v>201</v>
      </c>
      <c r="D9" s="62"/>
      <c r="E9" s="62">
        <f t="shared" si="2"/>
        <v>24</v>
      </c>
      <c r="F9" s="128">
        <v>34</v>
      </c>
      <c r="G9" s="129">
        <v>78.756281100529421</v>
      </c>
      <c r="H9" s="129">
        <v>51.399209045070506</v>
      </c>
      <c r="I9" s="129">
        <v>114.1063192479136</v>
      </c>
      <c r="J9" s="129"/>
      <c r="K9" s="129"/>
      <c r="L9" s="129"/>
      <c r="M9" s="60">
        <f t="shared" si="0"/>
        <v>5</v>
      </c>
      <c r="N9" s="61">
        <f t="shared" si="3"/>
        <v>6.1383928571428559</v>
      </c>
      <c r="O9" s="61">
        <f t="shared" si="16"/>
        <v>29.450247108574921</v>
      </c>
      <c r="P9" s="129">
        <f t="shared" si="4"/>
        <v>49.491593757294879</v>
      </c>
      <c r="Q9" s="129">
        <f t="shared" si="5"/>
        <v>44.674063266386895</v>
      </c>
      <c r="R9" s="129">
        <f t="shared" si="6"/>
        <v>54.670518513386718</v>
      </c>
      <c r="S9" s="61">
        <f t="shared" si="7"/>
        <v>59.121408345803268</v>
      </c>
      <c r="T9" s="61">
        <f t="shared" si="1"/>
        <v>85.869077570142508</v>
      </c>
      <c r="U9" s="61">
        <f t="shared" si="17"/>
        <v>62.378078112986849</v>
      </c>
      <c r="V9" s="61"/>
      <c r="X9" s="63"/>
      <c r="Y9" s="159" t="s">
        <v>45</v>
      </c>
      <c r="Z9" s="159" t="s">
        <v>67</v>
      </c>
      <c r="AA9" s="159" t="s">
        <v>163</v>
      </c>
      <c r="AB9" s="159">
        <f t="shared" si="8"/>
        <v>3</v>
      </c>
      <c r="AC9" s="164">
        <f t="shared" si="18"/>
        <v>6.1383928571428559</v>
      </c>
      <c r="AD9" s="164">
        <f t="shared" si="9"/>
        <v>74.906166992898946</v>
      </c>
      <c r="AE9" s="159"/>
      <c r="AF9" s="159">
        <f t="shared" si="10"/>
        <v>5</v>
      </c>
      <c r="AG9" s="160">
        <f t="shared" si="11"/>
        <v>7</v>
      </c>
      <c r="AH9" s="161">
        <f t="shared" si="12"/>
        <v>27.439964653076721</v>
      </c>
      <c r="AI9" s="161">
        <f t="shared" si="13"/>
        <v>10.882172861650458</v>
      </c>
      <c r="AJ9" s="161">
        <f t="shared" si="14"/>
        <v>56.735830518841773</v>
      </c>
      <c r="AK9" s="160">
        <f t="shared" si="15"/>
        <v>5</v>
      </c>
    </row>
    <row r="10" spans="1:37" x14ac:dyDescent="0.2">
      <c r="A10" s="62" t="s">
        <v>33</v>
      </c>
      <c r="B10" s="62" t="s">
        <v>58</v>
      </c>
      <c r="C10" s="62" t="s">
        <v>163</v>
      </c>
      <c r="D10" s="62"/>
      <c r="E10" s="62">
        <f t="shared" si="2"/>
        <v>23</v>
      </c>
      <c r="F10" s="128">
        <v>25</v>
      </c>
      <c r="G10" s="129">
        <v>74.906166992898946</v>
      </c>
      <c r="H10" s="129">
        <v>47.953297596000006</v>
      </c>
      <c r="I10" s="129">
        <v>111.26722292756254</v>
      </c>
      <c r="J10" s="129"/>
      <c r="K10" s="129"/>
      <c r="L10" s="129"/>
      <c r="M10" s="60">
        <f t="shared" si="0"/>
        <v>5</v>
      </c>
      <c r="N10" s="61">
        <f t="shared" si="3"/>
        <v>6.1383928571428559</v>
      </c>
      <c r="O10" s="61">
        <f t="shared" si="16"/>
        <v>29.450247108574921</v>
      </c>
      <c r="P10" s="129">
        <f t="shared" si="4"/>
        <v>49.491593757294879</v>
      </c>
      <c r="Q10" s="129">
        <f t="shared" si="5"/>
        <v>44.674063266386895</v>
      </c>
      <c r="R10" s="129">
        <f t="shared" si="6"/>
        <v>54.670518513386718</v>
      </c>
      <c r="S10" s="61">
        <f t="shared" si="7"/>
        <v>59.121408345803268</v>
      </c>
      <c r="T10" s="61">
        <f t="shared" si="1"/>
        <v>85.869077570142508</v>
      </c>
      <c r="U10" s="61">
        <f t="shared" si="17"/>
        <v>41.019754461440435</v>
      </c>
      <c r="V10" s="61"/>
      <c r="Y10" s="159" t="s">
        <v>46</v>
      </c>
      <c r="Z10" s="159" t="s">
        <v>68</v>
      </c>
      <c r="AA10" s="159" t="s">
        <v>163</v>
      </c>
      <c r="AB10" s="159">
        <f t="shared" si="8"/>
        <v>4</v>
      </c>
      <c r="AC10" s="164">
        <f t="shared" si="18"/>
        <v>6.1383928571428559</v>
      </c>
      <c r="AD10" s="164">
        <f t="shared" si="9"/>
        <v>74.906166992898946</v>
      </c>
      <c r="AE10" s="159"/>
      <c r="AF10" s="159">
        <f t="shared" si="10"/>
        <v>8</v>
      </c>
      <c r="AG10" s="160">
        <f t="shared" si="11"/>
        <v>11</v>
      </c>
      <c r="AH10" s="161">
        <f t="shared" si="12"/>
        <v>31.125434266981262</v>
      </c>
      <c r="AI10" s="161">
        <f t="shared" si="13"/>
        <v>15.476685909581494</v>
      </c>
      <c r="AJ10" s="161">
        <f t="shared" si="14"/>
        <v>55.758168367598167</v>
      </c>
      <c r="AK10" s="160">
        <f t="shared" si="15"/>
        <v>5</v>
      </c>
    </row>
    <row r="11" spans="1:37" x14ac:dyDescent="0.2">
      <c r="A11" s="62" t="s">
        <v>34</v>
      </c>
      <c r="B11" s="62" t="s">
        <v>59</v>
      </c>
      <c r="C11" s="62" t="s">
        <v>200</v>
      </c>
      <c r="D11" s="62"/>
      <c r="E11" s="62">
        <f t="shared" si="2"/>
        <v>14</v>
      </c>
      <c r="F11" s="128">
        <v>20</v>
      </c>
      <c r="G11" s="129">
        <v>46.249234184861706</v>
      </c>
      <c r="H11" s="129">
        <v>27.729545115529682</v>
      </c>
      <c r="I11" s="129">
        <v>72.143226056288583</v>
      </c>
      <c r="J11" s="129"/>
      <c r="K11" s="129"/>
      <c r="L11" s="129"/>
      <c r="M11" s="60">
        <f t="shared" si="0"/>
        <v>5</v>
      </c>
      <c r="N11" s="61">
        <f t="shared" si="3"/>
        <v>6.1383928571428559</v>
      </c>
      <c r="O11" s="61">
        <f t="shared" si="16"/>
        <v>29.450247108574921</v>
      </c>
      <c r="P11" s="129">
        <f t="shared" si="4"/>
        <v>49.491593757294879</v>
      </c>
      <c r="Q11" s="129">
        <f t="shared" si="5"/>
        <v>44.674063266386895</v>
      </c>
      <c r="R11" s="129">
        <f t="shared" si="6"/>
        <v>54.670518513386718</v>
      </c>
      <c r="S11" s="61">
        <f t="shared" si="7"/>
        <v>59.121408345803268</v>
      </c>
      <c r="T11" s="61">
        <f t="shared" si="1"/>
        <v>85.869077570142508</v>
      </c>
      <c r="U11" s="61">
        <f t="shared" si="17"/>
        <v>54.184831862831302</v>
      </c>
      <c r="V11" s="61"/>
      <c r="Y11" s="159" t="s">
        <v>47</v>
      </c>
      <c r="Z11" s="159" t="s">
        <v>69</v>
      </c>
      <c r="AA11" s="159" t="s">
        <v>163</v>
      </c>
      <c r="AB11" s="159">
        <f t="shared" si="8"/>
        <v>1</v>
      </c>
      <c r="AC11" s="164">
        <f t="shared" si="18"/>
        <v>6.1383928571428559</v>
      </c>
      <c r="AD11" s="164">
        <f t="shared" si="9"/>
        <v>74.906166992898946</v>
      </c>
      <c r="AE11" s="159"/>
      <c r="AF11" s="159">
        <f t="shared" si="10"/>
        <v>1</v>
      </c>
      <c r="AG11" s="160" t="str">
        <f t="shared" si="11"/>
        <v>N/A</v>
      </c>
      <c r="AH11" s="161">
        <f t="shared" si="12"/>
        <v>6.1383928571428559</v>
      </c>
      <c r="AI11" s="161">
        <f t="shared" si="13"/>
        <v>8.0241887230216288E-2</v>
      </c>
      <c r="AJ11" s="161">
        <f t="shared" si="14"/>
        <v>34.152517526354828</v>
      </c>
      <c r="AK11" s="160">
        <f t="shared" si="15"/>
        <v>2</v>
      </c>
    </row>
    <row r="12" spans="1:37" x14ac:dyDescent="0.2">
      <c r="A12" s="62" t="s">
        <v>35</v>
      </c>
      <c r="B12" s="62" t="s">
        <v>60</v>
      </c>
      <c r="C12" s="62" t="s">
        <v>163</v>
      </c>
      <c r="D12" s="62"/>
      <c r="E12" s="62">
        <f t="shared" si="2"/>
        <v>13</v>
      </c>
      <c r="F12" s="128">
        <v>19</v>
      </c>
      <c r="G12" s="129">
        <v>45.443411853545122</v>
      </c>
      <c r="H12" s="129">
        <v>27.223738506315847</v>
      </c>
      <c r="I12" s="129">
        <v>71.143406976042897</v>
      </c>
      <c r="J12" s="129"/>
      <c r="K12" s="129"/>
      <c r="L12" s="129"/>
      <c r="M12" s="60">
        <f t="shared" si="0"/>
        <v>5</v>
      </c>
      <c r="N12" s="61">
        <f t="shared" si="3"/>
        <v>6.1383928571428559</v>
      </c>
      <c r="O12" s="61">
        <f t="shared" si="16"/>
        <v>29.450247108574921</v>
      </c>
      <c r="P12" s="129">
        <f t="shared" si="4"/>
        <v>49.491593757294879</v>
      </c>
      <c r="Q12" s="129">
        <f t="shared" si="5"/>
        <v>44.674063266386895</v>
      </c>
      <c r="R12" s="129">
        <f t="shared" si="6"/>
        <v>54.670518513386718</v>
      </c>
      <c r="S12" s="61">
        <f t="shared" si="7"/>
        <v>59.121408345803268</v>
      </c>
      <c r="T12" s="61">
        <f t="shared" si="1"/>
        <v>85.869077570142508</v>
      </c>
      <c r="U12" s="61">
        <f t="shared" si="17"/>
        <v>41.019754461440435</v>
      </c>
      <c r="V12" s="61"/>
      <c r="Y12" s="159" t="s">
        <v>50</v>
      </c>
      <c r="Z12" s="159" t="s">
        <v>161</v>
      </c>
      <c r="AA12" s="159" t="s">
        <v>163</v>
      </c>
      <c r="AB12" s="159">
        <f t="shared" si="8"/>
        <v>2</v>
      </c>
      <c r="AC12" s="164">
        <f t="shared" si="18"/>
        <v>6.1383928571428559</v>
      </c>
      <c r="AD12" s="164">
        <f t="shared" si="9"/>
        <v>74.906166992898946</v>
      </c>
      <c r="AE12" s="159"/>
      <c r="AF12" s="159">
        <f t="shared" si="10"/>
        <v>4</v>
      </c>
      <c r="AG12" s="160" t="str">
        <f t="shared" si="11"/>
        <v>N/A</v>
      </c>
      <c r="AH12" s="161">
        <f t="shared" si="12"/>
        <v>27.029401437558914</v>
      </c>
      <c r="AI12" s="161">
        <f t="shared" si="13"/>
        <v>7.1902407527949963</v>
      </c>
      <c r="AJ12" s="161">
        <f t="shared" si="14"/>
        <v>69.374704263933666</v>
      </c>
      <c r="AK12" s="160">
        <f t="shared" si="15"/>
        <v>5</v>
      </c>
    </row>
    <row r="13" spans="1:37" x14ac:dyDescent="0.2">
      <c r="A13" s="62" t="s">
        <v>36</v>
      </c>
      <c r="B13" s="62" t="s">
        <v>61</v>
      </c>
      <c r="C13" s="62" t="s">
        <v>201</v>
      </c>
      <c r="D13" s="62"/>
      <c r="E13" s="62">
        <f t="shared" si="2"/>
        <v>10</v>
      </c>
      <c r="F13" s="128" t="s">
        <v>79</v>
      </c>
      <c r="G13" s="129">
        <v>36.249088487151695</v>
      </c>
      <c r="H13" s="129">
        <v>-10.539693304202267</v>
      </c>
      <c r="I13" s="129">
        <v>115.99518189202183</v>
      </c>
      <c r="J13" s="129"/>
      <c r="K13" s="129"/>
      <c r="L13" s="129"/>
      <c r="M13" s="60">
        <f t="shared" si="0"/>
        <v>5</v>
      </c>
      <c r="N13" s="61">
        <f t="shared" si="3"/>
        <v>6.1383928571428559</v>
      </c>
      <c r="O13" s="61">
        <f t="shared" si="16"/>
        <v>29.450247108574921</v>
      </c>
      <c r="P13" s="129">
        <f t="shared" si="4"/>
        <v>49.491593757294879</v>
      </c>
      <c r="Q13" s="129">
        <f t="shared" si="5"/>
        <v>44.674063266386895</v>
      </c>
      <c r="R13" s="129">
        <f t="shared" si="6"/>
        <v>54.670518513386718</v>
      </c>
      <c r="S13" s="61">
        <f t="shared" si="7"/>
        <v>59.121408345803268</v>
      </c>
      <c r="T13" s="61">
        <f t="shared" si="1"/>
        <v>85.869077570142508</v>
      </c>
      <c r="U13" s="61">
        <f t="shared" si="17"/>
        <v>62.378078112986849</v>
      </c>
      <c r="V13" s="61"/>
      <c r="Y13" s="159" t="s">
        <v>53</v>
      </c>
      <c r="Z13" s="159" t="s">
        <v>162</v>
      </c>
      <c r="AA13" s="159" t="s">
        <v>163</v>
      </c>
      <c r="AB13" s="159">
        <f>RANK(AH13,$AH$6:$AH$13,1)</f>
        <v>6</v>
      </c>
      <c r="AC13" s="164">
        <f t="shared" si="18"/>
        <v>6.1383928571428559</v>
      </c>
      <c r="AD13" s="164">
        <f t="shared" si="9"/>
        <v>74.906166992898946</v>
      </c>
      <c r="AE13" s="159"/>
      <c r="AF13" s="159">
        <f t="shared" si="10"/>
        <v>12</v>
      </c>
      <c r="AG13" s="160">
        <f t="shared" si="11"/>
        <v>38</v>
      </c>
      <c r="AH13" s="161">
        <f t="shared" si="12"/>
        <v>45.251383695510832</v>
      </c>
      <c r="AI13" s="161">
        <f t="shared" si="13"/>
        <v>31.958675988033917</v>
      </c>
      <c r="AJ13" s="161">
        <f t="shared" si="14"/>
        <v>62.189072206954485</v>
      </c>
      <c r="AK13" s="160">
        <f t="shared" si="15"/>
        <v>5</v>
      </c>
    </row>
    <row r="14" spans="1:37" x14ac:dyDescent="0.2">
      <c r="A14" s="62" t="s">
        <v>37</v>
      </c>
      <c r="B14" s="62" t="s">
        <v>157</v>
      </c>
      <c r="C14" s="62" t="s">
        <v>201</v>
      </c>
      <c r="D14" s="62"/>
      <c r="E14" s="62">
        <f t="shared" si="2"/>
        <v>16</v>
      </c>
      <c r="F14" s="128">
        <v>26</v>
      </c>
      <c r="G14" s="129">
        <v>48.652078556774519</v>
      </c>
      <c r="H14" s="129">
        <v>27.368671079103592</v>
      </c>
      <c r="I14" s="129">
        <v>77.196418762564548</v>
      </c>
      <c r="J14" s="129"/>
      <c r="K14" s="129"/>
      <c r="L14" s="129"/>
      <c r="M14" s="60">
        <f t="shared" si="0"/>
        <v>5</v>
      </c>
      <c r="N14" s="61">
        <f t="shared" si="3"/>
        <v>6.1383928571428559</v>
      </c>
      <c r="O14" s="61">
        <f t="shared" si="16"/>
        <v>29.450247108574921</v>
      </c>
      <c r="P14" s="129">
        <f t="shared" si="4"/>
        <v>49.491593757294879</v>
      </c>
      <c r="Q14" s="129">
        <f t="shared" si="5"/>
        <v>44.674063266386895</v>
      </c>
      <c r="R14" s="129">
        <f t="shared" si="6"/>
        <v>54.670518513386718</v>
      </c>
      <c r="S14" s="61">
        <f t="shared" si="7"/>
        <v>59.121408345803268</v>
      </c>
      <c r="T14" s="61">
        <f t="shared" si="1"/>
        <v>85.869077570142508</v>
      </c>
      <c r="U14" s="61">
        <f t="shared" si="17"/>
        <v>62.378078112986849</v>
      </c>
      <c r="V14" s="61"/>
      <c r="Y14" s="162" t="s">
        <v>29</v>
      </c>
      <c r="Z14" s="162" t="s">
        <v>55</v>
      </c>
      <c r="AA14" s="162" t="s">
        <v>201</v>
      </c>
      <c r="AB14" s="162">
        <f>RANK(AH14,$AH$14:$AH$22,1)</f>
        <v>3</v>
      </c>
      <c r="AC14" s="165">
        <f t="shared" ref="AC14:AC22" si="19">MIN($AH$14:$AH$22)</f>
        <v>14.012377480129636</v>
      </c>
      <c r="AD14" s="165">
        <f>MAX($AH$14:$AH$22)</f>
        <v>85.869077570142508</v>
      </c>
      <c r="AE14" s="162"/>
      <c r="AF14" s="162">
        <f t="shared" si="10"/>
        <v>9</v>
      </c>
      <c r="AG14" s="167">
        <f t="shared" si="11"/>
        <v>9</v>
      </c>
      <c r="AH14" s="165">
        <f t="shared" si="12"/>
        <v>33.709039293183068</v>
      </c>
      <c r="AI14" s="165">
        <f t="shared" si="13"/>
        <v>13.78886553131454</v>
      </c>
      <c r="AJ14" s="165">
        <f t="shared" si="14"/>
        <v>66.626752673405932</v>
      </c>
      <c r="AK14" s="167">
        <f t="shared" si="15"/>
        <v>5</v>
      </c>
    </row>
    <row r="15" spans="1:37" x14ac:dyDescent="0.2">
      <c r="A15" s="62" t="s">
        <v>38</v>
      </c>
      <c r="B15" s="62" t="s">
        <v>62</v>
      </c>
      <c r="C15" s="62" t="s">
        <v>201</v>
      </c>
      <c r="D15" s="62"/>
      <c r="E15" s="62">
        <f t="shared" si="2"/>
        <v>18</v>
      </c>
      <c r="F15" s="128">
        <v>11</v>
      </c>
      <c r="G15" s="129">
        <v>58.462966602107826</v>
      </c>
      <c r="H15" s="129">
        <v>29.10963705315185</v>
      </c>
      <c r="I15" s="129">
        <v>104.66811638364329</v>
      </c>
      <c r="J15" s="129"/>
      <c r="K15" s="129"/>
      <c r="L15" s="129"/>
      <c r="M15" s="60">
        <f t="shared" si="0"/>
        <v>5</v>
      </c>
      <c r="N15" s="61">
        <f t="shared" si="3"/>
        <v>6.1383928571428559</v>
      </c>
      <c r="O15" s="61">
        <f t="shared" si="16"/>
        <v>29.450247108574921</v>
      </c>
      <c r="P15" s="129">
        <f t="shared" si="4"/>
        <v>49.491593757294879</v>
      </c>
      <c r="Q15" s="129">
        <f t="shared" si="5"/>
        <v>44.674063266386895</v>
      </c>
      <c r="R15" s="129">
        <f t="shared" si="6"/>
        <v>54.670518513386718</v>
      </c>
      <c r="S15" s="61">
        <f t="shared" si="7"/>
        <v>59.121408345803268</v>
      </c>
      <c r="T15" s="61">
        <f t="shared" si="1"/>
        <v>85.869077570142508</v>
      </c>
      <c r="U15" s="61">
        <f t="shared" si="17"/>
        <v>62.378078112986849</v>
      </c>
      <c r="V15" s="61"/>
      <c r="Y15" s="162" t="s">
        <v>32</v>
      </c>
      <c r="Z15" s="162" t="s">
        <v>156</v>
      </c>
      <c r="AA15" s="162" t="s">
        <v>201</v>
      </c>
      <c r="AB15" s="162">
        <f>RANK(AH15,$AH$14:$AH$22,1)</f>
        <v>8</v>
      </c>
      <c r="AC15" s="165">
        <f t="shared" si="19"/>
        <v>14.012377480129636</v>
      </c>
      <c r="AD15" s="165">
        <f t="shared" ref="AD15:AD22" si="20">MAX($AH$14:$AH$22)</f>
        <v>85.869077570142508</v>
      </c>
      <c r="AE15" s="162"/>
      <c r="AF15" s="162">
        <f t="shared" si="10"/>
        <v>24</v>
      </c>
      <c r="AG15" s="167">
        <f t="shared" si="11"/>
        <v>34</v>
      </c>
      <c r="AH15" s="165">
        <f t="shared" si="12"/>
        <v>78.756281100529421</v>
      </c>
      <c r="AI15" s="165">
        <f t="shared" si="13"/>
        <v>51.399209045070506</v>
      </c>
      <c r="AJ15" s="165">
        <f t="shared" si="14"/>
        <v>114.1063192479136</v>
      </c>
      <c r="AK15" s="167">
        <f t="shared" si="15"/>
        <v>5</v>
      </c>
    </row>
    <row r="16" spans="1:37" x14ac:dyDescent="0.2">
      <c r="A16" s="62" t="s">
        <v>39</v>
      </c>
      <c r="B16" s="62" t="s">
        <v>158</v>
      </c>
      <c r="C16" s="62" t="s">
        <v>200</v>
      </c>
      <c r="D16" s="62"/>
      <c r="E16" s="62">
        <f t="shared" si="2"/>
        <v>20</v>
      </c>
      <c r="F16" s="128">
        <v>21</v>
      </c>
      <c r="G16" s="129">
        <v>59.121408345803268</v>
      </c>
      <c r="H16" s="129">
        <v>36.106713419933619</v>
      </c>
      <c r="I16" s="129">
        <v>91.038386655416602</v>
      </c>
      <c r="J16" s="129"/>
      <c r="K16" s="129"/>
      <c r="L16" s="129"/>
      <c r="M16" s="60">
        <f t="shared" si="0"/>
        <v>5</v>
      </c>
      <c r="N16" s="61">
        <f t="shared" si="3"/>
        <v>6.1383928571428559</v>
      </c>
      <c r="O16" s="61">
        <f t="shared" si="16"/>
        <v>29.450247108574921</v>
      </c>
      <c r="P16" s="129">
        <f t="shared" si="4"/>
        <v>49.491593757294879</v>
      </c>
      <c r="Q16" s="129">
        <f t="shared" si="5"/>
        <v>44.674063266386895</v>
      </c>
      <c r="R16" s="129">
        <f t="shared" si="6"/>
        <v>54.670518513386718</v>
      </c>
      <c r="S16" s="61">
        <f t="shared" si="7"/>
        <v>59.121408345803268</v>
      </c>
      <c r="T16" s="61">
        <f t="shared" si="1"/>
        <v>85.869077570142508</v>
      </c>
      <c r="U16" s="61">
        <f t="shared" si="17"/>
        <v>54.184831862831302</v>
      </c>
      <c r="V16" s="61"/>
      <c r="Y16" s="162" t="s">
        <v>36</v>
      </c>
      <c r="Z16" s="162" t="s">
        <v>61</v>
      </c>
      <c r="AA16" s="162" t="s">
        <v>201</v>
      </c>
      <c r="AB16" s="162">
        <f>RANK(AH16,$AH$14:$AH$22,1)</f>
        <v>4</v>
      </c>
      <c r="AC16" s="165">
        <f t="shared" si="19"/>
        <v>14.012377480129636</v>
      </c>
      <c r="AD16" s="165">
        <f t="shared" si="20"/>
        <v>85.869077570142508</v>
      </c>
      <c r="AE16" s="162"/>
      <c r="AF16" s="162">
        <f t="shared" si="10"/>
        <v>10</v>
      </c>
      <c r="AG16" s="167" t="str">
        <f t="shared" si="11"/>
        <v>N/A</v>
      </c>
      <c r="AH16" s="165">
        <f t="shared" si="12"/>
        <v>36.249088487151695</v>
      </c>
      <c r="AI16" s="165">
        <f t="shared" si="13"/>
        <v>-10.539693304202267</v>
      </c>
      <c r="AJ16" s="165">
        <f t="shared" si="14"/>
        <v>115.99518189202183</v>
      </c>
      <c r="AK16" s="167">
        <f t="shared" si="15"/>
        <v>5</v>
      </c>
    </row>
    <row r="17" spans="1:37" x14ac:dyDescent="0.2">
      <c r="A17" s="62" t="s">
        <v>40</v>
      </c>
      <c r="B17" s="62" t="s">
        <v>63</v>
      </c>
      <c r="C17" s="62" t="s">
        <v>200</v>
      </c>
      <c r="D17" s="62"/>
      <c r="E17" s="62">
        <f t="shared" si="2"/>
        <v>19</v>
      </c>
      <c r="F17" s="128">
        <v>14</v>
      </c>
      <c r="G17" s="129">
        <v>58.996984245144311</v>
      </c>
      <c r="H17" s="129">
        <v>31.958714872732084</v>
      </c>
      <c r="I17" s="129">
        <v>99.393898016867254</v>
      </c>
      <c r="J17" s="129"/>
      <c r="K17" s="129"/>
      <c r="L17" s="129"/>
      <c r="M17" s="60">
        <f t="shared" si="0"/>
        <v>5</v>
      </c>
      <c r="N17" s="61">
        <f t="shared" si="3"/>
        <v>6.1383928571428559</v>
      </c>
      <c r="O17" s="61">
        <f t="shared" si="16"/>
        <v>29.450247108574921</v>
      </c>
      <c r="P17" s="129">
        <f t="shared" si="4"/>
        <v>49.491593757294879</v>
      </c>
      <c r="Q17" s="129">
        <f t="shared" si="5"/>
        <v>44.674063266386895</v>
      </c>
      <c r="R17" s="129">
        <f t="shared" si="6"/>
        <v>54.670518513386718</v>
      </c>
      <c r="S17" s="61">
        <f t="shared" si="7"/>
        <v>59.121408345803268</v>
      </c>
      <c r="T17" s="61">
        <f t="shared" si="1"/>
        <v>85.869077570142508</v>
      </c>
      <c r="U17" s="61">
        <f t="shared" si="17"/>
        <v>54.184831862831302</v>
      </c>
      <c r="V17" s="61"/>
      <c r="Y17" s="162" t="s">
        <v>37</v>
      </c>
      <c r="Z17" s="162" t="s">
        <v>157</v>
      </c>
      <c r="AA17" s="162" t="s">
        <v>201</v>
      </c>
      <c r="AB17" s="162">
        <f t="shared" ref="AB17:AB22" si="21">RANK(AH17,$AH$14:$AH$22,1)</f>
        <v>5</v>
      </c>
      <c r="AC17" s="165">
        <f t="shared" si="19"/>
        <v>14.012377480129636</v>
      </c>
      <c r="AD17" s="165">
        <f>MAX($AH$14:$AH$22)</f>
        <v>85.869077570142508</v>
      </c>
      <c r="AE17" s="162"/>
      <c r="AF17" s="162">
        <f t="shared" si="10"/>
        <v>16</v>
      </c>
      <c r="AG17" s="167">
        <f t="shared" si="11"/>
        <v>26</v>
      </c>
      <c r="AH17" s="165">
        <f t="shared" si="12"/>
        <v>48.652078556774519</v>
      </c>
      <c r="AI17" s="165">
        <f t="shared" si="13"/>
        <v>27.368671079103592</v>
      </c>
      <c r="AJ17" s="165">
        <f t="shared" si="14"/>
        <v>77.196418762564548</v>
      </c>
      <c r="AK17" s="167">
        <f t="shared" si="15"/>
        <v>5</v>
      </c>
    </row>
    <row r="18" spans="1:37" x14ac:dyDescent="0.2">
      <c r="A18" s="62" t="s">
        <v>41</v>
      </c>
      <c r="B18" s="62" t="s">
        <v>64</v>
      </c>
      <c r="C18" s="62" t="s">
        <v>163</v>
      </c>
      <c r="D18" s="62"/>
      <c r="E18" s="62">
        <f t="shared" si="2"/>
        <v>11</v>
      </c>
      <c r="F18" s="128">
        <v>15</v>
      </c>
      <c r="G18" s="129">
        <v>39.557880806935991</v>
      </c>
      <c r="H18" s="129">
        <v>22.095548959203285</v>
      </c>
      <c r="I18" s="129">
        <v>65.290507188317733</v>
      </c>
      <c r="J18" s="129"/>
      <c r="K18" s="129"/>
      <c r="L18" s="129"/>
      <c r="M18" s="60">
        <f t="shared" si="0"/>
        <v>5</v>
      </c>
      <c r="N18" s="61">
        <f t="shared" si="3"/>
        <v>6.1383928571428559</v>
      </c>
      <c r="O18" s="61">
        <f t="shared" si="16"/>
        <v>29.450247108574921</v>
      </c>
      <c r="P18" s="129">
        <f t="shared" si="4"/>
        <v>49.491593757294879</v>
      </c>
      <c r="Q18" s="129">
        <f t="shared" si="5"/>
        <v>44.674063266386895</v>
      </c>
      <c r="R18" s="129">
        <f t="shared" si="6"/>
        <v>54.670518513386718</v>
      </c>
      <c r="S18" s="61">
        <f t="shared" si="7"/>
        <v>59.121408345803268</v>
      </c>
      <c r="T18" s="61">
        <f t="shared" si="1"/>
        <v>85.869077570142508</v>
      </c>
      <c r="U18" s="61">
        <f t="shared" si="17"/>
        <v>41.019754461440435</v>
      </c>
      <c r="V18" s="61"/>
      <c r="Y18" s="162" t="s">
        <v>38</v>
      </c>
      <c r="Z18" s="162" t="s">
        <v>62</v>
      </c>
      <c r="AA18" s="162" t="s">
        <v>201</v>
      </c>
      <c r="AB18" s="162">
        <f t="shared" si="21"/>
        <v>6</v>
      </c>
      <c r="AC18" s="165">
        <f t="shared" si="19"/>
        <v>14.012377480129636</v>
      </c>
      <c r="AD18" s="165">
        <f t="shared" si="20"/>
        <v>85.869077570142508</v>
      </c>
      <c r="AE18" s="162"/>
      <c r="AF18" s="162">
        <f t="shared" si="10"/>
        <v>18</v>
      </c>
      <c r="AG18" s="167">
        <f t="shared" si="11"/>
        <v>11</v>
      </c>
      <c r="AH18" s="165">
        <f t="shared" si="12"/>
        <v>58.462966602107826</v>
      </c>
      <c r="AI18" s="165">
        <f t="shared" si="13"/>
        <v>29.10963705315185</v>
      </c>
      <c r="AJ18" s="165">
        <f t="shared" si="14"/>
        <v>104.66811638364329</v>
      </c>
      <c r="AK18" s="167">
        <f t="shared" si="15"/>
        <v>5</v>
      </c>
    </row>
    <row r="19" spans="1:37" x14ac:dyDescent="0.2">
      <c r="A19" s="62" t="s">
        <v>42</v>
      </c>
      <c r="B19" s="62" t="s">
        <v>65</v>
      </c>
      <c r="C19" s="62" t="s">
        <v>200</v>
      </c>
      <c r="D19" s="62"/>
      <c r="E19" s="62">
        <f t="shared" si="2"/>
        <v>6</v>
      </c>
      <c r="F19" s="128" t="s">
        <v>79</v>
      </c>
      <c r="G19" s="129">
        <v>27.886246383748961</v>
      </c>
      <c r="H19" s="129">
        <v>7.9320157602164194</v>
      </c>
      <c r="I19" s="129">
        <v>67.152029235588685</v>
      </c>
      <c r="J19" s="129"/>
      <c r="K19" s="129"/>
      <c r="L19" s="129"/>
      <c r="M19" s="60">
        <f t="shared" si="0"/>
        <v>5</v>
      </c>
      <c r="N19" s="61">
        <f t="shared" si="3"/>
        <v>6.1383928571428559</v>
      </c>
      <c r="O19" s="61">
        <f t="shared" si="16"/>
        <v>29.450247108574921</v>
      </c>
      <c r="P19" s="129">
        <f t="shared" si="4"/>
        <v>49.491593757294879</v>
      </c>
      <c r="Q19" s="129">
        <f t="shared" si="5"/>
        <v>44.674063266386895</v>
      </c>
      <c r="R19" s="129">
        <f t="shared" si="6"/>
        <v>54.670518513386718</v>
      </c>
      <c r="S19" s="61">
        <f t="shared" si="7"/>
        <v>59.121408345803268</v>
      </c>
      <c r="T19" s="61">
        <f t="shared" si="1"/>
        <v>85.869077570142508</v>
      </c>
      <c r="U19" s="61">
        <f t="shared" si="17"/>
        <v>54.184831862831302</v>
      </c>
      <c r="V19" s="61"/>
      <c r="Y19" s="162" t="s">
        <v>43</v>
      </c>
      <c r="Z19" s="162" t="s">
        <v>159</v>
      </c>
      <c r="AA19" s="162" t="s">
        <v>201</v>
      </c>
      <c r="AB19" s="162">
        <f t="shared" si="21"/>
        <v>7</v>
      </c>
      <c r="AC19" s="165">
        <f t="shared" si="19"/>
        <v>14.012377480129636</v>
      </c>
      <c r="AD19" s="165">
        <f t="shared" si="20"/>
        <v>85.869077570142508</v>
      </c>
      <c r="AE19" s="162"/>
      <c r="AF19" s="162">
        <f t="shared" si="10"/>
        <v>21</v>
      </c>
      <c r="AG19" s="167">
        <f t="shared" si="11"/>
        <v>18</v>
      </c>
      <c r="AH19" s="165">
        <f t="shared" si="12"/>
        <v>61.774876979455698</v>
      </c>
      <c r="AI19" s="165">
        <f t="shared" si="13"/>
        <v>34.691469415107512</v>
      </c>
      <c r="AJ19" s="165">
        <f t="shared" si="14"/>
        <v>100.34398379440478</v>
      </c>
      <c r="AK19" s="167">
        <f t="shared" si="15"/>
        <v>5</v>
      </c>
    </row>
    <row r="20" spans="1:37" x14ac:dyDescent="0.2">
      <c r="A20" s="62" t="s">
        <v>43</v>
      </c>
      <c r="B20" s="62" t="s">
        <v>159</v>
      </c>
      <c r="C20" s="62" t="s">
        <v>201</v>
      </c>
      <c r="D20" s="62"/>
      <c r="E20" s="62">
        <f t="shared" si="2"/>
        <v>21</v>
      </c>
      <c r="F20" s="128">
        <v>18</v>
      </c>
      <c r="G20" s="129">
        <v>61.774876979455698</v>
      </c>
      <c r="H20" s="129">
        <v>34.691469415107512</v>
      </c>
      <c r="I20" s="129">
        <v>100.34398379440478</v>
      </c>
      <c r="J20" s="129"/>
      <c r="K20" s="129"/>
      <c r="L20" s="129"/>
      <c r="M20" s="60">
        <f t="shared" si="0"/>
        <v>5</v>
      </c>
      <c r="N20" s="61">
        <f t="shared" si="3"/>
        <v>6.1383928571428559</v>
      </c>
      <c r="O20" s="61">
        <f t="shared" si="16"/>
        <v>29.450247108574921</v>
      </c>
      <c r="P20" s="129">
        <f t="shared" si="4"/>
        <v>49.491593757294879</v>
      </c>
      <c r="Q20" s="129">
        <f t="shared" si="5"/>
        <v>44.674063266386895</v>
      </c>
      <c r="R20" s="129">
        <f t="shared" si="6"/>
        <v>54.670518513386718</v>
      </c>
      <c r="S20" s="61">
        <f t="shared" si="7"/>
        <v>59.121408345803268</v>
      </c>
      <c r="T20" s="61">
        <f t="shared" si="1"/>
        <v>85.869077570142508</v>
      </c>
      <c r="U20" s="61">
        <f t="shared" si="17"/>
        <v>62.378078112986849</v>
      </c>
      <c r="V20" s="61"/>
      <c r="Y20" s="162" t="s">
        <v>48</v>
      </c>
      <c r="Z20" s="162" t="s">
        <v>160</v>
      </c>
      <c r="AA20" s="162" t="s">
        <v>201</v>
      </c>
      <c r="AB20" s="162">
        <f t="shared" si="21"/>
        <v>1</v>
      </c>
      <c r="AC20" s="165">
        <f t="shared" si="19"/>
        <v>14.012377480129636</v>
      </c>
      <c r="AD20" s="165">
        <f t="shared" si="20"/>
        <v>85.869077570142508</v>
      </c>
      <c r="AE20" s="162"/>
      <c r="AF20" s="162">
        <f t="shared" si="10"/>
        <v>2</v>
      </c>
      <c r="AG20" s="167" t="str">
        <f t="shared" si="11"/>
        <v>N/A</v>
      </c>
      <c r="AH20" s="165">
        <f t="shared" si="12"/>
        <v>14.012377480129636</v>
      </c>
      <c r="AI20" s="165">
        <f t="shared" si="13"/>
        <v>2.767168776545784</v>
      </c>
      <c r="AJ20" s="165">
        <f t="shared" si="14"/>
        <v>41.059513073344895</v>
      </c>
      <c r="AK20" s="167">
        <f t="shared" si="15"/>
        <v>2</v>
      </c>
    </row>
    <row r="21" spans="1:37" x14ac:dyDescent="0.2">
      <c r="A21" s="62" t="s">
        <v>44</v>
      </c>
      <c r="B21" s="62" t="s">
        <v>66</v>
      </c>
      <c r="C21" s="62" t="s">
        <v>200</v>
      </c>
      <c r="D21" s="62"/>
      <c r="E21" s="62">
        <f t="shared" si="2"/>
        <v>7</v>
      </c>
      <c r="F21" s="128" t="s">
        <v>79</v>
      </c>
      <c r="G21" s="129">
        <v>29.450247108574921</v>
      </c>
      <c r="H21" s="129">
        <v>5.1728144451450682</v>
      </c>
      <c r="I21" s="129">
        <v>87.842672755034513</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5</v>
      </c>
      <c r="N21" s="61">
        <f t="shared" si="3"/>
        <v>6.1383928571428559</v>
      </c>
      <c r="O21" s="61">
        <f t="shared" si="16"/>
        <v>29.450247108574921</v>
      </c>
      <c r="P21" s="129">
        <f t="shared" si="4"/>
        <v>49.491593757294879</v>
      </c>
      <c r="Q21" s="129">
        <f t="shared" si="5"/>
        <v>44.674063266386895</v>
      </c>
      <c r="R21" s="129">
        <f t="shared" si="6"/>
        <v>54.670518513386718</v>
      </c>
      <c r="S21" s="61">
        <f t="shared" si="7"/>
        <v>59.121408345803268</v>
      </c>
      <c r="T21" s="61">
        <f t="shared" si="1"/>
        <v>85.869077570142508</v>
      </c>
      <c r="U21" s="61">
        <f t="shared" si="17"/>
        <v>54.184831862831302</v>
      </c>
      <c r="V21" s="61"/>
      <c r="Y21" s="162" t="s">
        <v>52</v>
      </c>
      <c r="Z21" s="162" t="s">
        <v>72</v>
      </c>
      <c r="AA21" s="162" t="s">
        <v>201</v>
      </c>
      <c r="AB21" s="162">
        <f t="shared" si="21"/>
        <v>9</v>
      </c>
      <c r="AC21" s="165">
        <f t="shared" si="19"/>
        <v>14.012377480129636</v>
      </c>
      <c r="AD21" s="165">
        <f t="shared" si="20"/>
        <v>85.869077570142508</v>
      </c>
      <c r="AE21" s="162"/>
      <c r="AF21" s="162">
        <f t="shared" si="10"/>
        <v>26</v>
      </c>
      <c r="AG21" s="167">
        <f t="shared" si="11"/>
        <v>8</v>
      </c>
      <c r="AH21" s="165">
        <f t="shared" si="12"/>
        <v>85.869077570142508</v>
      </c>
      <c r="AI21" s="165">
        <f t="shared" si="13"/>
        <v>27.118017251003078</v>
      </c>
      <c r="AJ21" s="165">
        <f t="shared" si="14"/>
        <v>186.00349792624201</v>
      </c>
      <c r="AK21" s="167">
        <f t="shared" si="15"/>
        <v>5</v>
      </c>
    </row>
    <row r="22" spans="1:37" x14ac:dyDescent="0.2">
      <c r="A22" s="62" t="s">
        <v>45</v>
      </c>
      <c r="B22" s="62" t="s">
        <v>67</v>
      </c>
      <c r="C22" s="62" t="s">
        <v>163</v>
      </c>
      <c r="D22" s="62"/>
      <c r="E22" s="62">
        <f t="shared" si="2"/>
        <v>5</v>
      </c>
      <c r="F22" s="128">
        <v>7</v>
      </c>
      <c r="G22" s="129">
        <v>27.439964653076721</v>
      </c>
      <c r="H22" s="129">
        <v>10.882172861650458</v>
      </c>
      <c r="I22" s="129">
        <v>56.735830518841773</v>
      </c>
      <c r="J22" s="129"/>
      <c r="K22" s="129"/>
      <c r="L22" s="129"/>
      <c r="M22" s="60">
        <f t="shared" si="0"/>
        <v>5</v>
      </c>
      <c r="N22" s="61">
        <f t="shared" si="3"/>
        <v>6.1383928571428559</v>
      </c>
      <c r="O22" s="61">
        <f t="shared" si="16"/>
        <v>29.450247108574921</v>
      </c>
      <c r="P22" s="129">
        <f t="shared" si="4"/>
        <v>49.491593757294879</v>
      </c>
      <c r="Q22" s="129">
        <f t="shared" si="5"/>
        <v>44.674063266386895</v>
      </c>
      <c r="R22" s="129">
        <f t="shared" si="6"/>
        <v>54.670518513386718</v>
      </c>
      <c r="S22" s="61">
        <f t="shared" si="7"/>
        <v>59.121408345803268</v>
      </c>
      <c r="T22" s="61">
        <f t="shared" si="1"/>
        <v>85.869077570142508</v>
      </c>
      <c r="U22" s="61">
        <f>VLOOKUP(C22,$C$43:$I$46,5,FALSE)</f>
        <v>41.019754461440435</v>
      </c>
      <c r="V22" s="61"/>
      <c r="Y22" s="162" t="s">
        <v>54</v>
      </c>
      <c r="Z22" s="162" t="s">
        <v>73</v>
      </c>
      <c r="AA22" s="162" t="s">
        <v>201</v>
      </c>
      <c r="AB22" s="162">
        <f t="shared" si="21"/>
        <v>2</v>
      </c>
      <c r="AC22" s="165">
        <f t="shared" si="19"/>
        <v>14.012377480129636</v>
      </c>
      <c r="AD22" s="165">
        <f t="shared" si="20"/>
        <v>85.869077570142508</v>
      </c>
      <c r="AE22" s="162"/>
      <c r="AF22" s="162">
        <f t="shared" si="10"/>
        <v>3</v>
      </c>
      <c r="AG22" s="167" t="str">
        <f t="shared" si="11"/>
        <v>N/A</v>
      </c>
      <c r="AH22" s="165">
        <f t="shared" si="12"/>
        <v>14.855988792052548</v>
      </c>
      <c r="AI22" s="165">
        <f t="shared" si="13"/>
        <v>1.4485085462813321</v>
      </c>
      <c r="AJ22" s="165">
        <f t="shared" si="14"/>
        <v>41.239126175456391</v>
      </c>
      <c r="AK22" s="167">
        <f t="shared" si="15"/>
        <v>2</v>
      </c>
    </row>
    <row r="23" spans="1:37" x14ac:dyDescent="0.2">
      <c r="A23" s="62" t="s">
        <v>46</v>
      </c>
      <c r="B23" s="62" t="s">
        <v>68</v>
      </c>
      <c r="C23" s="62" t="s">
        <v>163</v>
      </c>
      <c r="D23" s="62"/>
      <c r="E23" s="62">
        <f t="shared" si="2"/>
        <v>8</v>
      </c>
      <c r="F23" s="128">
        <v>11</v>
      </c>
      <c r="G23" s="129">
        <v>31.125434266981262</v>
      </c>
      <c r="H23" s="129">
        <v>15.476685909581494</v>
      </c>
      <c r="I23" s="129">
        <v>55.758168367598167</v>
      </c>
      <c r="J23" s="129"/>
      <c r="K23" s="129"/>
      <c r="L23" s="129"/>
      <c r="M23" s="60">
        <f t="shared" si="0"/>
        <v>5</v>
      </c>
      <c r="N23" s="61">
        <f t="shared" si="3"/>
        <v>6.1383928571428559</v>
      </c>
      <c r="O23" s="61">
        <f t="shared" si="16"/>
        <v>29.450247108574921</v>
      </c>
      <c r="P23" s="129">
        <f t="shared" si="4"/>
        <v>49.491593757294879</v>
      </c>
      <c r="Q23" s="129">
        <f t="shared" si="5"/>
        <v>44.674063266386895</v>
      </c>
      <c r="R23" s="129">
        <f t="shared" si="6"/>
        <v>54.670518513386718</v>
      </c>
      <c r="S23" s="61">
        <f t="shared" si="7"/>
        <v>59.121408345803268</v>
      </c>
      <c r="T23" s="61">
        <f t="shared" si="1"/>
        <v>85.869077570142508</v>
      </c>
      <c r="U23" s="61">
        <f t="shared" si="17"/>
        <v>41.019754461440435</v>
      </c>
      <c r="V23" s="61"/>
      <c r="Y23" s="163" t="s">
        <v>30</v>
      </c>
      <c r="Z23" s="163" t="s">
        <v>56</v>
      </c>
      <c r="AA23" s="163" t="s">
        <v>200</v>
      </c>
      <c r="AB23" s="163">
        <f>RANK(AH23,$AH$23:$AH$31,1)</f>
        <v>8</v>
      </c>
      <c r="AC23" s="166">
        <f>MIN($AH$23:$AH$31)</f>
        <v>27.886246383748961</v>
      </c>
      <c r="AD23" s="166">
        <f>MAX($AH$23:$AH$31)</f>
        <v>81.756926101346906</v>
      </c>
      <c r="AE23" s="163"/>
      <c r="AF23" s="163">
        <f t="shared" si="10"/>
        <v>22</v>
      </c>
      <c r="AG23" s="168">
        <f t="shared" si="11"/>
        <v>22</v>
      </c>
      <c r="AH23" s="166">
        <f t="shared" si="12"/>
        <v>67.511715060153534</v>
      </c>
      <c r="AI23" s="166">
        <f t="shared" si="13"/>
        <v>42.118160577570684</v>
      </c>
      <c r="AJ23" s="166">
        <f t="shared" si="14"/>
        <v>102.46093679423109</v>
      </c>
      <c r="AK23" s="168">
        <f t="shared" si="15"/>
        <v>5</v>
      </c>
    </row>
    <row r="24" spans="1:37" x14ac:dyDescent="0.2">
      <c r="A24" s="62" t="s">
        <v>47</v>
      </c>
      <c r="B24" s="62" t="s">
        <v>69</v>
      </c>
      <c r="C24" s="62" t="s">
        <v>163</v>
      </c>
      <c r="D24" s="62"/>
      <c r="E24" s="62">
        <f t="shared" si="2"/>
        <v>1</v>
      </c>
      <c r="F24" s="128" t="s">
        <v>79</v>
      </c>
      <c r="G24" s="129">
        <v>6.1383928571428559</v>
      </c>
      <c r="H24" s="129">
        <v>8.0241887230216288E-2</v>
      </c>
      <c r="I24" s="129">
        <v>34.152517526354828</v>
      </c>
      <c r="J24" s="129"/>
      <c r="K24" s="129"/>
      <c r="L24" s="129"/>
      <c r="M24" s="60">
        <f t="shared" si="0"/>
        <v>2</v>
      </c>
      <c r="N24" s="61">
        <f t="shared" si="3"/>
        <v>6.1383928571428559</v>
      </c>
      <c r="O24" s="61">
        <f t="shared" si="16"/>
        <v>29.450247108574921</v>
      </c>
      <c r="P24" s="129">
        <f t="shared" si="4"/>
        <v>49.491593757294879</v>
      </c>
      <c r="Q24" s="129">
        <f t="shared" si="5"/>
        <v>44.674063266386895</v>
      </c>
      <c r="R24" s="129">
        <f t="shared" si="6"/>
        <v>54.670518513386718</v>
      </c>
      <c r="S24" s="61">
        <f t="shared" si="7"/>
        <v>59.121408345803268</v>
      </c>
      <c r="T24" s="61">
        <f t="shared" si="1"/>
        <v>85.869077570142508</v>
      </c>
      <c r="U24" s="61">
        <f t="shared" si="17"/>
        <v>41.019754461440435</v>
      </c>
      <c r="V24" s="61"/>
      <c r="Y24" s="163" t="s">
        <v>31</v>
      </c>
      <c r="Z24" s="163" t="s">
        <v>57</v>
      </c>
      <c r="AA24" s="163" t="s">
        <v>200</v>
      </c>
      <c r="AB24" s="163">
        <f t="shared" ref="AB24:AB31" si="22">RANK(AH24,$AH$23:$AH$31,1)</f>
        <v>5</v>
      </c>
      <c r="AC24" s="166">
        <f t="shared" ref="AC24:AC31" si="23">MIN($AH$23:$AH$31)</f>
        <v>27.886246383748961</v>
      </c>
      <c r="AD24" s="166">
        <f t="shared" ref="AD24:AD31" si="24">MAX($AH$23:$AH$31)</f>
        <v>81.756926101346906</v>
      </c>
      <c r="AE24" s="163"/>
      <c r="AF24" s="163">
        <f t="shared" si="10"/>
        <v>17</v>
      </c>
      <c r="AG24" s="168">
        <f t="shared" si="11"/>
        <v>21</v>
      </c>
      <c r="AH24" s="166">
        <f t="shared" si="12"/>
        <v>57.047391942210837</v>
      </c>
      <c r="AI24" s="166">
        <f t="shared" si="13"/>
        <v>35.213354176462182</v>
      </c>
      <c r="AJ24" s="166">
        <f t="shared" si="14"/>
        <v>87.327024673616506</v>
      </c>
      <c r="AK24" s="168">
        <f t="shared" si="15"/>
        <v>5</v>
      </c>
    </row>
    <row r="25" spans="1:37" x14ac:dyDescent="0.2">
      <c r="A25" s="62" t="s">
        <v>48</v>
      </c>
      <c r="B25" s="62" t="s">
        <v>160</v>
      </c>
      <c r="C25" s="62" t="s">
        <v>201</v>
      </c>
      <c r="D25" s="62"/>
      <c r="E25" s="62">
        <f t="shared" si="2"/>
        <v>2</v>
      </c>
      <c r="F25" s="128" t="s">
        <v>79</v>
      </c>
      <c r="G25" s="129">
        <v>14.012377480129636</v>
      </c>
      <c r="H25" s="129">
        <v>2.767168776545784</v>
      </c>
      <c r="I25" s="129">
        <v>41.059513073344895</v>
      </c>
      <c r="J25" s="129"/>
      <c r="K25" s="129"/>
      <c r="L25" s="129"/>
      <c r="M25" s="60">
        <f t="shared" si="0"/>
        <v>2</v>
      </c>
      <c r="N25" s="61">
        <f t="shared" si="3"/>
        <v>6.1383928571428559</v>
      </c>
      <c r="O25" s="61">
        <f t="shared" si="16"/>
        <v>29.450247108574921</v>
      </c>
      <c r="P25" s="129">
        <f t="shared" si="4"/>
        <v>49.491593757294879</v>
      </c>
      <c r="Q25" s="129">
        <f t="shared" si="5"/>
        <v>44.674063266386895</v>
      </c>
      <c r="R25" s="129">
        <f t="shared" si="6"/>
        <v>54.670518513386718</v>
      </c>
      <c r="S25" s="61">
        <f t="shared" si="7"/>
        <v>59.121408345803268</v>
      </c>
      <c r="T25" s="61">
        <f t="shared" si="1"/>
        <v>85.869077570142508</v>
      </c>
      <c r="U25" s="61">
        <f t="shared" si="17"/>
        <v>62.378078112986849</v>
      </c>
      <c r="V25" s="61"/>
      <c r="Y25" s="163" t="s">
        <v>34</v>
      </c>
      <c r="Z25" s="163" t="s">
        <v>59</v>
      </c>
      <c r="AA25" s="163" t="s">
        <v>200</v>
      </c>
      <c r="AB25" s="163">
        <f t="shared" si="22"/>
        <v>3</v>
      </c>
      <c r="AC25" s="166">
        <f t="shared" si="23"/>
        <v>27.886246383748961</v>
      </c>
      <c r="AD25" s="166">
        <f t="shared" si="24"/>
        <v>81.756926101346906</v>
      </c>
      <c r="AE25" s="163"/>
      <c r="AF25" s="163">
        <f t="shared" si="10"/>
        <v>14</v>
      </c>
      <c r="AG25" s="168">
        <f t="shared" si="11"/>
        <v>20</v>
      </c>
      <c r="AH25" s="166">
        <f t="shared" si="12"/>
        <v>46.249234184861706</v>
      </c>
      <c r="AI25" s="166">
        <f t="shared" si="13"/>
        <v>27.729545115529682</v>
      </c>
      <c r="AJ25" s="166">
        <f t="shared" si="14"/>
        <v>72.143226056288583</v>
      </c>
      <c r="AK25" s="168">
        <f t="shared" si="15"/>
        <v>5</v>
      </c>
    </row>
    <row r="26" spans="1:37" x14ac:dyDescent="0.2">
      <c r="A26" s="62" t="s">
        <v>49</v>
      </c>
      <c r="B26" s="62" t="s">
        <v>70</v>
      </c>
      <c r="C26" s="62" t="s">
        <v>200</v>
      </c>
      <c r="D26" s="62"/>
      <c r="E26" s="62">
        <f t="shared" si="2"/>
        <v>15</v>
      </c>
      <c r="F26" s="128">
        <v>12</v>
      </c>
      <c r="G26" s="129">
        <v>47.836708007891481</v>
      </c>
      <c r="H26" s="129">
        <v>22.640877778730975</v>
      </c>
      <c r="I26" s="129">
        <v>86.728817317302614</v>
      </c>
      <c r="J26" s="129"/>
      <c r="K26" s="129"/>
      <c r="L26" s="129"/>
      <c r="M26" s="60">
        <f t="shared" si="0"/>
        <v>5</v>
      </c>
      <c r="N26" s="61">
        <f t="shared" si="3"/>
        <v>6.1383928571428559</v>
      </c>
      <c r="O26" s="61">
        <f t="shared" si="16"/>
        <v>29.450247108574921</v>
      </c>
      <c r="P26" s="129">
        <f t="shared" si="4"/>
        <v>49.491593757294879</v>
      </c>
      <c r="Q26" s="129">
        <f t="shared" si="5"/>
        <v>44.674063266386895</v>
      </c>
      <c r="R26" s="129">
        <f t="shared" si="6"/>
        <v>54.670518513386718</v>
      </c>
      <c r="S26" s="61">
        <f t="shared" si="7"/>
        <v>59.121408345803268</v>
      </c>
      <c r="T26" s="61">
        <f t="shared" si="1"/>
        <v>85.869077570142508</v>
      </c>
      <c r="U26" s="61">
        <f t="shared" si="17"/>
        <v>54.184831862831302</v>
      </c>
      <c r="V26" s="61"/>
      <c r="Y26" s="163" t="s">
        <v>39</v>
      </c>
      <c r="Z26" s="163" t="s">
        <v>158</v>
      </c>
      <c r="AA26" s="163" t="s">
        <v>200</v>
      </c>
      <c r="AB26" s="163">
        <f t="shared" si="22"/>
        <v>7</v>
      </c>
      <c r="AC26" s="166">
        <f t="shared" si="23"/>
        <v>27.886246383748961</v>
      </c>
      <c r="AD26" s="166">
        <f t="shared" si="24"/>
        <v>81.756926101346906</v>
      </c>
      <c r="AE26" s="163"/>
      <c r="AF26" s="163">
        <f t="shared" si="10"/>
        <v>20</v>
      </c>
      <c r="AG26" s="168">
        <f t="shared" si="11"/>
        <v>21</v>
      </c>
      <c r="AH26" s="166">
        <f t="shared" si="12"/>
        <v>59.121408345803268</v>
      </c>
      <c r="AI26" s="166">
        <f t="shared" si="13"/>
        <v>36.106713419933619</v>
      </c>
      <c r="AJ26" s="166">
        <f t="shared" si="14"/>
        <v>91.038386655416602</v>
      </c>
      <c r="AK26" s="168">
        <f t="shared" si="15"/>
        <v>5</v>
      </c>
    </row>
    <row r="27" spans="1:37" x14ac:dyDescent="0.2">
      <c r="A27" s="62" t="s">
        <v>50</v>
      </c>
      <c r="B27" s="62" t="s">
        <v>161</v>
      </c>
      <c r="C27" s="62" t="s">
        <v>163</v>
      </c>
      <c r="D27" s="62"/>
      <c r="E27" s="62">
        <f t="shared" si="2"/>
        <v>4</v>
      </c>
      <c r="F27" s="128" t="s">
        <v>79</v>
      </c>
      <c r="G27" s="129">
        <v>27.029401437558914</v>
      </c>
      <c r="H27" s="129">
        <v>7.1902407527949963</v>
      </c>
      <c r="I27" s="129">
        <v>69.374704263933666</v>
      </c>
      <c r="J27" s="129"/>
      <c r="K27" s="129"/>
      <c r="L27" s="129"/>
      <c r="M27" s="60">
        <f t="shared" si="0"/>
        <v>5</v>
      </c>
      <c r="N27" s="61">
        <f t="shared" si="3"/>
        <v>6.1383928571428559</v>
      </c>
      <c r="O27" s="61">
        <f t="shared" si="16"/>
        <v>29.450247108574921</v>
      </c>
      <c r="P27" s="129">
        <f t="shared" si="4"/>
        <v>49.491593757294879</v>
      </c>
      <c r="Q27" s="129">
        <f t="shared" si="5"/>
        <v>44.674063266386895</v>
      </c>
      <c r="R27" s="129">
        <f t="shared" si="6"/>
        <v>54.670518513386718</v>
      </c>
      <c r="S27" s="61">
        <f t="shared" si="7"/>
        <v>59.121408345803268</v>
      </c>
      <c r="T27" s="61">
        <f t="shared" si="1"/>
        <v>85.869077570142508</v>
      </c>
      <c r="U27" s="61">
        <f t="shared" si="17"/>
        <v>41.019754461440435</v>
      </c>
      <c r="V27" s="61"/>
      <c r="Y27" s="163" t="s">
        <v>40</v>
      </c>
      <c r="Z27" s="163" t="s">
        <v>63</v>
      </c>
      <c r="AA27" s="163" t="s">
        <v>200</v>
      </c>
      <c r="AB27" s="163">
        <f t="shared" si="22"/>
        <v>6</v>
      </c>
      <c r="AC27" s="166">
        <f t="shared" si="23"/>
        <v>27.886246383748961</v>
      </c>
      <c r="AD27" s="166">
        <f t="shared" si="24"/>
        <v>81.756926101346906</v>
      </c>
      <c r="AE27" s="163"/>
      <c r="AF27" s="163">
        <f t="shared" si="10"/>
        <v>19</v>
      </c>
      <c r="AG27" s="168">
        <f t="shared" si="11"/>
        <v>14</v>
      </c>
      <c r="AH27" s="166">
        <f t="shared" si="12"/>
        <v>58.996984245144311</v>
      </c>
      <c r="AI27" s="166">
        <f t="shared" si="13"/>
        <v>31.958714872732084</v>
      </c>
      <c r="AJ27" s="166">
        <f t="shared" si="14"/>
        <v>99.393898016867254</v>
      </c>
      <c r="AK27" s="168">
        <f t="shared" si="15"/>
        <v>5</v>
      </c>
    </row>
    <row r="28" spans="1:37" x14ac:dyDescent="0.2">
      <c r="A28" s="62" t="s">
        <v>51</v>
      </c>
      <c r="B28" s="62" t="s">
        <v>71</v>
      </c>
      <c r="C28" s="62" t="s">
        <v>200</v>
      </c>
      <c r="D28" s="62"/>
      <c r="E28" s="62">
        <f t="shared" si="2"/>
        <v>25</v>
      </c>
      <c r="F28" s="128">
        <v>12</v>
      </c>
      <c r="G28" s="129">
        <v>81.756926101346906</v>
      </c>
      <c r="H28" s="129">
        <v>40.866082396635669</v>
      </c>
      <c r="I28" s="129">
        <v>144.87574967863469</v>
      </c>
      <c r="J28" s="129"/>
      <c r="K28" s="129"/>
      <c r="L28" s="129"/>
      <c r="M28" s="60">
        <f t="shared" si="0"/>
        <v>5</v>
      </c>
      <c r="N28" s="61">
        <f t="shared" si="3"/>
        <v>6.1383928571428559</v>
      </c>
      <c r="O28" s="61">
        <f t="shared" si="16"/>
        <v>29.450247108574921</v>
      </c>
      <c r="P28" s="129">
        <f t="shared" si="4"/>
        <v>49.491593757294879</v>
      </c>
      <c r="Q28" s="129">
        <f t="shared" si="5"/>
        <v>44.674063266386895</v>
      </c>
      <c r="R28" s="129">
        <f t="shared" si="6"/>
        <v>54.670518513386718</v>
      </c>
      <c r="S28" s="61">
        <f t="shared" si="7"/>
        <v>59.121408345803268</v>
      </c>
      <c r="T28" s="61">
        <f t="shared" si="1"/>
        <v>85.869077570142508</v>
      </c>
      <c r="U28" s="61">
        <f t="shared" si="17"/>
        <v>54.184831862831302</v>
      </c>
      <c r="V28" s="61"/>
      <c r="Y28" s="163" t="s">
        <v>42</v>
      </c>
      <c r="Z28" s="163" t="s">
        <v>65</v>
      </c>
      <c r="AA28" s="163" t="s">
        <v>200</v>
      </c>
      <c r="AB28" s="163">
        <f t="shared" si="22"/>
        <v>1</v>
      </c>
      <c r="AC28" s="166">
        <f t="shared" si="23"/>
        <v>27.886246383748961</v>
      </c>
      <c r="AD28" s="166">
        <f t="shared" si="24"/>
        <v>81.756926101346906</v>
      </c>
      <c r="AE28" s="163"/>
      <c r="AF28" s="163">
        <f t="shared" si="10"/>
        <v>6</v>
      </c>
      <c r="AG28" s="168" t="str">
        <f t="shared" si="11"/>
        <v>N/A</v>
      </c>
      <c r="AH28" s="166">
        <f t="shared" si="12"/>
        <v>27.886246383748961</v>
      </c>
      <c r="AI28" s="166">
        <f t="shared" si="13"/>
        <v>7.9320157602164194</v>
      </c>
      <c r="AJ28" s="166">
        <f t="shared" si="14"/>
        <v>67.152029235588685</v>
      </c>
      <c r="AK28" s="168">
        <f t="shared" si="15"/>
        <v>5</v>
      </c>
    </row>
    <row r="29" spans="1:37" x14ac:dyDescent="0.2">
      <c r="A29" s="62" t="s">
        <v>52</v>
      </c>
      <c r="B29" s="62" t="s">
        <v>72</v>
      </c>
      <c r="C29" s="62" t="s">
        <v>201</v>
      </c>
      <c r="D29" s="62"/>
      <c r="E29" s="62">
        <f t="shared" si="2"/>
        <v>26</v>
      </c>
      <c r="F29" s="128">
        <v>8</v>
      </c>
      <c r="G29" s="129">
        <v>85.869077570142508</v>
      </c>
      <c r="H29" s="129">
        <v>27.118017251003078</v>
      </c>
      <c r="I29" s="129">
        <v>186.00349792624201</v>
      </c>
      <c r="J29" s="129"/>
      <c r="K29" s="129"/>
      <c r="L29" s="129"/>
      <c r="M29" s="60">
        <f t="shared" si="0"/>
        <v>5</v>
      </c>
      <c r="N29" s="61">
        <f t="shared" si="3"/>
        <v>6.1383928571428559</v>
      </c>
      <c r="O29" s="61">
        <f t="shared" si="16"/>
        <v>29.450247108574921</v>
      </c>
      <c r="P29" s="129">
        <f t="shared" si="4"/>
        <v>49.491593757294879</v>
      </c>
      <c r="Q29" s="129">
        <f t="shared" si="5"/>
        <v>44.674063266386895</v>
      </c>
      <c r="R29" s="129">
        <f t="shared" si="6"/>
        <v>54.670518513386718</v>
      </c>
      <c r="S29" s="61">
        <f t="shared" si="7"/>
        <v>59.121408345803268</v>
      </c>
      <c r="T29" s="61">
        <f t="shared" si="1"/>
        <v>85.869077570142508</v>
      </c>
      <c r="U29" s="61">
        <f t="shared" si="17"/>
        <v>62.378078112986849</v>
      </c>
      <c r="V29" s="61"/>
      <c r="Y29" s="163" t="s">
        <v>44</v>
      </c>
      <c r="Z29" s="163" t="s">
        <v>66</v>
      </c>
      <c r="AA29" s="163" t="s">
        <v>200</v>
      </c>
      <c r="AB29" s="163">
        <f t="shared" si="22"/>
        <v>2</v>
      </c>
      <c r="AC29" s="166">
        <f t="shared" si="23"/>
        <v>27.886246383748961</v>
      </c>
      <c r="AD29" s="166">
        <f t="shared" si="24"/>
        <v>81.756926101346906</v>
      </c>
      <c r="AE29" s="163"/>
      <c r="AF29" s="163">
        <f t="shared" si="10"/>
        <v>7</v>
      </c>
      <c r="AG29" s="168" t="str">
        <f t="shared" si="11"/>
        <v>N/A</v>
      </c>
      <c r="AH29" s="166">
        <f t="shared" si="12"/>
        <v>29.450247108574921</v>
      </c>
      <c r="AI29" s="166">
        <f t="shared" si="13"/>
        <v>5.1728144451450682</v>
      </c>
      <c r="AJ29" s="166">
        <f t="shared" si="14"/>
        <v>87.842672755034513</v>
      </c>
      <c r="AK29" s="168">
        <f t="shared" si="15"/>
        <v>5</v>
      </c>
    </row>
    <row r="30" spans="1:37" x14ac:dyDescent="0.2">
      <c r="A30" s="62" t="s">
        <v>53</v>
      </c>
      <c r="B30" s="62" t="s">
        <v>162</v>
      </c>
      <c r="C30" s="62" t="s">
        <v>163</v>
      </c>
      <c r="D30" s="62"/>
      <c r="E30" s="62">
        <f t="shared" si="2"/>
        <v>12</v>
      </c>
      <c r="F30" s="128">
        <v>38</v>
      </c>
      <c r="G30" s="129">
        <v>45.251383695510832</v>
      </c>
      <c r="H30" s="129">
        <v>31.958675988033917</v>
      </c>
      <c r="I30" s="129">
        <v>62.189072206954485</v>
      </c>
      <c r="J30" s="129"/>
      <c r="K30" s="129"/>
      <c r="L30" s="129"/>
      <c r="M30" s="60">
        <f t="shared" si="0"/>
        <v>5</v>
      </c>
      <c r="N30" s="61">
        <f t="shared" si="3"/>
        <v>6.1383928571428559</v>
      </c>
      <c r="O30" s="61">
        <f t="shared" si="16"/>
        <v>29.450247108574921</v>
      </c>
      <c r="P30" s="129">
        <f>$G$32</f>
        <v>49.491593757294879</v>
      </c>
      <c r="Q30" s="129">
        <f t="shared" si="5"/>
        <v>44.674063266386895</v>
      </c>
      <c r="R30" s="129">
        <f t="shared" si="6"/>
        <v>54.670518513386718</v>
      </c>
      <c r="S30" s="61">
        <f t="shared" si="7"/>
        <v>59.121408345803268</v>
      </c>
      <c r="T30" s="61">
        <f t="shared" si="1"/>
        <v>85.869077570142508</v>
      </c>
      <c r="U30" s="61">
        <f t="shared" si="17"/>
        <v>41.019754461440435</v>
      </c>
      <c r="V30" s="61"/>
      <c r="Y30" s="163" t="s">
        <v>49</v>
      </c>
      <c r="Z30" s="163" t="s">
        <v>70</v>
      </c>
      <c r="AA30" s="163" t="s">
        <v>200</v>
      </c>
      <c r="AB30" s="163">
        <f t="shared" si="22"/>
        <v>4</v>
      </c>
      <c r="AC30" s="166">
        <f t="shared" si="23"/>
        <v>27.886246383748961</v>
      </c>
      <c r="AD30" s="166">
        <f t="shared" si="24"/>
        <v>81.756926101346906</v>
      </c>
      <c r="AE30" s="163"/>
      <c r="AF30" s="163">
        <f t="shared" si="10"/>
        <v>15</v>
      </c>
      <c r="AG30" s="168">
        <f t="shared" si="11"/>
        <v>12</v>
      </c>
      <c r="AH30" s="166">
        <f t="shared" si="12"/>
        <v>47.836708007891481</v>
      </c>
      <c r="AI30" s="166">
        <f t="shared" si="13"/>
        <v>22.640877778730975</v>
      </c>
      <c r="AJ30" s="166">
        <f t="shared" si="14"/>
        <v>86.728817317302614</v>
      </c>
      <c r="AK30" s="168">
        <f t="shared" si="15"/>
        <v>5</v>
      </c>
    </row>
    <row r="31" spans="1:37" x14ac:dyDescent="0.2">
      <c r="A31" s="62" t="s">
        <v>54</v>
      </c>
      <c r="B31" s="62" t="s">
        <v>73</v>
      </c>
      <c r="C31" s="62" t="s">
        <v>201</v>
      </c>
      <c r="D31" s="62"/>
      <c r="E31" s="62">
        <f t="shared" si="2"/>
        <v>3</v>
      </c>
      <c r="F31" s="128" t="s">
        <v>79</v>
      </c>
      <c r="G31" s="129">
        <v>14.855988792052548</v>
      </c>
      <c r="H31" s="129">
        <v>1.4485085462813321</v>
      </c>
      <c r="I31" s="129">
        <v>41.239126175456391</v>
      </c>
      <c r="J31" s="129"/>
      <c r="K31" s="129"/>
      <c r="L31" s="129"/>
      <c r="M31" s="60">
        <f t="shared" si="0"/>
        <v>2</v>
      </c>
      <c r="N31" s="61">
        <f t="shared" si="3"/>
        <v>6.1383928571428559</v>
      </c>
      <c r="O31" s="61">
        <f t="shared" si="16"/>
        <v>29.450247108574921</v>
      </c>
      <c r="P31" s="129">
        <f t="shared" si="4"/>
        <v>49.491593757294879</v>
      </c>
      <c r="Q31" s="129">
        <f t="shared" si="5"/>
        <v>44.674063266386895</v>
      </c>
      <c r="R31" s="129">
        <f t="shared" si="6"/>
        <v>54.670518513386718</v>
      </c>
      <c r="S31" s="61">
        <f t="shared" si="7"/>
        <v>59.121408345803268</v>
      </c>
      <c r="T31" s="61">
        <f t="shared" si="1"/>
        <v>85.869077570142508</v>
      </c>
      <c r="U31" s="61">
        <f t="shared" si="17"/>
        <v>62.378078112986849</v>
      </c>
      <c r="V31" s="61"/>
      <c r="Y31" s="163" t="s">
        <v>51</v>
      </c>
      <c r="Z31" s="163" t="s">
        <v>71</v>
      </c>
      <c r="AA31" s="163" t="s">
        <v>200</v>
      </c>
      <c r="AB31" s="163">
        <f t="shared" si="22"/>
        <v>9</v>
      </c>
      <c r="AC31" s="166">
        <f t="shared" si="23"/>
        <v>27.886246383748961</v>
      </c>
      <c r="AD31" s="166">
        <f t="shared" si="24"/>
        <v>81.756926101346906</v>
      </c>
      <c r="AE31" s="163"/>
      <c r="AF31" s="163">
        <f t="shared" si="10"/>
        <v>25</v>
      </c>
      <c r="AG31" s="168">
        <f t="shared" si="11"/>
        <v>12</v>
      </c>
      <c r="AH31" s="166">
        <f t="shared" si="12"/>
        <v>81.756926101346906</v>
      </c>
      <c r="AI31" s="166">
        <f t="shared" si="13"/>
        <v>40.866082396635669</v>
      </c>
      <c r="AJ31" s="166">
        <f t="shared" si="14"/>
        <v>144.87574967863469</v>
      </c>
      <c r="AK31" s="168">
        <f t="shared" si="15"/>
        <v>5</v>
      </c>
    </row>
    <row r="32" spans="1:37" x14ac:dyDescent="0.2">
      <c r="A32" s="62"/>
      <c r="B32" s="62" t="s">
        <v>171</v>
      </c>
      <c r="C32" s="62"/>
      <c r="D32" s="62"/>
      <c r="E32" s="62"/>
      <c r="F32" s="128">
        <v>420</v>
      </c>
      <c r="G32" s="344">
        <v>49.491593757294879</v>
      </c>
      <c r="H32" s="129">
        <v>44.674063266386895</v>
      </c>
      <c r="I32" s="129">
        <v>54.670518513386718</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120</v>
      </c>
      <c r="G44" s="344">
        <v>41.019754461440435</v>
      </c>
      <c r="H44" s="344">
        <v>33.974339018731527</v>
      </c>
      <c r="I44" s="344">
        <v>49.089494897087697</v>
      </c>
      <c r="J44" s="344">
        <f>VLOOKUP($C44,$AA$6:$AD$13,3,FALSE)</f>
        <v>6.1383928571428559</v>
      </c>
      <c r="K44" s="344">
        <f>VLOOKUP($C44,$AA$6:$AD$13,4,FALSE)</f>
        <v>74.906166992898946</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5</v>
      </c>
      <c r="N44" s="61">
        <f>MIN($G$6:$G$31)</f>
        <v>6.1383928571428559</v>
      </c>
      <c r="O44" s="61">
        <f>VLOOKUP(7,$E$5:$G$39,3,FALSE)</f>
        <v>29.450247108574921</v>
      </c>
      <c r="P44" s="129">
        <f>$G$32</f>
        <v>49.491593757294879</v>
      </c>
      <c r="Q44" s="129">
        <f>$H$32</f>
        <v>44.674063266386895</v>
      </c>
      <c r="R44" s="129">
        <f>$I$32</f>
        <v>54.670518513386718</v>
      </c>
      <c r="S44" s="61">
        <f>VLOOKUP(20,$E$5:$G$39,3,FALSE)</f>
        <v>59.121408345803268</v>
      </c>
      <c r="T44" s="61">
        <f>MAX($G$6:$G$31)</f>
        <v>85.869077570142508</v>
      </c>
    </row>
    <row r="45" spans="1:22" x14ac:dyDescent="0.2">
      <c r="C45" s="62" t="s">
        <v>201</v>
      </c>
      <c r="D45" s="62"/>
      <c r="E45" s="62"/>
      <c r="F45" s="128">
        <v>170</v>
      </c>
      <c r="G45" s="344">
        <v>62.378078112986849</v>
      </c>
      <c r="H45" s="344">
        <v>51.927256518497892</v>
      </c>
      <c r="I45" s="344">
        <v>74.090054007863785</v>
      </c>
      <c r="J45" s="344">
        <f>VLOOKUP($C45,$AA$14:$AD$22,3,FALSE)</f>
        <v>14.012377480129636</v>
      </c>
      <c r="K45" s="344">
        <f>VLOOKUP($C45,$AA$14:$AD$22,4,FALSE)</f>
        <v>85.869077570142508</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5</v>
      </c>
      <c r="N45" s="61">
        <f>MIN($G$6:$G$31)</f>
        <v>6.1383928571428559</v>
      </c>
      <c r="O45" s="61">
        <f>VLOOKUP(7,$E$5:$G$39,3,FALSE)</f>
        <v>29.450247108574921</v>
      </c>
      <c r="P45" s="129">
        <f>$G$32</f>
        <v>49.491593757294879</v>
      </c>
      <c r="Q45" s="129">
        <f t="shared" ref="Q45:Q46" si="25">$H$32</f>
        <v>44.674063266386895</v>
      </c>
      <c r="R45" s="129">
        <f t="shared" ref="R45:R46" si="26">$I$32</f>
        <v>54.670518513386718</v>
      </c>
      <c r="S45" s="61">
        <f>VLOOKUP(20,$E$5:$G$39,3,FALSE)</f>
        <v>59.121408345803268</v>
      </c>
      <c r="T45" s="61">
        <f t="shared" ref="T45:T46" si="27">MAX($G$6:$G$31)</f>
        <v>85.869077570142508</v>
      </c>
    </row>
    <row r="46" spans="1:22" x14ac:dyDescent="0.2">
      <c r="C46" s="62" t="s">
        <v>200</v>
      </c>
      <c r="D46" s="62"/>
      <c r="E46" s="62"/>
      <c r="F46" s="128">
        <v>130</v>
      </c>
      <c r="G46" s="344">
        <v>54.184831862831302</v>
      </c>
      <c r="H46" s="344">
        <v>45.139666692526923</v>
      </c>
      <c r="I46" s="344">
        <v>64.489704082564771</v>
      </c>
      <c r="J46" s="344">
        <f>VLOOKUP($C46,$AA$23:$AD$31,3,FALSE)</f>
        <v>27.886246383748961</v>
      </c>
      <c r="K46" s="344">
        <f>VLOOKUP($C46,$AA$23:$AD$31,4,FALSE)</f>
        <v>81.756926101346906</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5</v>
      </c>
      <c r="N46" s="61">
        <f>MIN($G$6:$G$31)</f>
        <v>6.1383928571428559</v>
      </c>
      <c r="O46" s="61">
        <f>VLOOKUP(7,$E$5:$G$39,3,FALSE)</f>
        <v>29.450247108574921</v>
      </c>
      <c r="P46" s="129">
        <f t="shared" ref="P46" si="28">$G$32</f>
        <v>49.491593757294879</v>
      </c>
      <c r="Q46" s="129">
        <f t="shared" si="25"/>
        <v>44.674063266386895</v>
      </c>
      <c r="R46" s="129">
        <f t="shared" si="26"/>
        <v>54.670518513386718</v>
      </c>
      <c r="S46" s="61">
        <f>VLOOKUP(20,$E$5:$G$39,3,FALSE)</f>
        <v>59.121408345803268</v>
      </c>
      <c r="T46" s="61">
        <f t="shared" si="27"/>
        <v>85.869077570142508</v>
      </c>
    </row>
    <row r="48" spans="1:22" x14ac:dyDescent="0.2">
      <c r="D48" s="187"/>
      <c r="E48" s="187"/>
      <c r="F48" s="187"/>
      <c r="G48" s="187"/>
      <c r="H48" s="187"/>
      <c r="I48" s="187"/>
      <c r="J48" s="187"/>
      <c r="K48" s="187"/>
    </row>
    <row r="54" spans="3:20" ht="13.2" x14ac:dyDescent="0.25">
      <c r="C54" s="170"/>
      <c r="D54" s="173"/>
      <c r="E54" s="43"/>
      <c r="F54" s="43"/>
      <c r="G54" s="43"/>
      <c r="H54" s="43"/>
      <c r="I54" s="43"/>
      <c r="J54" s="43"/>
      <c r="K54" s="43"/>
      <c r="L54" s="43"/>
      <c r="M54" s="43"/>
      <c r="N54" s="43"/>
      <c r="O54" s="43"/>
      <c r="P54" s="43"/>
      <c r="Q54" s="43"/>
      <c r="R54" s="43"/>
      <c r="S54" s="43"/>
      <c r="T54" s="43"/>
    </row>
    <row r="55" spans="3:20" ht="13.8" x14ac:dyDescent="0.3">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K2:N2" xr:uid="{00000000-0002-0000-3000-000000000000}">
      <formula1>"High = Worst,Low = Worst"</formula1>
    </dataValidation>
    <dataValidation type="list" allowBlank="1" showInputMessage="1" showErrorMessage="1" sqref="C2:D2" xr:uid="{00000000-0002-0000-3000-000001000000}">
      <formula1>"Better / Worse,Higher / Lower,Significance not measured"</formula1>
    </dataValidation>
  </dataValidations>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AW73"/>
  <sheetViews>
    <sheetView showGridLines="0" workbookViewId="0">
      <selection activeCell="E73" sqref="E73"/>
    </sheetView>
  </sheetViews>
  <sheetFormatPr defaultRowHeight="10.199999999999999" x14ac:dyDescent="0.2"/>
  <cols>
    <col min="1" max="1" width="2.6640625" style="155" customWidth="1"/>
    <col min="2" max="2" width="9.5546875" style="131" customWidth="1"/>
    <col min="3" max="3" width="45.33203125" style="132" customWidth="1"/>
    <col min="4" max="4" width="16.5546875" style="131" customWidth="1"/>
    <col min="5" max="5" width="102.6640625" style="133" customWidth="1"/>
    <col min="6" max="49" width="9.109375" style="155"/>
    <col min="50" max="257" width="9.109375" style="132"/>
    <col min="258" max="258" width="7.33203125" style="132" customWidth="1"/>
    <col min="259" max="259" width="38.33203125" style="132" bestFit="1" customWidth="1"/>
    <col min="260" max="260" width="25.33203125" style="132" bestFit="1" customWidth="1"/>
    <col min="261" max="261" width="80" style="132" customWidth="1"/>
    <col min="262" max="513" width="9.109375" style="132"/>
    <col min="514" max="514" width="7.33203125" style="132" customWidth="1"/>
    <col min="515" max="515" width="38.33203125" style="132" bestFit="1" customWidth="1"/>
    <col min="516" max="516" width="25.33203125" style="132" bestFit="1" customWidth="1"/>
    <col min="517" max="517" width="80" style="132" customWidth="1"/>
    <col min="518" max="769" width="9.109375" style="132"/>
    <col min="770" max="770" width="7.33203125" style="132" customWidth="1"/>
    <col min="771" max="771" width="38.33203125" style="132" bestFit="1" customWidth="1"/>
    <col min="772" max="772" width="25.33203125" style="132" bestFit="1" customWidth="1"/>
    <col min="773" max="773" width="80" style="132" customWidth="1"/>
    <col min="774" max="1025" width="9.109375" style="132"/>
    <col min="1026" max="1026" width="7.33203125" style="132" customWidth="1"/>
    <col min="1027" max="1027" width="38.33203125" style="132" bestFit="1" customWidth="1"/>
    <col min="1028" max="1028" width="25.33203125" style="132" bestFit="1" customWidth="1"/>
    <col min="1029" max="1029" width="80" style="132" customWidth="1"/>
    <col min="1030" max="1281" width="9.109375" style="132"/>
    <col min="1282" max="1282" width="7.33203125" style="132" customWidth="1"/>
    <col min="1283" max="1283" width="38.33203125" style="132" bestFit="1" customWidth="1"/>
    <col min="1284" max="1284" width="25.33203125" style="132" bestFit="1" customWidth="1"/>
    <col min="1285" max="1285" width="80" style="132" customWidth="1"/>
    <col min="1286" max="1537" width="9.109375" style="132"/>
    <col min="1538" max="1538" width="7.33203125" style="132" customWidth="1"/>
    <col min="1539" max="1539" width="38.33203125" style="132" bestFit="1" customWidth="1"/>
    <col min="1540" max="1540" width="25.33203125" style="132" bestFit="1" customWidth="1"/>
    <col min="1541" max="1541" width="80" style="132" customWidth="1"/>
    <col min="1542" max="1793" width="9.109375" style="132"/>
    <col min="1794" max="1794" width="7.33203125" style="132" customWidth="1"/>
    <col min="1795" max="1795" width="38.33203125" style="132" bestFit="1" customWidth="1"/>
    <col min="1796" max="1796" width="25.33203125" style="132" bestFit="1" customWidth="1"/>
    <col min="1797" max="1797" width="80" style="132" customWidth="1"/>
    <col min="1798" max="2049" width="9.109375" style="132"/>
    <col min="2050" max="2050" width="7.33203125" style="132" customWidth="1"/>
    <col min="2051" max="2051" width="38.33203125" style="132" bestFit="1" customWidth="1"/>
    <col min="2052" max="2052" width="25.33203125" style="132" bestFit="1" customWidth="1"/>
    <col min="2053" max="2053" width="80" style="132" customWidth="1"/>
    <col min="2054" max="2305" width="9.109375" style="132"/>
    <col min="2306" max="2306" width="7.33203125" style="132" customWidth="1"/>
    <col min="2307" max="2307" width="38.33203125" style="132" bestFit="1" customWidth="1"/>
    <col min="2308" max="2308" width="25.33203125" style="132" bestFit="1" customWidth="1"/>
    <col min="2309" max="2309" width="80" style="132" customWidth="1"/>
    <col min="2310" max="2561" width="9.109375" style="132"/>
    <col min="2562" max="2562" width="7.33203125" style="132" customWidth="1"/>
    <col min="2563" max="2563" width="38.33203125" style="132" bestFit="1" customWidth="1"/>
    <col min="2564" max="2564" width="25.33203125" style="132" bestFit="1" customWidth="1"/>
    <col min="2565" max="2565" width="80" style="132" customWidth="1"/>
    <col min="2566" max="2817" width="9.109375" style="132"/>
    <col min="2818" max="2818" width="7.33203125" style="132" customWidth="1"/>
    <col min="2819" max="2819" width="38.33203125" style="132" bestFit="1" customWidth="1"/>
    <col min="2820" max="2820" width="25.33203125" style="132" bestFit="1" customWidth="1"/>
    <col min="2821" max="2821" width="80" style="132" customWidth="1"/>
    <col min="2822" max="3073" width="9.109375" style="132"/>
    <col min="3074" max="3074" width="7.33203125" style="132" customWidth="1"/>
    <col min="3075" max="3075" width="38.33203125" style="132" bestFit="1" customWidth="1"/>
    <col min="3076" max="3076" width="25.33203125" style="132" bestFit="1" customWidth="1"/>
    <col min="3077" max="3077" width="80" style="132" customWidth="1"/>
    <col min="3078" max="3329" width="9.109375" style="132"/>
    <col min="3330" max="3330" width="7.33203125" style="132" customWidth="1"/>
    <col min="3331" max="3331" width="38.33203125" style="132" bestFit="1" customWidth="1"/>
    <col min="3332" max="3332" width="25.33203125" style="132" bestFit="1" customWidth="1"/>
    <col min="3333" max="3333" width="80" style="132" customWidth="1"/>
    <col min="3334" max="3585" width="9.109375" style="132"/>
    <col min="3586" max="3586" width="7.33203125" style="132" customWidth="1"/>
    <col min="3587" max="3587" width="38.33203125" style="132" bestFit="1" customWidth="1"/>
    <col min="3588" max="3588" width="25.33203125" style="132" bestFit="1" customWidth="1"/>
    <col min="3589" max="3589" width="80" style="132" customWidth="1"/>
    <col min="3590" max="3841" width="9.109375" style="132"/>
    <col min="3842" max="3842" width="7.33203125" style="132" customWidth="1"/>
    <col min="3843" max="3843" width="38.33203125" style="132" bestFit="1" customWidth="1"/>
    <col min="3844" max="3844" width="25.33203125" style="132" bestFit="1" customWidth="1"/>
    <col min="3845" max="3845" width="80" style="132" customWidth="1"/>
    <col min="3846" max="4097" width="9.109375" style="132"/>
    <col min="4098" max="4098" width="7.33203125" style="132" customWidth="1"/>
    <col min="4099" max="4099" width="38.33203125" style="132" bestFit="1" customWidth="1"/>
    <col min="4100" max="4100" width="25.33203125" style="132" bestFit="1" customWidth="1"/>
    <col min="4101" max="4101" width="80" style="132" customWidth="1"/>
    <col min="4102" max="4353" width="9.109375" style="132"/>
    <col min="4354" max="4354" width="7.33203125" style="132" customWidth="1"/>
    <col min="4355" max="4355" width="38.33203125" style="132" bestFit="1" customWidth="1"/>
    <col min="4356" max="4356" width="25.33203125" style="132" bestFit="1" customWidth="1"/>
    <col min="4357" max="4357" width="80" style="132" customWidth="1"/>
    <col min="4358" max="4609" width="9.109375" style="132"/>
    <col min="4610" max="4610" width="7.33203125" style="132" customWidth="1"/>
    <col min="4611" max="4611" width="38.33203125" style="132" bestFit="1" customWidth="1"/>
    <col min="4612" max="4612" width="25.33203125" style="132" bestFit="1" customWidth="1"/>
    <col min="4613" max="4613" width="80" style="132" customWidth="1"/>
    <col min="4614" max="4865" width="9.109375" style="132"/>
    <col min="4866" max="4866" width="7.33203125" style="132" customWidth="1"/>
    <col min="4867" max="4867" width="38.33203125" style="132" bestFit="1" customWidth="1"/>
    <col min="4868" max="4868" width="25.33203125" style="132" bestFit="1" customWidth="1"/>
    <col min="4869" max="4869" width="80" style="132" customWidth="1"/>
    <col min="4870" max="5121" width="9.109375" style="132"/>
    <col min="5122" max="5122" width="7.33203125" style="132" customWidth="1"/>
    <col min="5123" max="5123" width="38.33203125" style="132" bestFit="1" customWidth="1"/>
    <col min="5124" max="5124" width="25.33203125" style="132" bestFit="1" customWidth="1"/>
    <col min="5125" max="5125" width="80" style="132" customWidth="1"/>
    <col min="5126" max="5377" width="9.109375" style="132"/>
    <col min="5378" max="5378" width="7.33203125" style="132" customWidth="1"/>
    <col min="5379" max="5379" width="38.33203125" style="132" bestFit="1" customWidth="1"/>
    <col min="5380" max="5380" width="25.33203125" style="132" bestFit="1" customWidth="1"/>
    <col min="5381" max="5381" width="80" style="132" customWidth="1"/>
    <col min="5382" max="5633" width="9.109375" style="132"/>
    <col min="5634" max="5634" width="7.33203125" style="132" customWidth="1"/>
    <col min="5635" max="5635" width="38.33203125" style="132" bestFit="1" customWidth="1"/>
    <col min="5636" max="5636" width="25.33203125" style="132" bestFit="1" customWidth="1"/>
    <col min="5637" max="5637" width="80" style="132" customWidth="1"/>
    <col min="5638" max="5889" width="9.109375" style="132"/>
    <col min="5890" max="5890" width="7.33203125" style="132" customWidth="1"/>
    <col min="5891" max="5891" width="38.33203125" style="132" bestFit="1" customWidth="1"/>
    <col min="5892" max="5892" width="25.33203125" style="132" bestFit="1" customWidth="1"/>
    <col min="5893" max="5893" width="80" style="132" customWidth="1"/>
    <col min="5894" max="6145" width="9.109375" style="132"/>
    <col min="6146" max="6146" width="7.33203125" style="132" customWidth="1"/>
    <col min="6147" max="6147" width="38.33203125" style="132" bestFit="1" customWidth="1"/>
    <col min="6148" max="6148" width="25.33203125" style="132" bestFit="1" customWidth="1"/>
    <col min="6149" max="6149" width="80" style="132" customWidth="1"/>
    <col min="6150" max="6401" width="9.109375" style="132"/>
    <col min="6402" max="6402" width="7.33203125" style="132" customWidth="1"/>
    <col min="6403" max="6403" width="38.33203125" style="132" bestFit="1" customWidth="1"/>
    <col min="6404" max="6404" width="25.33203125" style="132" bestFit="1" customWidth="1"/>
    <col min="6405" max="6405" width="80" style="132" customWidth="1"/>
    <col min="6406" max="6657" width="9.109375" style="132"/>
    <col min="6658" max="6658" width="7.33203125" style="132" customWidth="1"/>
    <col min="6659" max="6659" width="38.33203125" style="132" bestFit="1" customWidth="1"/>
    <col min="6660" max="6660" width="25.33203125" style="132" bestFit="1" customWidth="1"/>
    <col min="6661" max="6661" width="80" style="132" customWidth="1"/>
    <col min="6662" max="6913" width="9.109375" style="132"/>
    <col min="6914" max="6914" width="7.33203125" style="132" customWidth="1"/>
    <col min="6915" max="6915" width="38.33203125" style="132" bestFit="1" customWidth="1"/>
    <col min="6916" max="6916" width="25.33203125" style="132" bestFit="1" customWidth="1"/>
    <col min="6917" max="6917" width="80" style="132" customWidth="1"/>
    <col min="6918" max="7169" width="9.109375" style="132"/>
    <col min="7170" max="7170" width="7.33203125" style="132" customWidth="1"/>
    <col min="7171" max="7171" width="38.33203125" style="132" bestFit="1" customWidth="1"/>
    <col min="7172" max="7172" width="25.33203125" style="132" bestFit="1" customWidth="1"/>
    <col min="7173" max="7173" width="80" style="132" customWidth="1"/>
    <col min="7174" max="7425" width="9.109375" style="132"/>
    <col min="7426" max="7426" width="7.33203125" style="132" customWidth="1"/>
    <col min="7427" max="7427" width="38.33203125" style="132" bestFit="1" customWidth="1"/>
    <col min="7428" max="7428" width="25.33203125" style="132" bestFit="1" customWidth="1"/>
    <col min="7429" max="7429" width="80" style="132" customWidth="1"/>
    <col min="7430" max="7681" width="9.109375" style="132"/>
    <col min="7682" max="7682" width="7.33203125" style="132" customWidth="1"/>
    <col min="7683" max="7683" width="38.33203125" style="132" bestFit="1" customWidth="1"/>
    <col min="7684" max="7684" width="25.33203125" style="132" bestFit="1" customWidth="1"/>
    <col min="7685" max="7685" width="80" style="132" customWidth="1"/>
    <col min="7686" max="7937" width="9.109375" style="132"/>
    <col min="7938" max="7938" width="7.33203125" style="132" customWidth="1"/>
    <col min="7939" max="7939" width="38.33203125" style="132" bestFit="1" customWidth="1"/>
    <col min="7940" max="7940" width="25.33203125" style="132" bestFit="1" customWidth="1"/>
    <col min="7941" max="7941" width="80" style="132" customWidth="1"/>
    <col min="7942" max="8193" width="9.109375" style="132"/>
    <col min="8194" max="8194" width="7.33203125" style="132" customWidth="1"/>
    <col min="8195" max="8195" width="38.33203125" style="132" bestFit="1" customWidth="1"/>
    <col min="8196" max="8196" width="25.33203125" style="132" bestFit="1" customWidth="1"/>
    <col min="8197" max="8197" width="80" style="132" customWidth="1"/>
    <col min="8198" max="8449" width="9.109375" style="132"/>
    <col min="8450" max="8450" width="7.33203125" style="132" customWidth="1"/>
    <col min="8451" max="8451" width="38.33203125" style="132" bestFit="1" customWidth="1"/>
    <col min="8452" max="8452" width="25.33203125" style="132" bestFit="1" customWidth="1"/>
    <col min="8453" max="8453" width="80" style="132" customWidth="1"/>
    <col min="8454" max="8705" width="9.109375" style="132"/>
    <col min="8706" max="8706" width="7.33203125" style="132" customWidth="1"/>
    <col min="8707" max="8707" width="38.33203125" style="132" bestFit="1" customWidth="1"/>
    <col min="8708" max="8708" width="25.33203125" style="132" bestFit="1" customWidth="1"/>
    <col min="8709" max="8709" width="80" style="132" customWidth="1"/>
    <col min="8710" max="8961" width="9.109375" style="132"/>
    <col min="8962" max="8962" width="7.33203125" style="132" customWidth="1"/>
    <col min="8963" max="8963" width="38.33203125" style="132" bestFit="1" customWidth="1"/>
    <col min="8964" max="8964" width="25.33203125" style="132" bestFit="1" customWidth="1"/>
    <col min="8965" max="8965" width="80" style="132" customWidth="1"/>
    <col min="8966" max="9217" width="9.109375" style="132"/>
    <col min="9218" max="9218" width="7.33203125" style="132" customWidth="1"/>
    <col min="9219" max="9219" width="38.33203125" style="132" bestFit="1" customWidth="1"/>
    <col min="9220" max="9220" width="25.33203125" style="132" bestFit="1" customWidth="1"/>
    <col min="9221" max="9221" width="80" style="132" customWidth="1"/>
    <col min="9222" max="9473" width="9.109375" style="132"/>
    <col min="9474" max="9474" width="7.33203125" style="132" customWidth="1"/>
    <col min="9475" max="9475" width="38.33203125" style="132" bestFit="1" customWidth="1"/>
    <col min="9476" max="9476" width="25.33203125" style="132" bestFit="1" customWidth="1"/>
    <col min="9477" max="9477" width="80" style="132" customWidth="1"/>
    <col min="9478" max="9729" width="9.109375" style="132"/>
    <col min="9730" max="9730" width="7.33203125" style="132" customWidth="1"/>
    <col min="9731" max="9731" width="38.33203125" style="132" bestFit="1" customWidth="1"/>
    <col min="9732" max="9732" width="25.33203125" style="132" bestFit="1" customWidth="1"/>
    <col min="9733" max="9733" width="80" style="132" customWidth="1"/>
    <col min="9734" max="9985" width="9.109375" style="132"/>
    <col min="9986" max="9986" width="7.33203125" style="132" customWidth="1"/>
    <col min="9987" max="9987" width="38.33203125" style="132" bestFit="1" customWidth="1"/>
    <col min="9988" max="9988" width="25.33203125" style="132" bestFit="1" customWidth="1"/>
    <col min="9989" max="9989" width="80" style="132" customWidth="1"/>
    <col min="9990" max="10241" width="9.109375" style="132"/>
    <col min="10242" max="10242" width="7.33203125" style="132" customWidth="1"/>
    <col min="10243" max="10243" width="38.33203125" style="132" bestFit="1" customWidth="1"/>
    <col min="10244" max="10244" width="25.33203125" style="132" bestFit="1" customWidth="1"/>
    <col min="10245" max="10245" width="80" style="132" customWidth="1"/>
    <col min="10246" max="10497" width="9.109375" style="132"/>
    <col min="10498" max="10498" width="7.33203125" style="132" customWidth="1"/>
    <col min="10499" max="10499" width="38.33203125" style="132" bestFit="1" customWidth="1"/>
    <col min="10500" max="10500" width="25.33203125" style="132" bestFit="1" customWidth="1"/>
    <col min="10501" max="10501" width="80" style="132" customWidth="1"/>
    <col min="10502" max="10753" width="9.109375" style="132"/>
    <col min="10754" max="10754" width="7.33203125" style="132" customWidth="1"/>
    <col min="10755" max="10755" width="38.33203125" style="132" bestFit="1" customWidth="1"/>
    <col min="10756" max="10756" width="25.33203125" style="132" bestFit="1" customWidth="1"/>
    <col min="10757" max="10757" width="80" style="132" customWidth="1"/>
    <col min="10758" max="11009" width="9.109375" style="132"/>
    <col min="11010" max="11010" width="7.33203125" style="132" customWidth="1"/>
    <col min="11011" max="11011" width="38.33203125" style="132" bestFit="1" customWidth="1"/>
    <col min="11012" max="11012" width="25.33203125" style="132" bestFit="1" customWidth="1"/>
    <col min="11013" max="11013" width="80" style="132" customWidth="1"/>
    <col min="11014" max="11265" width="9.109375" style="132"/>
    <col min="11266" max="11266" width="7.33203125" style="132" customWidth="1"/>
    <col min="11267" max="11267" width="38.33203125" style="132" bestFit="1" customWidth="1"/>
    <col min="11268" max="11268" width="25.33203125" style="132" bestFit="1" customWidth="1"/>
    <col min="11269" max="11269" width="80" style="132" customWidth="1"/>
    <col min="11270" max="11521" width="9.109375" style="132"/>
    <col min="11522" max="11522" width="7.33203125" style="132" customWidth="1"/>
    <col min="11523" max="11523" width="38.33203125" style="132" bestFit="1" customWidth="1"/>
    <col min="11524" max="11524" width="25.33203125" style="132" bestFit="1" customWidth="1"/>
    <col min="11525" max="11525" width="80" style="132" customWidth="1"/>
    <col min="11526" max="11777" width="9.109375" style="132"/>
    <col min="11778" max="11778" width="7.33203125" style="132" customWidth="1"/>
    <col min="11779" max="11779" width="38.33203125" style="132" bestFit="1" customWidth="1"/>
    <col min="11780" max="11780" width="25.33203125" style="132" bestFit="1" customWidth="1"/>
    <col min="11781" max="11781" width="80" style="132" customWidth="1"/>
    <col min="11782" max="12033" width="9.109375" style="132"/>
    <col min="12034" max="12034" width="7.33203125" style="132" customWidth="1"/>
    <col min="12035" max="12035" width="38.33203125" style="132" bestFit="1" customWidth="1"/>
    <col min="12036" max="12036" width="25.33203125" style="132" bestFit="1" customWidth="1"/>
    <col min="12037" max="12037" width="80" style="132" customWidth="1"/>
    <col min="12038" max="12289" width="9.109375" style="132"/>
    <col min="12290" max="12290" width="7.33203125" style="132" customWidth="1"/>
    <col min="12291" max="12291" width="38.33203125" style="132" bestFit="1" customWidth="1"/>
    <col min="12292" max="12292" width="25.33203125" style="132" bestFit="1" customWidth="1"/>
    <col min="12293" max="12293" width="80" style="132" customWidth="1"/>
    <col min="12294" max="12545" width="9.109375" style="132"/>
    <col min="12546" max="12546" width="7.33203125" style="132" customWidth="1"/>
    <col min="12547" max="12547" width="38.33203125" style="132" bestFit="1" customWidth="1"/>
    <col min="12548" max="12548" width="25.33203125" style="132" bestFit="1" customWidth="1"/>
    <col min="12549" max="12549" width="80" style="132" customWidth="1"/>
    <col min="12550" max="12801" width="9.109375" style="132"/>
    <col min="12802" max="12802" width="7.33203125" style="132" customWidth="1"/>
    <col min="12803" max="12803" width="38.33203125" style="132" bestFit="1" customWidth="1"/>
    <col min="12804" max="12804" width="25.33203125" style="132" bestFit="1" customWidth="1"/>
    <col min="12805" max="12805" width="80" style="132" customWidth="1"/>
    <col min="12806" max="13057" width="9.109375" style="132"/>
    <col min="13058" max="13058" width="7.33203125" style="132" customWidth="1"/>
    <col min="13059" max="13059" width="38.33203125" style="132" bestFit="1" customWidth="1"/>
    <col min="13060" max="13060" width="25.33203125" style="132" bestFit="1" customWidth="1"/>
    <col min="13061" max="13061" width="80" style="132" customWidth="1"/>
    <col min="13062" max="13313" width="9.109375" style="132"/>
    <col min="13314" max="13314" width="7.33203125" style="132" customWidth="1"/>
    <col min="13315" max="13315" width="38.33203125" style="132" bestFit="1" customWidth="1"/>
    <col min="13316" max="13316" width="25.33203125" style="132" bestFit="1" customWidth="1"/>
    <col min="13317" max="13317" width="80" style="132" customWidth="1"/>
    <col min="13318" max="13569" width="9.109375" style="132"/>
    <col min="13570" max="13570" width="7.33203125" style="132" customWidth="1"/>
    <col min="13571" max="13571" width="38.33203125" style="132" bestFit="1" customWidth="1"/>
    <col min="13572" max="13572" width="25.33203125" style="132" bestFit="1" customWidth="1"/>
    <col min="13573" max="13573" width="80" style="132" customWidth="1"/>
    <col min="13574" max="13825" width="9.109375" style="132"/>
    <col min="13826" max="13826" width="7.33203125" style="132" customWidth="1"/>
    <col min="13827" max="13827" width="38.33203125" style="132" bestFit="1" customWidth="1"/>
    <col min="13828" max="13828" width="25.33203125" style="132" bestFit="1" customWidth="1"/>
    <col min="13829" max="13829" width="80" style="132" customWidth="1"/>
    <col min="13830" max="14081" width="9.109375" style="132"/>
    <col min="14082" max="14082" width="7.33203125" style="132" customWidth="1"/>
    <col min="14083" max="14083" width="38.33203125" style="132" bestFit="1" customWidth="1"/>
    <col min="14084" max="14084" width="25.33203125" style="132" bestFit="1" customWidth="1"/>
    <col min="14085" max="14085" width="80" style="132" customWidth="1"/>
    <col min="14086" max="14337" width="9.109375" style="132"/>
    <col min="14338" max="14338" width="7.33203125" style="132" customWidth="1"/>
    <col min="14339" max="14339" width="38.33203125" style="132" bestFit="1" customWidth="1"/>
    <col min="14340" max="14340" width="25.33203125" style="132" bestFit="1" customWidth="1"/>
    <col min="14341" max="14341" width="80" style="132" customWidth="1"/>
    <col min="14342" max="14593" width="9.109375" style="132"/>
    <col min="14594" max="14594" width="7.33203125" style="132" customWidth="1"/>
    <col min="14595" max="14595" width="38.33203125" style="132" bestFit="1" customWidth="1"/>
    <col min="14596" max="14596" width="25.33203125" style="132" bestFit="1" customWidth="1"/>
    <col min="14597" max="14597" width="80" style="132" customWidth="1"/>
    <col min="14598" max="14849" width="9.109375" style="132"/>
    <col min="14850" max="14850" width="7.33203125" style="132" customWidth="1"/>
    <col min="14851" max="14851" width="38.33203125" style="132" bestFit="1" customWidth="1"/>
    <col min="14852" max="14852" width="25.33203125" style="132" bestFit="1" customWidth="1"/>
    <col min="14853" max="14853" width="80" style="132" customWidth="1"/>
    <col min="14854" max="15105" width="9.109375" style="132"/>
    <col min="15106" max="15106" width="7.33203125" style="132" customWidth="1"/>
    <col min="15107" max="15107" width="38.33203125" style="132" bestFit="1" customWidth="1"/>
    <col min="15108" max="15108" width="25.33203125" style="132" bestFit="1" customWidth="1"/>
    <col min="15109" max="15109" width="80" style="132" customWidth="1"/>
    <col min="15110" max="15361" width="9.109375" style="132"/>
    <col min="15362" max="15362" width="7.33203125" style="132" customWidth="1"/>
    <col min="15363" max="15363" width="38.33203125" style="132" bestFit="1" customWidth="1"/>
    <col min="15364" max="15364" width="25.33203125" style="132" bestFit="1" customWidth="1"/>
    <col min="15365" max="15365" width="80" style="132" customWidth="1"/>
    <col min="15366" max="15617" width="9.109375" style="132"/>
    <col min="15618" max="15618" width="7.33203125" style="132" customWidth="1"/>
    <col min="15619" max="15619" width="38.33203125" style="132" bestFit="1" customWidth="1"/>
    <col min="15620" max="15620" width="25.33203125" style="132" bestFit="1" customWidth="1"/>
    <col min="15621" max="15621" width="80" style="132" customWidth="1"/>
    <col min="15622" max="15873" width="9.109375" style="132"/>
    <col min="15874" max="15874" width="7.33203125" style="132" customWidth="1"/>
    <col min="15875" max="15875" width="38.33203125" style="132" bestFit="1" customWidth="1"/>
    <col min="15876" max="15876" width="25.33203125" style="132" bestFit="1" customWidth="1"/>
    <col min="15877" max="15877" width="80" style="132" customWidth="1"/>
    <col min="15878" max="16129" width="9.109375" style="132"/>
    <col min="16130" max="16130" width="7.33203125" style="132" customWidth="1"/>
    <col min="16131" max="16131" width="38.33203125" style="132" bestFit="1" customWidth="1"/>
    <col min="16132" max="16132" width="25.33203125" style="132" bestFit="1" customWidth="1"/>
    <col min="16133" max="16133" width="80" style="132" customWidth="1"/>
    <col min="16134" max="16384" width="9.109375" style="132"/>
  </cols>
  <sheetData>
    <row r="1" spans="1:49" x14ac:dyDescent="0.2">
      <c r="B1" s="154"/>
      <c r="C1" s="155"/>
      <c r="D1" s="154"/>
      <c r="E1" s="156"/>
    </row>
    <row r="2" spans="1:49" x14ac:dyDescent="0.2">
      <c r="B2" s="154"/>
      <c r="C2" s="155"/>
      <c r="D2" s="154"/>
      <c r="E2" s="156"/>
    </row>
    <row r="3" spans="1:49" x14ac:dyDescent="0.2">
      <c r="B3" s="154"/>
      <c r="C3" s="155"/>
      <c r="D3" s="154"/>
      <c r="E3" s="156"/>
    </row>
    <row r="4" spans="1:49" x14ac:dyDescent="0.2">
      <c r="B4" s="154"/>
      <c r="C4" s="155"/>
      <c r="D4" s="154"/>
      <c r="E4" s="156"/>
    </row>
    <row r="5" spans="1:49" x14ac:dyDescent="0.2">
      <c r="B5" s="154"/>
      <c r="C5" s="155"/>
      <c r="D5" s="154"/>
      <c r="E5" s="156"/>
    </row>
    <row r="6" spans="1:49" x14ac:dyDescent="0.2">
      <c r="B6" s="154"/>
      <c r="C6" s="155"/>
      <c r="D6" s="154"/>
      <c r="E6" s="156"/>
    </row>
    <row r="7" spans="1:49" ht="10.8" thickBot="1" x14ac:dyDescent="0.25">
      <c r="B7" s="154"/>
      <c r="C7" s="155"/>
      <c r="D7" s="154"/>
      <c r="E7" s="156"/>
    </row>
    <row r="8" spans="1:49" s="133" customFormat="1" ht="29.4" thickBot="1" x14ac:dyDescent="0.25">
      <c r="A8" s="156"/>
      <c r="B8" s="382" t="s">
        <v>128</v>
      </c>
      <c r="C8" s="383" t="s">
        <v>129</v>
      </c>
      <c r="D8" s="383" t="s">
        <v>130</v>
      </c>
      <c r="E8" s="384" t="s">
        <v>131</v>
      </c>
      <c r="F8" s="156"/>
      <c r="G8" s="156"/>
      <c r="H8" s="156"/>
      <c r="I8" s="156"/>
      <c r="J8" s="156"/>
      <c r="K8" s="156"/>
      <c r="L8" s="156"/>
      <c r="M8" s="156"/>
      <c r="N8" s="156"/>
      <c r="O8" s="156"/>
      <c r="P8" s="156"/>
      <c r="Q8" s="156"/>
      <c r="R8" s="156"/>
      <c r="S8" s="156"/>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c r="AT8" s="156"/>
      <c r="AU8" s="156"/>
      <c r="AV8" s="156"/>
      <c r="AW8" s="156"/>
    </row>
    <row r="9" spans="1:49" s="134" customFormat="1" ht="41.4" x14ac:dyDescent="0.3">
      <c r="A9" s="237"/>
      <c r="B9" s="143">
        <v>1</v>
      </c>
      <c r="C9" s="144" t="str">
        <f>Calculation!C11</f>
        <v>% Registered patients aged 0-4 years</v>
      </c>
      <c r="D9" s="236">
        <f>'Spine Chart (Locality)'!E15</f>
        <v>2019</v>
      </c>
      <c r="E9" s="145" t="s">
        <v>418</v>
      </c>
      <c r="F9" s="237"/>
      <c r="G9" s="237"/>
      <c r="H9" s="237"/>
      <c r="I9" s="237"/>
      <c r="J9" s="237"/>
      <c r="K9" s="237"/>
      <c r="L9" s="237"/>
      <c r="M9" s="237"/>
      <c r="N9" s="237"/>
      <c r="O9" s="237"/>
      <c r="P9" s="237"/>
      <c r="Q9" s="237"/>
      <c r="R9" s="237"/>
      <c r="S9" s="237"/>
      <c r="T9" s="237"/>
      <c r="U9" s="237"/>
      <c r="V9" s="237"/>
      <c r="W9" s="237"/>
      <c r="X9" s="237"/>
      <c r="Y9" s="237"/>
      <c r="Z9" s="237"/>
      <c r="AA9" s="237"/>
      <c r="AB9" s="237"/>
      <c r="AC9" s="237"/>
      <c r="AD9" s="237"/>
      <c r="AE9" s="237"/>
      <c r="AF9" s="237"/>
      <c r="AG9" s="237"/>
      <c r="AH9" s="237"/>
      <c r="AI9" s="237"/>
      <c r="AJ9" s="237"/>
      <c r="AK9" s="237"/>
      <c r="AL9" s="237"/>
      <c r="AM9" s="237"/>
      <c r="AN9" s="237"/>
      <c r="AO9" s="237"/>
      <c r="AP9" s="237"/>
      <c r="AQ9" s="237"/>
      <c r="AR9" s="237"/>
      <c r="AS9" s="237"/>
      <c r="AT9" s="237"/>
      <c r="AU9" s="237"/>
      <c r="AV9" s="237"/>
      <c r="AW9" s="237"/>
    </row>
    <row r="10" spans="1:49" s="134" customFormat="1" ht="41.4" x14ac:dyDescent="0.3">
      <c r="A10" s="237"/>
      <c r="B10" s="143">
        <v>2</v>
      </c>
      <c r="C10" s="144" t="str">
        <f>Calculation!C12</f>
        <v xml:space="preserve">% Registered patients aged 0-17 years </v>
      </c>
      <c r="D10" s="236">
        <f>'Spine Chart (Locality)'!E16</f>
        <v>2019</v>
      </c>
      <c r="E10" s="145" t="s">
        <v>419</v>
      </c>
      <c r="F10" s="237"/>
      <c r="G10" s="237"/>
      <c r="H10" s="237"/>
      <c r="I10" s="237"/>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c r="AH10" s="237"/>
      <c r="AI10" s="237"/>
      <c r="AJ10" s="237"/>
      <c r="AK10" s="237"/>
      <c r="AL10" s="237"/>
      <c r="AM10" s="237"/>
      <c r="AN10" s="237"/>
      <c r="AO10" s="237"/>
      <c r="AP10" s="237"/>
      <c r="AQ10" s="237"/>
      <c r="AR10" s="237"/>
      <c r="AS10" s="237"/>
      <c r="AT10" s="237"/>
      <c r="AU10" s="237"/>
      <c r="AV10" s="237"/>
      <c r="AW10" s="237"/>
    </row>
    <row r="11" spans="1:49" s="134" customFormat="1" ht="41.4" x14ac:dyDescent="0.3">
      <c r="A11" s="237"/>
      <c r="B11" s="143">
        <v>3</v>
      </c>
      <c r="C11" s="144" t="str">
        <f>Calculation!C13</f>
        <v xml:space="preserve">% Registered patients 18-64 years </v>
      </c>
      <c r="D11" s="236">
        <f>'Spine Chart (Locality)'!E17</f>
        <v>2019</v>
      </c>
      <c r="E11" s="145" t="s">
        <v>420</v>
      </c>
      <c r="F11" s="237"/>
      <c r="G11" s="237"/>
      <c r="H11" s="237"/>
      <c r="I11" s="237"/>
      <c r="J11" s="237"/>
      <c r="K11" s="237"/>
      <c r="L11" s="237"/>
      <c r="M11" s="237"/>
      <c r="N11" s="237"/>
      <c r="O11" s="237"/>
      <c r="P11" s="237"/>
      <c r="Q11" s="237"/>
      <c r="R11" s="237"/>
      <c r="S11" s="237"/>
      <c r="T11" s="237"/>
      <c r="U11" s="237"/>
      <c r="V11" s="237"/>
      <c r="W11" s="237"/>
      <c r="X11" s="237"/>
      <c r="Y11" s="237"/>
      <c r="Z11" s="237"/>
      <c r="AA11" s="237"/>
      <c r="AB11" s="237"/>
      <c r="AC11" s="237"/>
      <c r="AD11" s="237"/>
      <c r="AE11" s="237"/>
      <c r="AF11" s="237"/>
      <c r="AG11" s="237"/>
      <c r="AH11" s="237"/>
      <c r="AI11" s="237"/>
      <c r="AJ11" s="237"/>
      <c r="AK11" s="237"/>
      <c r="AL11" s="237"/>
      <c r="AM11" s="237"/>
      <c r="AN11" s="237"/>
      <c r="AO11" s="237"/>
      <c r="AP11" s="237"/>
      <c r="AQ11" s="237"/>
      <c r="AR11" s="237"/>
      <c r="AS11" s="237"/>
      <c r="AT11" s="237"/>
      <c r="AU11" s="237"/>
      <c r="AV11" s="237"/>
      <c r="AW11" s="237"/>
    </row>
    <row r="12" spans="1:49" s="134" customFormat="1" ht="41.4" x14ac:dyDescent="0.3">
      <c r="A12" s="237"/>
      <c r="B12" s="143">
        <v>4</v>
      </c>
      <c r="C12" s="144" t="str">
        <f>Calculation!C14</f>
        <v>% Registered patients aged 65+ years</v>
      </c>
      <c r="D12" s="236">
        <f>'Spine Chart (Locality)'!E18</f>
        <v>2019</v>
      </c>
      <c r="E12" s="145" t="s">
        <v>421</v>
      </c>
      <c r="F12" s="237"/>
      <c r="G12" s="237"/>
      <c r="H12" s="237"/>
      <c r="I12" s="237"/>
      <c r="J12" s="237"/>
      <c r="K12" s="237"/>
      <c r="L12" s="237"/>
      <c r="M12" s="237"/>
      <c r="N12" s="237"/>
      <c r="O12" s="237"/>
      <c r="P12" s="237"/>
      <c r="Q12" s="237"/>
      <c r="R12" s="237"/>
      <c r="S12" s="237"/>
      <c r="T12" s="237"/>
      <c r="U12" s="237"/>
      <c r="V12" s="237"/>
      <c r="W12" s="237"/>
      <c r="X12" s="237"/>
      <c r="Y12" s="237"/>
      <c r="Z12" s="237"/>
      <c r="AA12" s="237"/>
      <c r="AB12" s="237"/>
      <c r="AC12" s="237"/>
      <c r="AD12" s="237"/>
      <c r="AE12" s="237"/>
      <c r="AF12" s="237"/>
      <c r="AG12" s="237"/>
      <c r="AH12" s="237"/>
      <c r="AI12" s="237"/>
      <c r="AJ12" s="237"/>
      <c r="AK12" s="237"/>
      <c r="AL12" s="237"/>
      <c r="AM12" s="237"/>
      <c r="AN12" s="237"/>
      <c r="AO12" s="237"/>
      <c r="AP12" s="237"/>
      <c r="AQ12" s="237"/>
      <c r="AR12" s="237"/>
      <c r="AS12" s="237"/>
      <c r="AT12" s="237"/>
      <c r="AU12" s="237"/>
      <c r="AV12" s="237"/>
      <c r="AW12" s="237"/>
    </row>
    <row r="13" spans="1:49" s="134" customFormat="1" ht="96.6" x14ac:dyDescent="0.3">
      <c r="A13" s="237"/>
      <c r="B13" s="143">
        <v>5</v>
      </c>
      <c r="C13" s="144" t="str">
        <f>Calculation!C15</f>
        <v>% Patients living in the most deprived quintile in England</v>
      </c>
      <c r="D13" s="236">
        <f>'Spine Chart (Locality)'!E19</f>
        <v>2019</v>
      </c>
      <c r="E13" s="146" t="s">
        <v>422</v>
      </c>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7"/>
      <c r="AL13" s="237"/>
      <c r="AM13" s="237"/>
      <c r="AN13" s="237"/>
      <c r="AO13" s="237"/>
      <c r="AP13" s="237"/>
      <c r="AQ13" s="237"/>
      <c r="AR13" s="237"/>
      <c r="AS13" s="237"/>
      <c r="AT13" s="237"/>
      <c r="AU13" s="237"/>
      <c r="AV13" s="237"/>
      <c r="AW13" s="237"/>
    </row>
    <row r="14" spans="1:49" s="134" customFormat="1" ht="184.5" customHeight="1" x14ac:dyDescent="0.3">
      <c r="A14" s="237"/>
      <c r="B14" s="143">
        <v>6</v>
      </c>
      <c r="C14" s="144" t="str">
        <f>Calculation!C16</f>
        <v>% Resident population age 3+ that have English as a first language*</v>
      </c>
      <c r="D14" s="236">
        <f>'Spine Chart (Locality)'!E20</f>
        <v>2011</v>
      </c>
      <c r="E14" s="146" t="s">
        <v>486</v>
      </c>
      <c r="F14" s="237"/>
      <c r="G14" s="237"/>
      <c r="H14" s="237"/>
      <c r="I14" s="237"/>
      <c r="J14" s="237"/>
      <c r="K14" s="237"/>
      <c r="L14" s="237"/>
      <c r="M14" s="237"/>
      <c r="N14" s="237"/>
      <c r="O14" s="237"/>
      <c r="P14" s="237"/>
      <c r="Q14" s="237"/>
      <c r="R14" s="237"/>
      <c r="S14" s="237"/>
      <c r="T14" s="237"/>
      <c r="U14" s="237"/>
      <c r="V14" s="237"/>
      <c r="W14" s="237"/>
      <c r="X14" s="237"/>
      <c r="Y14" s="237"/>
      <c r="Z14" s="237"/>
      <c r="AA14" s="237"/>
      <c r="AB14" s="237"/>
      <c r="AC14" s="237"/>
      <c r="AD14" s="237"/>
      <c r="AE14" s="237"/>
      <c r="AF14" s="237"/>
      <c r="AG14" s="237"/>
      <c r="AH14" s="237"/>
      <c r="AI14" s="237"/>
      <c r="AJ14" s="237"/>
      <c r="AK14" s="237"/>
      <c r="AL14" s="237"/>
      <c r="AM14" s="237"/>
      <c r="AN14" s="237"/>
      <c r="AO14" s="237"/>
      <c r="AP14" s="237"/>
      <c r="AQ14" s="237"/>
      <c r="AR14" s="237"/>
      <c r="AS14" s="237"/>
      <c r="AT14" s="237"/>
      <c r="AU14" s="237"/>
      <c r="AV14" s="237"/>
      <c r="AW14" s="237"/>
    </row>
    <row r="15" spans="1:49" s="134" customFormat="1" ht="234.6" x14ac:dyDescent="0.3">
      <c r="A15" s="237"/>
      <c r="B15" s="143">
        <v>7</v>
      </c>
      <c r="C15" s="144" t="str">
        <f>Calculation!C17</f>
        <v>% of residents (aged 16-64) economically active*</v>
      </c>
      <c r="D15" s="236">
        <f>'Spine Chart (Locality)'!E21</f>
        <v>2011</v>
      </c>
      <c r="E15" s="146" t="s">
        <v>458</v>
      </c>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c r="AS15" s="237"/>
      <c r="AT15" s="237"/>
      <c r="AU15" s="237"/>
      <c r="AV15" s="237"/>
      <c r="AW15" s="237"/>
    </row>
    <row r="16" spans="1:49" s="134" customFormat="1" ht="207" x14ac:dyDescent="0.3">
      <c r="A16" s="237"/>
      <c r="B16" s="143">
        <v>8</v>
      </c>
      <c r="C16" s="144" t="str">
        <f>Calculation!C18</f>
        <v>Life expectancy at birth (males)</v>
      </c>
      <c r="D16" s="236" t="str">
        <f>'Spine Chart (Locality)'!E22</f>
        <v>2015-17</v>
      </c>
      <c r="E16" s="146" t="s">
        <v>423</v>
      </c>
      <c r="F16" s="237"/>
      <c r="G16" s="237"/>
      <c r="H16" s="237"/>
      <c r="I16" s="237"/>
      <c r="J16" s="237"/>
      <c r="K16" s="237"/>
      <c r="L16" s="237"/>
      <c r="M16" s="237"/>
      <c r="N16" s="237"/>
      <c r="O16" s="237"/>
      <c r="P16" s="237"/>
      <c r="Q16" s="237"/>
      <c r="R16" s="237"/>
      <c r="S16" s="237"/>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c r="AS16" s="237"/>
      <c r="AT16" s="237"/>
      <c r="AU16" s="237"/>
      <c r="AV16" s="237"/>
      <c r="AW16" s="237"/>
    </row>
    <row r="17" spans="1:49" s="134" customFormat="1" ht="226.5" customHeight="1" x14ac:dyDescent="0.3">
      <c r="A17" s="237"/>
      <c r="B17" s="143">
        <v>9</v>
      </c>
      <c r="C17" s="144" t="str">
        <f>Calculation!C19</f>
        <v>Life expectancy at birth (females)</v>
      </c>
      <c r="D17" s="236" t="str">
        <f>'Spine Chart (Locality)'!E23</f>
        <v>2015-17</v>
      </c>
      <c r="E17" s="146" t="s">
        <v>424</v>
      </c>
      <c r="F17" s="237"/>
      <c r="G17" s="237"/>
      <c r="H17" s="237"/>
      <c r="I17" s="237"/>
      <c r="J17" s="237"/>
      <c r="K17" s="237"/>
      <c r="L17" s="237"/>
      <c r="M17" s="237"/>
      <c r="N17" s="237"/>
      <c r="O17" s="237"/>
      <c r="P17" s="237"/>
      <c r="Q17" s="237"/>
      <c r="R17" s="237"/>
      <c r="S17" s="237"/>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row>
    <row r="18" spans="1:49" s="134" customFormat="1" ht="176.25" customHeight="1" x14ac:dyDescent="0.3">
      <c r="A18" s="237"/>
      <c r="B18" s="143">
        <v>10</v>
      </c>
      <c r="C18" s="144" t="str">
        <f>Calculation!C20</f>
        <v xml:space="preserve">Mortality rate from all causes (DSR per 100,000 registered population) </v>
      </c>
      <c r="D18" s="236" t="str">
        <f>'Spine Chart (Locality)'!E24</f>
        <v>2015-17</v>
      </c>
      <c r="E18" s="238" t="s">
        <v>426</v>
      </c>
      <c r="F18" s="237"/>
      <c r="G18" s="237"/>
      <c r="H18" s="237"/>
      <c r="I18" s="237"/>
      <c r="J18" s="237"/>
      <c r="K18" s="237"/>
      <c r="L18" s="237"/>
      <c r="M18" s="237"/>
      <c r="N18" s="237"/>
      <c r="O18" s="237"/>
      <c r="P18" s="237"/>
      <c r="Q18" s="237"/>
      <c r="R18" s="237"/>
      <c r="S18" s="237"/>
      <c r="T18" s="237"/>
      <c r="U18" s="23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c r="AR18" s="237"/>
      <c r="AS18" s="237"/>
      <c r="AT18" s="237"/>
      <c r="AU18" s="237"/>
      <c r="AV18" s="237"/>
      <c r="AW18" s="237"/>
    </row>
    <row r="19" spans="1:49" s="134" customFormat="1" ht="179.4" x14ac:dyDescent="0.3">
      <c r="A19" s="237"/>
      <c r="B19" s="143">
        <v>11</v>
      </c>
      <c r="C19" s="144" t="str">
        <f>Calculation!C21</f>
        <v xml:space="preserve">Premature mortality (under 75 years) from all causes (DSR per 100,000 registered population) </v>
      </c>
      <c r="D19" s="236" t="str">
        <f>'Spine Chart (Locality)'!E25</f>
        <v>2015-17</v>
      </c>
      <c r="E19" s="238" t="s">
        <v>436</v>
      </c>
      <c r="F19" s="237"/>
      <c r="G19" s="237"/>
      <c r="H19" s="237"/>
      <c r="I19" s="237"/>
      <c r="J19" s="237"/>
      <c r="K19" s="237"/>
      <c r="L19" s="237"/>
      <c r="M19" s="237"/>
      <c r="N19" s="237"/>
      <c r="O19" s="237"/>
      <c r="P19" s="237"/>
      <c r="Q19" s="237"/>
      <c r="R19" s="237"/>
      <c r="S19" s="237"/>
      <c r="T19" s="237"/>
      <c r="U19" s="23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row>
    <row r="20" spans="1:49" s="134" customFormat="1" ht="289.8" x14ac:dyDescent="0.3">
      <c r="A20" s="237"/>
      <c r="B20" s="143">
        <v>12</v>
      </c>
      <c r="C20" s="144" t="str">
        <f>Calculation!C22</f>
        <v>Preventable mortality (DSR per 100,000 registered population)</v>
      </c>
      <c r="D20" s="236" t="str">
        <f>'Spine Chart (Locality)'!E26</f>
        <v>2015-17</v>
      </c>
      <c r="E20" s="146" t="s">
        <v>425</v>
      </c>
      <c r="F20" s="237"/>
      <c r="G20" s="237"/>
      <c r="H20" s="237"/>
      <c r="I20" s="237"/>
      <c r="J20" s="237"/>
      <c r="K20" s="237"/>
      <c r="L20" s="237"/>
      <c r="M20" s="237"/>
      <c r="N20" s="237"/>
      <c r="O20" s="237"/>
      <c r="P20" s="237"/>
      <c r="Q20" s="237"/>
      <c r="R20" s="237"/>
      <c r="S20" s="237"/>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row>
    <row r="21" spans="1:49" s="134" customFormat="1" ht="163.5" customHeight="1" x14ac:dyDescent="0.3">
      <c r="A21" s="237"/>
      <c r="B21" s="143">
        <v>13</v>
      </c>
      <c r="C21" s="144" t="str">
        <f>Calculation!C23</f>
        <v>Multiple (3+) chronic condition prevalence (DSR per 1,000 registered population)</v>
      </c>
      <c r="D21" s="236">
        <f>'Spine Chart (Locality)'!E27</f>
        <v>2017</v>
      </c>
      <c r="E21" s="146" t="s">
        <v>441</v>
      </c>
      <c r="F21" s="237"/>
      <c r="G21" s="237"/>
      <c r="H21" s="237"/>
      <c r="I21" s="237"/>
      <c r="J21" s="237"/>
      <c r="K21" s="237"/>
      <c r="L21" s="237"/>
      <c r="M21" s="237"/>
      <c r="N21" s="237"/>
      <c r="O21" s="237"/>
      <c r="P21" s="237"/>
      <c r="Q21" s="237"/>
      <c r="R21" s="237"/>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row>
    <row r="22" spans="1:49" s="134" customFormat="1" ht="82.8" x14ac:dyDescent="0.3">
      <c r="A22" s="237"/>
      <c r="B22" s="143">
        <v>14</v>
      </c>
      <c r="C22" s="144" t="str">
        <f>Calculation!C24</f>
        <v>Diabetes prevalence 17+ years (%)</v>
      </c>
      <c r="D22" s="236" t="str">
        <f>'Spine Chart (Locality)'!E28</f>
        <v>2017/18</v>
      </c>
      <c r="E22" s="146" t="s">
        <v>403</v>
      </c>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row>
    <row r="23" spans="1:49" s="134" customFormat="1" ht="82.8" x14ac:dyDescent="0.3">
      <c r="A23" s="237"/>
      <c r="B23" s="143">
        <v>15</v>
      </c>
      <c r="C23" s="144" t="str">
        <f>Calculation!C25</f>
        <v>Asthma prevalence (%)</v>
      </c>
      <c r="D23" s="236" t="str">
        <f>'Spine Chart (Locality)'!E29</f>
        <v>2017/18</v>
      </c>
      <c r="E23" s="146" t="s">
        <v>442</v>
      </c>
      <c r="F23" s="237"/>
      <c r="G23" s="237"/>
      <c r="H23" s="237"/>
      <c r="I23" s="237"/>
      <c r="J23" s="237"/>
      <c r="K23" s="237"/>
      <c r="L23" s="237"/>
      <c r="M23" s="237"/>
      <c r="N23" s="237"/>
      <c r="O23" s="237"/>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row>
    <row r="24" spans="1:49" s="134" customFormat="1" ht="220.8" x14ac:dyDescent="0.3">
      <c r="A24" s="237"/>
      <c r="B24" s="143">
        <v>16</v>
      </c>
      <c r="C24" s="144" t="str">
        <f>Calculation!C26</f>
        <v>Emergency admissions for asthma (DSR per 100,000 registered population) (all ages)</v>
      </c>
      <c r="D24" s="236" t="str">
        <f>'Spine Chart (Locality)'!E30</f>
        <v>2015/16-2017/18</v>
      </c>
      <c r="E24" s="238" t="s">
        <v>427</v>
      </c>
      <c r="F24" s="237"/>
      <c r="G24" s="237"/>
      <c r="H24" s="237"/>
      <c r="I24" s="237"/>
      <c r="J24" s="237"/>
      <c r="K24" s="237"/>
      <c r="L24" s="237"/>
      <c r="M24" s="237"/>
      <c r="N24" s="237"/>
      <c r="O24" s="237"/>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row>
    <row r="25" spans="1:49" s="134" customFormat="1" ht="82.8" x14ac:dyDescent="0.3">
      <c r="A25" s="237"/>
      <c r="B25" s="143">
        <v>17</v>
      </c>
      <c r="C25" s="144" t="str">
        <f>Calculation!C27</f>
        <v>COPD prevalence (%)</v>
      </c>
      <c r="D25" s="236" t="str">
        <f>'Spine Chart (Locality)'!E31</f>
        <v>2017/18</v>
      </c>
      <c r="E25" s="146" t="s">
        <v>443</v>
      </c>
      <c r="F25" s="237"/>
      <c r="G25" s="237"/>
      <c r="H25" s="237"/>
      <c r="I25" s="237"/>
      <c r="J25" s="237"/>
      <c r="K25" s="237"/>
      <c r="L25" s="237"/>
      <c r="M25" s="237"/>
      <c r="N25" s="237"/>
      <c r="O25" s="237"/>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37"/>
      <c r="AR25" s="237"/>
      <c r="AS25" s="237"/>
      <c r="AT25" s="237"/>
      <c r="AU25" s="237"/>
      <c r="AV25" s="237"/>
      <c r="AW25" s="237"/>
    </row>
    <row r="26" spans="1:49" s="134" customFormat="1" ht="234.6" x14ac:dyDescent="0.3">
      <c r="A26" s="237"/>
      <c r="B26" s="143">
        <v>18</v>
      </c>
      <c r="C26" s="144" t="str">
        <f>Calculation!C28</f>
        <v>Emergency admissions for COPD (35+ years - DSR per 100,000 registered population)</v>
      </c>
      <c r="D26" s="236" t="str">
        <f>'Spine Chart (Locality)'!E32</f>
        <v>2015/16-2017/18</v>
      </c>
      <c r="E26" s="146" t="s">
        <v>487</v>
      </c>
      <c r="F26" s="237"/>
      <c r="G26" s="237"/>
      <c r="H26" s="237"/>
      <c r="I26" s="237"/>
      <c r="J26" s="237"/>
      <c r="K26" s="237"/>
      <c r="L26" s="237"/>
      <c r="M26" s="237"/>
      <c r="N26" s="237"/>
      <c r="O26" s="237"/>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row>
    <row r="27" spans="1:49" s="134" customFormat="1" ht="234.6" x14ac:dyDescent="0.3">
      <c r="A27" s="237"/>
      <c r="B27" s="143">
        <v>19</v>
      </c>
      <c r="C27" s="144" t="str">
        <f>Calculation!C29</f>
        <v>Premature mortality (under 75 years) from respiratory disease (DSR per 100,000 registered population)</v>
      </c>
      <c r="D27" s="236" t="str">
        <f>'Spine Chart (Locality)'!E33</f>
        <v>2015-17</v>
      </c>
      <c r="E27" s="238" t="s">
        <v>454</v>
      </c>
      <c r="F27" s="237"/>
      <c r="G27" s="237"/>
      <c r="H27" s="237"/>
      <c r="I27" s="237"/>
      <c r="J27" s="237"/>
      <c r="K27" s="237"/>
      <c r="L27" s="237"/>
      <c r="M27" s="237"/>
      <c r="N27" s="237"/>
      <c r="O27" s="237"/>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row>
    <row r="28" spans="1:49" s="134" customFormat="1" ht="69" x14ac:dyDescent="0.3">
      <c r="A28" s="237"/>
      <c r="B28" s="143">
        <v>20</v>
      </c>
      <c r="C28" s="144" t="str">
        <f>Calculation!C30</f>
        <v>Coronary Heart Disease prevalence (%)</v>
      </c>
      <c r="D28" s="236" t="str">
        <f>'Spine Chart (Locality)'!E34</f>
        <v>2017/18</v>
      </c>
      <c r="E28" s="146" t="s">
        <v>444</v>
      </c>
      <c r="F28" s="237"/>
      <c r="G28" s="237"/>
      <c r="H28" s="237"/>
      <c r="I28" s="237"/>
      <c r="J28" s="237"/>
      <c r="K28" s="237"/>
      <c r="L28" s="237"/>
      <c r="M28" s="237"/>
      <c r="N28" s="237"/>
      <c r="O28" s="237"/>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row>
    <row r="29" spans="1:49" s="134" customFormat="1" ht="69" x14ac:dyDescent="0.3">
      <c r="A29" s="237"/>
      <c r="B29" s="143">
        <v>21</v>
      </c>
      <c r="C29" s="144" t="str">
        <f>Calculation!C31</f>
        <v>Hypertension prevalence (%)</v>
      </c>
      <c r="D29" s="236" t="str">
        <f>'Spine Chart (Locality)'!E35</f>
        <v>2017/18</v>
      </c>
      <c r="E29" s="146" t="s">
        <v>392</v>
      </c>
      <c r="F29" s="237"/>
      <c r="G29" s="237"/>
      <c r="H29" s="237"/>
      <c r="I29" s="237"/>
      <c r="J29" s="237"/>
      <c r="K29" s="237"/>
      <c r="L29" s="237"/>
      <c r="M29" s="237"/>
      <c r="N29" s="237"/>
      <c r="O29" s="237"/>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row>
    <row r="30" spans="1:49" s="134" customFormat="1" ht="193.2" x14ac:dyDescent="0.3">
      <c r="A30" s="237"/>
      <c r="B30" s="143">
        <v>22</v>
      </c>
      <c r="C30" s="144" t="str">
        <f>Calculation!C32</f>
        <v>Premature mortality (under 75 years) from circulatory disease (DSR per 100,000 registered population)</v>
      </c>
      <c r="D30" s="236" t="str">
        <f>'Spine Chart (Locality)'!E36</f>
        <v>2015-17</v>
      </c>
      <c r="E30" s="146" t="s">
        <v>459</v>
      </c>
      <c r="F30" s="237"/>
      <c r="G30" s="237"/>
      <c r="H30" s="237"/>
      <c r="I30" s="237"/>
      <c r="J30" s="237"/>
      <c r="K30" s="237"/>
      <c r="L30" s="237"/>
      <c r="M30" s="237"/>
      <c r="N30" s="237"/>
      <c r="O30" s="237"/>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row>
    <row r="31" spans="1:49" s="134" customFormat="1" ht="259.5" customHeight="1" x14ac:dyDescent="0.3">
      <c r="A31" s="237"/>
      <c r="B31" s="143">
        <v>23</v>
      </c>
      <c r="C31" s="144" t="str">
        <f>Calculation!C33</f>
        <v>Cancer incidence* (all cancers) (persons) (DSR per 100,000 resident population)</v>
      </c>
      <c r="D31" s="236" t="str">
        <f>'Spine Chart (Locality)'!E37</f>
        <v>2014-16</v>
      </c>
      <c r="E31" s="146" t="s">
        <v>460</v>
      </c>
      <c r="F31" s="237"/>
      <c r="G31" s="237"/>
      <c r="H31" s="237"/>
      <c r="I31" s="237"/>
      <c r="J31" s="237"/>
      <c r="K31" s="237"/>
      <c r="L31" s="237"/>
      <c r="M31" s="237"/>
      <c r="N31" s="237"/>
      <c r="O31" s="237"/>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row>
    <row r="32" spans="1:49" s="134" customFormat="1" ht="261" customHeight="1" x14ac:dyDescent="0.3">
      <c r="A32" s="237"/>
      <c r="B32" s="143">
        <v>24</v>
      </c>
      <c r="C32" s="144" t="str">
        <f>Calculation!C34</f>
        <v>Cancer incidence* (all cancers) (males) (DSR per 100,000 resident population)</v>
      </c>
      <c r="D32" s="236" t="str">
        <f>'Spine Chart (Locality)'!E38</f>
        <v>2014-16</v>
      </c>
      <c r="E32" s="146" t="s">
        <v>461</v>
      </c>
      <c r="F32" s="237"/>
      <c r="G32" s="237"/>
      <c r="H32" s="237"/>
      <c r="I32" s="237"/>
      <c r="J32" s="237"/>
      <c r="K32" s="237"/>
      <c r="L32" s="237"/>
      <c r="M32" s="237"/>
      <c r="N32" s="237"/>
      <c r="O32" s="237"/>
      <c r="P32" s="237"/>
      <c r="Q32" s="237"/>
      <c r="R32" s="237"/>
      <c r="S32" s="237"/>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row>
    <row r="33" spans="1:49" s="134" customFormat="1" ht="248.4" x14ac:dyDescent="0.3">
      <c r="A33" s="237"/>
      <c r="B33" s="143">
        <v>25</v>
      </c>
      <c r="C33" s="144" t="str">
        <f>Calculation!C35</f>
        <v>Cancer incidence* (all cancers) (females) (DSR per 100,000 resident population)</v>
      </c>
      <c r="D33" s="236" t="str">
        <f>'Spine Chart (Locality)'!E39</f>
        <v>2014-16</v>
      </c>
      <c r="E33" s="146" t="s">
        <v>462</v>
      </c>
      <c r="F33" s="237"/>
      <c r="G33" s="237"/>
      <c r="H33" s="237"/>
      <c r="I33" s="237"/>
      <c r="J33" s="237"/>
      <c r="K33" s="237"/>
      <c r="L33" s="237"/>
      <c r="M33" s="237"/>
      <c r="N33" s="237"/>
      <c r="O33" s="237"/>
      <c r="P33" s="237"/>
      <c r="Q33" s="237"/>
      <c r="R33" s="237"/>
      <c r="S33" s="237"/>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row>
    <row r="34" spans="1:49" s="134" customFormat="1" ht="207" x14ac:dyDescent="0.3">
      <c r="A34" s="237"/>
      <c r="B34" s="143">
        <v>26</v>
      </c>
      <c r="C34" s="144" t="str">
        <f>Calculation!C36</f>
        <v>Colorectal cancer incidence* (persons) (DSR per 100,000 resident population)</v>
      </c>
      <c r="D34" s="236" t="str">
        <f>'Spine Chart (Locality)'!E40</f>
        <v>2014-16</v>
      </c>
      <c r="E34" s="146" t="s">
        <v>463</v>
      </c>
      <c r="F34" s="237"/>
      <c r="G34" s="237"/>
      <c r="H34" s="237"/>
      <c r="I34" s="237"/>
      <c r="J34" s="237"/>
      <c r="K34" s="237"/>
      <c r="L34" s="237"/>
      <c r="M34" s="237"/>
      <c r="N34" s="237"/>
      <c r="O34" s="237"/>
      <c r="P34" s="237"/>
      <c r="Q34" s="237"/>
      <c r="R34" s="237"/>
      <c r="S34" s="237"/>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row>
    <row r="35" spans="1:49" s="134" customFormat="1" ht="207" x14ac:dyDescent="0.3">
      <c r="A35" s="237"/>
      <c r="B35" s="143">
        <v>27</v>
      </c>
      <c r="C35" s="144" t="str">
        <f>Calculation!C37</f>
        <v>Lung cancer incidence* (persons) (DSR per 100,000 resident population)</v>
      </c>
      <c r="D35" s="236" t="str">
        <f>'Spine Chart (Locality)'!E41</f>
        <v>2014-16</v>
      </c>
      <c r="E35" s="146" t="s">
        <v>464</v>
      </c>
      <c r="F35" s="237"/>
      <c r="G35" s="237"/>
      <c r="H35" s="237"/>
      <c r="I35" s="237"/>
      <c r="J35" s="237"/>
      <c r="K35" s="237"/>
      <c r="L35" s="237"/>
      <c r="M35" s="237"/>
      <c r="N35" s="237"/>
      <c r="O35" s="237"/>
      <c r="P35" s="237"/>
      <c r="Q35" s="237"/>
      <c r="R35" s="237"/>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row>
    <row r="36" spans="1:49" s="134" customFormat="1" ht="207" x14ac:dyDescent="0.3">
      <c r="A36" s="237"/>
      <c r="B36" s="143">
        <v>28</v>
      </c>
      <c r="C36" s="144" t="str">
        <f>Calculation!C38</f>
        <v>Female breast cancer incidence* (DSR per 100,000 resident population)</v>
      </c>
      <c r="D36" s="236" t="str">
        <f>'Spine Chart (Locality)'!E42</f>
        <v>2014-16</v>
      </c>
      <c r="E36" s="146" t="s">
        <v>465</v>
      </c>
      <c r="F36" s="237"/>
      <c r="G36" s="237"/>
      <c r="H36" s="237"/>
      <c r="I36" s="237"/>
      <c r="J36" s="237"/>
      <c r="K36" s="237"/>
      <c r="L36" s="237"/>
      <c r="M36" s="237"/>
      <c r="N36" s="237"/>
      <c r="O36" s="237"/>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row>
    <row r="37" spans="1:49" s="134" customFormat="1" ht="179.4" x14ac:dyDescent="0.3">
      <c r="A37" s="237"/>
      <c r="B37" s="143">
        <v>29</v>
      </c>
      <c r="C37" s="144" t="str">
        <f>Calculation!C39</f>
        <v>Premature mortality from all cancers (under 75 years) (DSR per 100,000 registered population)</v>
      </c>
      <c r="D37" s="236" t="str">
        <f>'Spine Chart (Locality)'!E43</f>
        <v>2015-17</v>
      </c>
      <c r="E37" s="146" t="s">
        <v>466</v>
      </c>
      <c r="F37" s="237"/>
      <c r="G37" s="237"/>
      <c r="H37" s="237"/>
      <c r="I37" s="237"/>
      <c r="J37" s="237"/>
      <c r="K37" s="237"/>
      <c r="L37" s="237"/>
      <c r="M37" s="237"/>
      <c r="N37" s="237"/>
      <c r="O37" s="237"/>
      <c r="P37" s="237"/>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row>
    <row r="38" spans="1:49" s="134" customFormat="1" ht="82.8" x14ac:dyDescent="0.3">
      <c r="A38" s="237"/>
      <c r="B38" s="143">
        <v>30</v>
      </c>
      <c r="C38" s="144" t="str">
        <f>Calculation!C40</f>
        <v>Osteoporosis prevalence 50+ years (%)</v>
      </c>
      <c r="D38" s="236" t="str">
        <f>'Spine Chart (Locality)'!E44</f>
        <v>2017/18</v>
      </c>
      <c r="E38" s="146" t="s">
        <v>445</v>
      </c>
      <c r="F38" s="237"/>
      <c r="G38" s="237"/>
      <c r="H38" s="237"/>
      <c r="I38" s="237"/>
      <c r="J38" s="237"/>
      <c r="K38" s="237"/>
      <c r="L38" s="237"/>
      <c r="M38" s="237"/>
      <c r="N38" s="237"/>
      <c r="O38" s="237"/>
      <c r="P38" s="237"/>
      <c r="Q38" s="237"/>
      <c r="R38" s="237"/>
      <c r="S38" s="237"/>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row>
    <row r="39" spans="1:49" s="134" customFormat="1" ht="82.8" x14ac:dyDescent="0.3">
      <c r="A39" s="237"/>
      <c r="B39" s="143">
        <v>31</v>
      </c>
      <c r="C39" s="144" t="str">
        <f>Calculation!C41</f>
        <v>Rheumatoid arthritus prevalence 16+ years (%)</v>
      </c>
      <c r="D39" s="236" t="str">
        <f>'Spine Chart (Locality)'!E45</f>
        <v>2017/18</v>
      </c>
      <c r="E39" s="146" t="s">
        <v>446</v>
      </c>
      <c r="F39" s="237"/>
      <c r="G39" s="237"/>
      <c r="H39" s="237"/>
      <c r="I39" s="237"/>
      <c r="J39" s="237"/>
      <c r="K39" s="237"/>
      <c r="L39" s="237"/>
      <c r="M39" s="237"/>
      <c r="N39" s="237"/>
      <c r="O39" s="237"/>
      <c r="P39" s="237"/>
      <c r="Q39" s="237"/>
      <c r="R39" s="237"/>
      <c r="S39" s="237"/>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row>
    <row r="40" spans="1:49" s="134" customFormat="1" ht="220.5" customHeight="1" x14ac:dyDescent="0.3">
      <c r="A40" s="237"/>
      <c r="B40" s="143">
        <v>32</v>
      </c>
      <c r="C40" s="144" t="str">
        <f>Calculation!C42</f>
        <v>Emergency hospital admissions (all age) (DSR per 1,000 registered population)</v>
      </c>
      <c r="D40" s="236" t="str">
        <f>'Spine Chart (Locality)'!E46</f>
        <v>2015/16-2017/18</v>
      </c>
      <c r="E40" s="147" t="s">
        <v>428</v>
      </c>
      <c r="F40" s="237"/>
      <c r="G40" s="237"/>
      <c r="H40" s="237"/>
      <c r="I40" s="237"/>
      <c r="J40" s="237"/>
      <c r="K40" s="237"/>
      <c r="L40" s="237"/>
      <c r="M40" s="237"/>
      <c r="N40" s="237"/>
      <c r="O40" s="237"/>
      <c r="P40" s="237"/>
      <c r="Q40" s="237"/>
      <c r="R40" s="237"/>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row>
    <row r="41" spans="1:49" s="134" customFormat="1" ht="82.8" x14ac:dyDescent="0.3">
      <c r="A41" s="237"/>
      <c r="B41" s="143">
        <v>33</v>
      </c>
      <c r="C41" s="144" t="str">
        <f>Calculation!C43</f>
        <v>Depression prevalence 18+ years (%)</v>
      </c>
      <c r="D41" s="236" t="str">
        <f>'Spine Chart (Locality)'!E47</f>
        <v>2017/18</v>
      </c>
      <c r="E41" s="146" t="s">
        <v>447</v>
      </c>
      <c r="F41" s="237"/>
      <c r="G41" s="237"/>
      <c r="H41" s="237"/>
      <c r="I41" s="237"/>
      <c r="J41" s="237"/>
      <c r="K41" s="237"/>
      <c r="L41" s="237"/>
      <c r="M41" s="237"/>
      <c r="N41" s="237"/>
      <c r="O41" s="237"/>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row>
    <row r="42" spans="1:49" s="134" customFormat="1" ht="82.8" x14ac:dyDescent="0.3">
      <c r="A42" s="237"/>
      <c r="B42" s="143">
        <v>34</v>
      </c>
      <c r="C42" s="144" t="str">
        <f>Calculation!C44</f>
        <v>Mental health prevalence (%) (schizophrenia, bipolar affective disorder and other psychoses)</v>
      </c>
      <c r="D42" s="236" t="str">
        <f>'Spine Chart (Locality)'!E48</f>
        <v>2017/18</v>
      </c>
      <c r="E42" s="146" t="s">
        <v>407</v>
      </c>
      <c r="F42" s="311"/>
      <c r="G42" s="237"/>
      <c r="H42" s="237"/>
      <c r="I42" s="237"/>
      <c r="J42" s="237"/>
      <c r="K42" s="237"/>
      <c r="L42" s="237"/>
      <c r="M42" s="237"/>
      <c r="N42" s="237"/>
      <c r="O42" s="237"/>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row>
    <row r="43" spans="1:49" s="134" customFormat="1" ht="76.5" customHeight="1" x14ac:dyDescent="0.3">
      <c r="A43" s="237"/>
      <c r="B43" s="143">
        <v>35</v>
      </c>
      <c r="C43" s="144" t="str">
        <f>Calculation!C45</f>
        <v>Learning disability prevalence (%)</v>
      </c>
      <c r="D43" s="236" t="str">
        <f>'Spine Chart (Locality)'!E49</f>
        <v>2017/18</v>
      </c>
      <c r="E43" s="146" t="s">
        <v>404</v>
      </c>
      <c r="F43" s="237"/>
      <c r="G43" s="237"/>
      <c r="H43" s="237"/>
      <c r="I43" s="237"/>
      <c r="J43" s="237"/>
      <c r="K43" s="237"/>
      <c r="L43" s="237"/>
      <c r="M43" s="237"/>
      <c r="N43" s="237"/>
      <c r="O43" s="237"/>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row>
    <row r="44" spans="1:49" s="134" customFormat="1" ht="81" customHeight="1" x14ac:dyDescent="0.3">
      <c r="A44" s="237"/>
      <c r="B44" s="143">
        <v>36</v>
      </c>
      <c r="C44" s="144" t="str">
        <f>Calculation!C46</f>
        <v>Dementia prevalence (all ages) (%)</v>
      </c>
      <c r="D44" s="236" t="str">
        <f>'Spine Chart (Locality)'!E50</f>
        <v>2017/18</v>
      </c>
      <c r="E44" s="146" t="s">
        <v>405</v>
      </c>
      <c r="F44" s="237"/>
      <c r="G44" s="237"/>
      <c r="H44" s="237"/>
      <c r="I44" s="237"/>
      <c r="J44" s="237"/>
      <c r="K44" s="237"/>
      <c r="L44" s="237"/>
      <c r="M44" s="237"/>
      <c r="N44" s="237"/>
      <c r="O44" s="237"/>
      <c r="P44" s="237"/>
      <c r="Q44" s="237"/>
      <c r="R44" s="237"/>
      <c r="S44" s="237"/>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row>
    <row r="45" spans="1:49" s="134" customFormat="1" ht="234.6" x14ac:dyDescent="0.3">
      <c r="A45" s="237"/>
      <c r="B45" s="143">
        <v>37</v>
      </c>
      <c r="C45" s="144" t="str">
        <f>Calculation!C47</f>
        <v>Emergency admissions for intentional self-harm (all ages) (DSR per 100,000 registered population)</v>
      </c>
      <c r="D45" s="236" t="str">
        <f>'Spine Chart (Locality)'!E51</f>
        <v>2015/16-2017/18</v>
      </c>
      <c r="E45" s="147" t="s">
        <v>429</v>
      </c>
      <c r="F45" s="237"/>
      <c r="G45" s="237"/>
      <c r="H45" s="237"/>
      <c r="I45" s="237"/>
      <c r="J45" s="237"/>
      <c r="K45" s="237"/>
      <c r="L45" s="237"/>
      <c r="M45" s="237"/>
      <c r="N45" s="237"/>
      <c r="O45" s="237"/>
      <c r="P45" s="237"/>
      <c r="Q45" s="237"/>
      <c r="R45" s="237"/>
      <c r="S45" s="237"/>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row>
    <row r="46" spans="1:49" s="134" customFormat="1" ht="328.5" customHeight="1" x14ac:dyDescent="0.3">
      <c r="A46" s="237"/>
      <c r="B46" s="143">
        <v>38</v>
      </c>
      <c r="C46" s="144" t="str">
        <f>Calculation!C48</f>
        <v>Drug related mental health and behavioural admissions (DSR per 100,000 registered population)</v>
      </c>
      <c r="D46" s="236" t="str">
        <f>'Spine Chart (Locality)'!E52</f>
        <v>2015/16-2017/18</v>
      </c>
      <c r="E46" s="147" t="s">
        <v>467</v>
      </c>
      <c r="F46" s="237"/>
      <c r="G46" s="237"/>
      <c r="H46" s="237"/>
      <c r="I46" s="237"/>
      <c r="J46" s="237"/>
      <c r="K46" s="237"/>
      <c r="L46" s="237"/>
      <c r="M46" s="237"/>
      <c r="N46" s="237"/>
      <c r="O46" s="237"/>
      <c r="P46" s="237"/>
      <c r="Q46" s="237"/>
      <c r="R46" s="237"/>
      <c r="S46" s="237"/>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row>
    <row r="47" spans="1:49" s="134" customFormat="1" ht="193.2" x14ac:dyDescent="0.3">
      <c r="A47" s="237"/>
      <c r="B47" s="143">
        <v>39</v>
      </c>
      <c r="C47" s="144" t="str">
        <f>Calculation!C49</f>
        <v>Mortality from suicide and injury undetermined (DSR per 100,000 registered population)</v>
      </c>
      <c r="D47" s="236" t="str">
        <f>'Spine Chart (Locality)'!E53</f>
        <v>2015-17</v>
      </c>
      <c r="E47" s="146" t="s">
        <v>448</v>
      </c>
      <c r="F47" s="237"/>
      <c r="G47" s="237"/>
      <c r="H47" s="237"/>
      <c r="I47" s="237"/>
      <c r="J47" s="237"/>
      <c r="K47" s="237"/>
      <c r="L47" s="237"/>
      <c r="M47" s="237"/>
      <c r="N47" s="237"/>
      <c r="O47" s="237"/>
      <c r="P47" s="237"/>
      <c r="Q47" s="237"/>
      <c r="R47" s="237"/>
      <c r="S47" s="237"/>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row>
    <row r="48" spans="1:49" ht="114.75" customHeight="1" x14ac:dyDescent="0.2">
      <c r="B48" s="143">
        <v>40</v>
      </c>
      <c r="C48" s="144" t="str">
        <f>Calculation!C50</f>
        <v>Estimated smoking prevalence 15+ years (%)</v>
      </c>
      <c r="D48" s="236" t="str">
        <f>'Spine Chart (Locality)'!E54</f>
        <v>2017/18</v>
      </c>
      <c r="E48" s="146" t="s">
        <v>408</v>
      </c>
    </row>
    <row r="49" spans="2:5" ht="82.8" x14ac:dyDescent="0.2">
      <c r="B49" s="143">
        <v>41</v>
      </c>
      <c r="C49" s="144" t="str">
        <f>Calculation!C51</f>
        <v>Obesity prevalence 18+ years (%)</v>
      </c>
      <c r="D49" s="236" t="str">
        <f>'Spine Chart (Locality)'!E55</f>
        <v>2017/18</v>
      </c>
      <c r="E49" s="146" t="s">
        <v>449</v>
      </c>
    </row>
    <row r="50" spans="2:5" ht="409.5" customHeight="1" x14ac:dyDescent="0.2">
      <c r="B50" s="143">
        <v>42</v>
      </c>
      <c r="C50" s="144" t="str">
        <f>Calculation!C52</f>
        <v>Alcohol-specific hospital admissions (DSR per 100,000 registered population)</v>
      </c>
      <c r="D50" s="236" t="str">
        <f>'Spine Chart (Locality)'!E56</f>
        <v>2015/16-2017/18</v>
      </c>
      <c r="E50" s="238" t="s">
        <v>468</v>
      </c>
    </row>
    <row r="51" spans="2:5" ht="272.25" customHeight="1" x14ac:dyDescent="0.2">
      <c r="B51" s="143">
        <v>43</v>
      </c>
      <c r="C51" s="144" t="str">
        <f>Calculation!C53</f>
        <v>Admissions for poisoning by illicit drugs (DSR per 100,000 registered population)</v>
      </c>
      <c r="D51" s="236" t="str">
        <f>'Spine Chart (Locality)'!E57</f>
        <v>2015/16-2017/18</v>
      </c>
      <c r="E51" s="146" t="s">
        <v>469</v>
      </c>
    </row>
    <row r="52" spans="2:5" ht="252.75" customHeight="1" x14ac:dyDescent="0.2">
      <c r="B52" s="143">
        <v>44</v>
      </c>
      <c r="C52" s="144" t="str">
        <f>Calculation!C54</f>
        <v>Mothers breastfeeding (%)*</v>
      </c>
      <c r="D52" s="236" t="str">
        <f>'Spine Chart (Locality)'!E58</f>
        <v>2016-2018</v>
      </c>
      <c r="E52" s="315" t="s">
        <v>470</v>
      </c>
    </row>
    <row r="53" spans="2:5" ht="255.75" customHeight="1" x14ac:dyDescent="0.2">
      <c r="B53" s="143">
        <v>45</v>
      </c>
      <c r="C53" s="144" t="str">
        <f>Calculation!C55</f>
        <v>Mothers smoking at time of discharge (%)*</v>
      </c>
      <c r="D53" s="236" t="str">
        <f>'Spine Chart (Locality)'!E59</f>
        <v>2016-2018</v>
      </c>
      <c r="E53" s="146" t="s">
        <v>471</v>
      </c>
    </row>
    <row r="54" spans="2:5" ht="234.6" x14ac:dyDescent="0.2">
      <c r="B54" s="143">
        <v>46</v>
      </c>
      <c r="C54" s="144" t="str">
        <f>Calculation!C56</f>
        <v>Low-birth weight of full term babies (%)*</v>
      </c>
      <c r="D54" s="236" t="str">
        <f>'Spine Chart (Locality)'!E60</f>
        <v>2016-2018</v>
      </c>
      <c r="E54" s="146" t="s">
        <v>472</v>
      </c>
    </row>
    <row r="55" spans="2:5" ht="263.25" customHeight="1" x14ac:dyDescent="0.2">
      <c r="B55" s="143">
        <v>47</v>
      </c>
      <c r="C55" s="144" t="str">
        <f>Calculation!C57</f>
        <v>Teenage maternities (U20 years) (%)*</v>
      </c>
      <c r="D55" s="236" t="str">
        <f>'Spine Chart (Locality)'!E61</f>
        <v>2016-2018</v>
      </c>
      <c r="E55" s="146" t="s">
        <v>473</v>
      </c>
    </row>
    <row r="56" spans="2:5" ht="217.5" customHeight="1" x14ac:dyDescent="0.2">
      <c r="B56" s="143">
        <v>48</v>
      </c>
      <c r="C56" s="144" t="str">
        <f>Calculation!C58</f>
        <v>0-4 years emergency admissions (crude rate per 1,000 registered population)</v>
      </c>
      <c r="D56" s="236" t="str">
        <f>'Spine Chart (Locality)'!E62</f>
        <v>2015/16-2017/18</v>
      </c>
      <c r="E56" s="146" t="s">
        <v>430</v>
      </c>
    </row>
    <row r="57" spans="2:5" ht="250.5" customHeight="1" x14ac:dyDescent="0.2">
      <c r="B57" s="143">
        <v>49</v>
      </c>
      <c r="C57" s="144" t="str">
        <f>Calculation!C59</f>
        <v>Admissions caused by unintentional and deliberate injuries (0-14 years) (crude rate per 10,000 registered population)</v>
      </c>
      <c r="D57" s="236" t="str">
        <f>'Spine Chart (Locality)'!E63</f>
        <v>2015/16-2017/18</v>
      </c>
      <c r="E57" s="238" t="s">
        <v>431</v>
      </c>
    </row>
    <row r="58" spans="2:5" ht="248.4" x14ac:dyDescent="0.2">
      <c r="B58" s="143">
        <v>50</v>
      </c>
      <c r="C58" s="144" t="str">
        <f>Calculation!C60</f>
        <v>Admissions caused by unintentional and deliberate injuries (15-24 years) (crude rate per 10,000 registered population)</v>
      </c>
      <c r="D58" s="236" t="str">
        <f>'Spine Chart (Locality)'!E64</f>
        <v>2015/16-2017/18</v>
      </c>
      <c r="E58" s="238" t="s">
        <v>432</v>
      </c>
    </row>
    <row r="59" spans="2:5" ht="233.25" customHeight="1" x14ac:dyDescent="0.2">
      <c r="B59" s="143">
        <v>51</v>
      </c>
      <c r="C59" s="144" t="str">
        <f>Calculation!C61</f>
        <v>Hospital admissions as a result of self harm (10-24 years) (crude rate per 10,000 registered population)</v>
      </c>
      <c r="D59" s="236" t="str">
        <f>'Spine Chart (Locality)'!E65</f>
        <v>2015/16-2017/18</v>
      </c>
      <c r="E59" s="146" t="s">
        <v>433</v>
      </c>
    </row>
    <row r="60" spans="2:5" ht="189" customHeight="1" x14ac:dyDescent="0.2">
      <c r="B60" s="143">
        <v>52</v>
      </c>
      <c r="C60" s="144" t="str">
        <f>Calculation!C62</f>
        <v>Prevalence of obesity among Year R children (%)*</v>
      </c>
      <c r="D60" s="236" t="str">
        <f>'Spine Chart (Locality)'!E66</f>
        <v>2015/16-2017/18</v>
      </c>
      <c r="E60" s="146" t="s">
        <v>474</v>
      </c>
    </row>
    <row r="61" spans="2:5" ht="193.2" x14ac:dyDescent="0.2">
      <c r="B61" s="143">
        <v>53</v>
      </c>
      <c r="C61" s="144" t="str">
        <f>Calculation!C63</f>
        <v>Prevalence of obesity among Year 6 children (%)*</v>
      </c>
      <c r="D61" s="236" t="str">
        <f>'Spine Chart (Locality)'!E67</f>
        <v>2015/16-2017/18</v>
      </c>
      <c r="E61" s="146" t="s">
        <v>475</v>
      </c>
    </row>
    <row r="62" spans="2:5" ht="223.5" customHeight="1" x14ac:dyDescent="0.2">
      <c r="B62" s="143">
        <v>54</v>
      </c>
      <c r="C62" s="144" t="str">
        <f>Calculation!C64</f>
        <v>Looked after children (crude rate per 10,000 children aged 0-17 years)*</v>
      </c>
      <c r="D62" s="236" t="str">
        <f>'Spine Chart (Locality)'!E68</f>
        <v>2019</v>
      </c>
      <c r="E62" s="146" t="s">
        <v>476</v>
      </c>
    </row>
    <row r="63" spans="2:5" ht="216.75" customHeight="1" x14ac:dyDescent="0.2">
      <c r="B63" s="143">
        <v>55</v>
      </c>
      <c r="C63" s="144" t="str">
        <f>Calculation!C65</f>
        <v>Child poverty (%)*</v>
      </c>
      <c r="D63" s="236" t="str">
        <f>'Spine Chart (Locality)'!E69</f>
        <v>2015</v>
      </c>
      <c r="E63" s="146" t="s">
        <v>484</v>
      </c>
    </row>
    <row r="64" spans="2:5" ht="166.5" customHeight="1" x14ac:dyDescent="0.2">
      <c r="B64" s="143">
        <v>56</v>
      </c>
      <c r="C64" s="144" t="str">
        <f>Calculation!C66</f>
        <v>Flu vaccination coverage 65+ years (%)</v>
      </c>
      <c r="D64" s="236" t="str">
        <f>'Spine Chart (Locality)'!E70</f>
        <v>2018-19</v>
      </c>
      <c r="E64" s="146" t="s">
        <v>477</v>
      </c>
    </row>
    <row r="65" spans="1:5" ht="254.25" customHeight="1" x14ac:dyDescent="0.2">
      <c r="B65" s="143">
        <v>57</v>
      </c>
      <c r="C65" s="144" t="str">
        <f>Calculation!C67</f>
        <v>Emergency admissions due to falls in people aged 65 and over (DSR per 100,000 registered population)</v>
      </c>
      <c r="D65" s="236" t="str">
        <f>'Spine Chart (Locality)'!E71</f>
        <v>2015/16-2017/18</v>
      </c>
      <c r="E65" s="146" t="s">
        <v>434</v>
      </c>
    </row>
    <row r="66" spans="1:5" ht="234.6" x14ac:dyDescent="0.2">
      <c r="B66" s="143">
        <v>58</v>
      </c>
      <c r="C66" s="144" t="str">
        <f>Calculation!C68</f>
        <v>Emergency admissions due to hip fractures in those aged 65 and over (DSR per 100,000 registered population)</v>
      </c>
      <c r="D66" s="236" t="str">
        <f>'Spine Chart (Locality)'!E72</f>
        <v>2015/16-2017/18</v>
      </c>
      <c r="E66" s="146" t="s">
        <v>435</v>
      </c>
    </row>
    <row r="67" spans="1:5" ht="289.8" x14ac:dyDescent="0.2">
      <c r="B67" s="143">
        <v>59</v>
      </c>
      <c r="C67" s="144" t="str">
        <f>Calculation!C69</f>
        <v>Social care support 65 years and over (crude rate per 1,000 resident population)*</v>
      </c>
      <c r="D67" s="236" t="str">
        <f>'Spine Chart (Locality)'!E73</f>
        <v>2018</v>
      </c>
      <c r="E67" s="146" t="s">
        <v>478</v>
      </c>
    </row>
    <row r="68" spans="1:5" ht="251.25" customHeight="1" x14ac:dyDescent="0.2">
      <c r="B68" s="143">
        <v>60</v>
      </c>
      <c r="C68" s="144" t="str">
        <f>Calculation!C70</f>
        <v>Excess Winter Deaths (%) all ages</v>
      </c>
      <c r="D68" s="236" t="str">
        <f>'Spine Chart (Locality)'!E74</f>
        <v>Aug 2014 - July 2017</v>
      </c>
      <c r="E68" s="146" t="s">
        <v>479</v>
      </c>
    </row>
    <row r="69" spans="1:5" ht="215.25" customHeight="1" x14ac:dyDescent="0.2">
      <c r="B69" s="143">
        <v>61</v>
      </c>
      <c r="C69" s="144" t="str">
        <f>Calculation!C71</f>
        <v>Deaths occuring at home (%) all ages</v>
      </c>
      <c r="D69" s="236" t="str">
        <f>'Spine Chart (Locality)'!E75</f>
        <v>2015-17</v>
      </c>
      <c r="E69" s="146" t="s">
        <v>450</v>
      </c>
    </row>
    <row r="70" spans="1:5" ht="207" x14ac:dyDescent="0.2">
      <c r="B70" s="143">
        <v>62</v>
      </c>
      <c r="C70" s="144" t="str">
        <f>Calculation!C72</f>
        <v>Unemployment (claimant count) (%)*</v>
      </c>
      <c r="D70" s="236" t="str">
        <f>'Spine Chart (Locality)'!E76</f>
        <v>2019</v>
      </c>
      <c r="E70" s="146" t="s">
        <v>483</v>
      </c>
    </row>
    <row r="71" spans="1:5" ht="234.6" x14ac:dyDescent="0.2">
      <c r="B71" s="143">
        <v>63</v>
      </c>
      <c r="C71" s="316" t="str">
        <f>Calculation!C73</f>
        <v>Fuel poverty (%)*</v>
      </c>
      <c r="D71" s="317" t="str">
        <f>'Spine Chart (Locality)'!E77</f>
        <v>2017</v>
      </c>
      <c r="E71" s="318" t="s">
        <v>480</v>
      </c>
    </row>
    <row r="72" spans="1:5" ht="193.2" x14ac:dyDescent="0.2">
      <c r="B72" s="143">
        <v>64</v>
      </c>
      <c r="C72" s="144" t="str">
        <f>Calculation!C74</f>
        <v>Lone parent households (%)*</v>
      </c>
      <c r="D72" s="319" t="str">
        <f>'Spine Chart (Locality)'!E78</f>
        <v>2011</v>
      </c>
      <c r="E72" s="146" t="s">
        <v>481</v>
      </c>
    </row>
    <row r="73" spans="1:5" ht="207.6" thickBot="1" x14ac:dyDescent="0.25">
      <c r="A73" s="309"/>
      <c r="B73" s="310">
        <v>65</v>
      </c>
      <c r="C73" s="332" t="str">
        <f>Calculation!C75</f>
        <v>Police recorded crime (crude rate per 1,000 resident population)*</v>
      </c>
      <c r="D73" s="332" t="str">
        <f>'Spine Chart (Locality)'!E79</f>
        <v>2018/19</v>
      </c>
      <c r="E73" s="333" t="s">
        <v>482</v>
      </c>
    </row>
  </sheetData>
  <sheetProtection algorithmName="SHA-512" hashValue="aPtgmL81fnK90nuHtXtKRNk8xLSH1qKYEnUliYWbbiCq62/QhmU9QHo47Oe4ZC1w5D9peLIfrIY9S08gyFsBIg==" saltValue="VWe8oQnHAA/IIzkKnJLvqw==" spinCount="100000" sheet="1" objects="1" scenarios="1"/>
  <pageMargins left="0.25" right="0.25" top="0.75" bottom="0.75" header="0.3" footer="0.3"/>
  <pageSetup paperSize="8" scale="83" fitToHeight="0"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8">
    <tabColor theme="6" tint="0.39997558519241921"/>
  </sheetPr>
  <dimension ref="A1:AK55"/>
  <sheetViews>
    <sheetView workbookViewId="0">
      <selection activeCell="A46" sqref="A46:XFD46"/>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8" width="7.33203125" style="21" customWidth="1"/>
    <col min="9" max="9" width="6.886718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5.554687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137</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18</v>
      </c>
      <c r="F6" s="128" t="s">
        <v>79</v>
      </c>
      <c r="G6" s="129">
        <v>84.839650145772595</v>
      </c>
      <c r="H6" s="129">
        <v>81.962363816882814</v>
      </c>
      <c r="I6" s="129">
        <v>87.328919548016145</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2</v>
      </c>
      <c r="N6" s="61">
        <f>MIN($G$6:$G$32)</f>
        <v>66.182749786507259</v>
      </c>
      <c r="O6" s="61">
        <f>VLOOKUP(7,$E$5:$G$39,3,FALSE)</f>
        <v>70.886850152905197</v>
      </c>
      <c r="P6" s="129">
        <f>$G$32</f>
        <v>76.56903765690376</v>
      </c>
      <c r="Q6" s="129">
        <f>$H$32</f>
        <v>75.674801720280087</v>
      </c>
      <c r="R6" s="129">
        <f>$I$32</f>
        <v>77.440200078637517</v>
      </c>
      <c r="S6" s="61">
        <f>VLOOKUP(20,$E$5:$G$39,3,FALSE)</f>
        <v>87.261146496815286</v>
      </c>
      <c r="T6" s="61">
        <f t="shared" ref="T6:T31" si="1">MAX($G$6:$G$31)</f>
        <v>91.28289473684211</v>
      </c>
      <c r="U6" s="61">
        <f>VLOOKUP(C6,$C$43:$I$46,5,FALSE)</f>
        <v>86.838966202783311</v>
      </c>
      <c r="V6" s="61"/>
      <c r="Y6" s="159" t="s">
        <v>33</v>
      </c>
      <c r="Z6" s="159" t="s">
        <v>58</v>
      </c>
      <c r="AA6" s="159" t="s">
        <v>163</v>
      </c>
      <c r="AB6" s="159">
        <f>RANK(AH6,$AH$6:$AH$13,1)</f>
        <v>4</v>
      </c>
      <c r="AC6" s="164">
        <f>MIN($AH$6:$AH$13)</f>
        <v>67.621776504297983</v>
      </c>
      <c r="AD6" s="164">
        <f>MAX($AH$6:$AH$13)</f>
        <v>72.822299651567945</v>
      </c>
      <c r="AE6" s="159"/>
      <c r="AF6" s="159">
        <f>VLOOKUP($Y6,$A$6:$I$31,5,FALSE)</f>
        <v>5</v>
      </c>
      <c r="AG6" s="160" t="str">
        <f>VLOOKUP($Y6,$A$6:$I$31,6,FALSE)</f>
        <v>N/A</v>
      </c>
      <c r="AH6" s="161">
        <f>VLOOKUP($Y6,$A$6:$I$31,7,FALSE)</f>
        <v>69.659300184162063</v>
      </c>
      <c r="AI6" s="161">
        <f>VLOOKUP($Y6,$A$6:$I$31,8,FALSE)</f>
        <v>67.692592526426466</v>
      </c>
      <c r="AJ6" s="161">
        <f>VLOOKUP($Y6,$A$6:$I$31,9,FALSE)</f>
        <v>71.556590659138337</v>
      </c>
      <c r="AK6" s="160">
        <f>VLOOKUP($Y6,$A$6:$M$31,13,FALSE)</f>
        <v>1</v>
      </c>
    </row>
    <row r="7" spans="1:37" x14ac:dyDescent="0.2">
      <c r="A7" s="62" t="s">
        <v>30</v>
      </c>
      <c r="B7" s="62" t="s">
        <v>56</v>
      </c>
      <c r="C7" s="62" t="s">
        <v>200</v>
      </c>
      <c r="D7" s="62"/>
      <c r="E7" s="62">
        <f t="shared" ref="E7:E31" si="2">RANK(G7,$G$6:$G$31,1)</f>
        <v>6</v>
      </c>
      <c r="F7" s="128" t="s">
        <v>79</v>
      </c>
      <c r="G7" s="129">
        <v>70.114942528735625</v>
      </c>
      <c r="H7" s="129">
        <v>67.13903223758166</v>
      </c>
      <c r="I7" s="129">
        <v>72.930013125275238</v>
      </c>
      <c r="J7" s="129"/>
      <c r="K7" s="129"/>
      <c r="L7" s="129"/>
      <c r="M7" s="60">
        <f t="shared" si="0"/>
        <v>1</v>
      </c>
      <c r="N7" s="61">
        <f t="shared" ref="N7:N31" si="3">MIN($G$6:$G$32)</f>
        <v>66.182749786507259</v>
      </c>
      <c r="O7" s="61">
        <f>VLOOKUP(7,$E$5:$G$39,3,FALSE)</f>
        <v>70.886850152905197</v>
      </c>
      <c r="P7" s="129">
        <f t="shared" ref="P7:P31" si="4">$G$32</f>
        <v>76.56903765690376</v>
      </c>
      <c r="Q7" s="129">
        <f t="shared" ref="Q7:Q31" si="5">$H$32</f>
        <v>75.674801720280087</v>
      </c>
      <c r="R7" s="129">
        <f t="shared" ref="R7:R31" si="6">$I$32</f>
        <v>77.440200078637517</v>
      </c>
      <c r="S7" s="61">
        <f t="shared" ref="S7:S31" si="7">VLOOKUP(20,$E$5:$G$39,3,FALSE)</f>
        <v>87.261146496815286</v>
      </c>
      <c r="T7" s="61">
        <f t="shared" si="1"/>
        <v>91.28289473684211</v>
      </c>
      <c r="U7" s="61">
        <f>VLOOKUP(C7,$C$43:$I$46,5,FALSE)</f>
        <v>74.423269809428291</v>
      </c>
      <c r="V7" s="61"/>
      <c r="Y7" s="159" t="s">
        <v>35</v>
      </c>
      <c r="Z7" s="159" t="s">
        <v>60</v>
      </c>
      <c r="AA7" s="159" t="s">
        <v>163</v>
      </c>
      <c r="AB7" s="159">
        <f t="shared" ref="AB7:AB12" si="8">RANK(AH7,$AH$6:$AH$13,1)</f>
        <v>1</v>
      </c>
      <c r="AC7" s="164">
        <f>MIN($AH$6:$AH$13)</f>
        <v>67.621776504297983</v>
      </c>
      <c r="AD7" s="164">
        <f t="shared" ref="AD7:AD13" si="9">MAX($AH$6:$AH$13)</f>
        <v>72.822299651567945</v>
      </c>
      <c r="AE7" s="159"/>
      <c r="AF7" s="159">
        <f t="shared" ref="AF7:AF31" si="10">VLOOKUP($Y7,$A$6:$I$31,5,FALSE)</f>
        <v>2</v>
      </c>
      <c r="AG7" s="160" t="str">
        <f t="shared" ref="AG7:AG31" si="11">VLOOKUP($Y7,$A$6:$I$31,6,FALSE)</f>
        <v>N/A</v>
      </c>
      <c r="AH7" s="161">
        <f t="shared" ref="AH7:AH31" si="12">VLOOKUP($Y7,$A$6:$I$31,7,FALSE)</f>
        <v>67.621776504297983</v>
      </c>
      <c r="AI7" s="161">
        <f t="shared" ref="AI7:AI31" si="13">VLOOKUP($Y7,$A$6:$I$31,8,FALSE)</f>
        <v>65.586937326391649</v>
      </c>
      <c r="AJ7" s="161">
        <f t="shared" ref="AJ7:AJ31" si="14">VLOOKUP($Y7,$A$6:$I$31,9,FALSE)</f>
        <v>69.592079510031652</v>
      </c>
      <c r="AK7" s="160">
        <f t="shared" ref="AK7:AK31" si="15">VLOOKUP($Y7,$A$6:$M$31,13,FALSE)</f>
        <v>1</v>
      </c>
    </row>
    <row r="8" spans="1:37" x14ac:dyDescent="0.2">
      <c r="A8" s="62" t="s">
        <v>31</v>
      </c>
      <c r="B8" s="62" t="s">
        <v>57</v>
      </c>
      <c r="C8" s="62" t="s">
        <v>200</v>
      </c>
      <c r="D8" s="62"/>
      <c r="E8" s="62">
        <f t="shared" si="2"/>
        <v>11</v>
      </c>
      <c r="F8" s="128" t="s">
        <v>79</v>
      </c>
      <c r="G8" s="129">
        <v>73.599097405039487</v>
      </c>
      <c r="H8" s="129">
        <v>71.890453933833172</v>
      </c>
      <c r="I8" s="129">
        <v>75.239651985270555</v>
      </c>
      <c r="J8" s="129"/>
      <c r="K8" s="129"/>
      <c r="L8" s="129"/>
      <c r="M8" s="60">
        <f t="shared" si="0"/>
        <v>1</v>
      </c>
      <c r="N8" s="61">
        <f t="shared" si="3"/>
        <v>66.182749786507259</v>
      </c>
      <c r="O8" s="61">
        <f t="shared" ref="O8:O31" si="16">VLOOKUP(7,$E$5:$G$39,3,FALSE)</f>
        <v>70.886850152905197</v>
      </c>
      <c r="P8" s="129">
        <f t="shared" si="4"/>
        <v>76.56903765690376</v>
      </c>
      <c r="Q8" s="129">
        <f t="shared" si="5"/>
        <v>75.674801720280087</v>
      </c>
      <c r="R8" s="129">
        <f t="shared" si="6"/>
        <v>77.440200078637517</v>
      </c>
      <c r="S8" s="61">
        <f t="shared" si="7"/>
        <v>87.261146496815286</v>
      </c>
      <c r="T8" s="61">
        <f t="shared" si="1"/>
        <v>91.28289473684211</v>
      </c>
      <c r="U8" s="61">
        <f t="shared" ref="U8:U31" si="17">VLOOKUP(C8,$C$43:$I$46,5,FALSE)</f>
        <v>74.423269809428291</v>
      </c>
      <c r="V8" s="61"/>
      <c r="Y8" s="159" t="s">
        <v>41</v>
      </c>
      <c r="Z8" s="159" t="s">
        <v>64</v>
      </c>
      <c r="AA8" s="159" t="s">
        <v>163</v>
      </c>
      <c r="AB8" s="159">
        <f t="shared" si="8"/>
        <v>2</v>
      </c>
      <c r="AC8" s="164">
        <f t="shared" ref="AC8:AC13" si="18">MIN($AH$6:$AH$13)</f>
        <v>67.621776504297983</v>
      </c>
      <c r="AD8" s="164">
        <f>MAX($AH$6:$AH$13)</f>
        <v>72.822299651567945</v>
      </c>
      <c r="AE8" s="159"/>
      <c r="AF8" s="159">
        <f t="shared" si="10"/>
        <v>3</v>
      </c>
      <c r="AG8" s="160" t="str">
        <f t="shared" si="11"/>
        <v>N/A</v>
      </c>
      <c r="AH8" s="161">
        <f t="shared" si="12"/>
        <v>68.942842690945881</v>
      </c>
      <c r="AI8" s="161">
        <f t="shared" si="13"/>
        <v>66.868036045125919</v>
      </c>
      <c r="AJ8" s="161">
        <f t="shared" si="14"/>
        <v>70.944177378856139</v>
      </c>
      <c r="AK8" s="160">
        <f t="shared" si="15"/>
        <v>1</v>
      </c>
    </row>
    <row r="9" spans="1:37" x14ac:dyDescent="0.2">
      <c r="A9" s="62" t="s">
        <v>32</v>
      </c>
      <c r="B9" s="62" t="s">
        <v>156</v>
      </c>
      <c r="C9" s="62" t="s">
        <v>201</v>
      </c>
      <c r="D9" s="62"/>
      <c r="E9" s="62">
        <f t="shared" si="2"/>
        <v>15</v>
      </c>
      <c r="F9" s="128" t="s">
        <v>79</v>
      </c>
      <c r="G9" s="129">
        <v>77.701974865350081</v>
      </c>
      <c r="H9" s="129">
        <v>76.118499147382508</v>
      </c>
      <c r="I9" s="129">
        <v>79.209135025571953</v>
      </c>
      <c r="J9" s="129"/>
      <c r="K9" s="129"/>
      <c r="L9" s="129"/>
      <c r="M9" s="60">
        <f t="shared" si="0"/>
        <v>5</v>
      </c>
      <c r="N9" s="61">
        <f t="shared" si="3"/>
        <v>66.182749786507259</v>
      </c>
      <c r="O9" s="61">
        <f t="shared" si="16"/>
        <v>70.886850152905197</v>
      </c>
      <c r="P9" s="129">
        <f t="shared" si="4"/>
        <v>76.56903765690376</v>
      </c>
      <c r="Q9" s="129">
        <f t="shared" si="5"/>
        <v>75.674801720280087</v>
      </c>
      <c r="R9" s="129">
        <f t="shared" si="6"/>
        <v>77.440200078637517</v>
      </c>
      <c r="S9" s="61">
        <f t="shared" si="7"/>
        <v>87.261146496815286</v>
      </c>
      <c r="T9" s="61">
        <f t="shared" si="1"/>
        <v>91.28289473684211</v>
      </c>
      <c r="U9" s="61">
        <f t="shared" si="17"/>
        <v>86.838966202783311</v>
      </c>
      <c r="V9" s="61"/>
      <c r="X9" s="63"/>
      <c r="Y9" s="159" t="s">
        <v>45</v>
      </c>
      <c r="Z9" s="159" t="s">
        <v>67</v>
      </c>
      <c r="AA9" s="159" t="s">
        <v>163</v>
      </c>
      <c r="AB9" s="159">
        <f t="shared" si="8"/>
        <v>5</v>
      </c>
      <c r="AC9" s="164">
        <f t="shared" si="18"/>
        <v>67.621776504297983</v>
      </c>
      <c r="AD9" s="164">
        <f t="shared" si="9"/>
        <v>72.822299651567945</v>
      </c>
      <c r="AE9" s="159"/>
      <c r="AF9" s="159">
        <f t="shared" si="10"/>
        <v>7</v>
      </c>
      <c r="AG9" s="160" t="str">
        <f t="shared" si="11"/>
        <v>N/A</v>
      </c>
      <c r="AH9" s="161">
        <f t="shared" si="12"/>
        <v>70.886850152905197</v>
      </c>
      <c r="AI9" s="161">
        <f t="shared" si="13"/>
        <v>68.637931980796935</v>
      </c>
      <c r="AJ9" s="161">
        <f t="shared" si="14"/>
        <v>73.037850403393236</v>
      </c>
      <c r="AK9" s="160">
        <f t="shared" si="15"/>
        <v>1</v>
      </c>
    </row>
    <row r="10" spans="1:37" x14ac:dyDescent="0.2">
      <c r="A10" s="62" t="s">
        <v>33</v>
      </c>
      <c r="B10" s="62" t="s">
        <v>58</v>
      </c>
      <c r="C10" s="62" t="s">
        <v>163</v>
      </c>
      <c r="D10" s="62"/>
      <c r="E10" s="62">
        <f t="shared" si="2"/>
        <v>5</v>
      </c>
      <c r="F10" s="128" t="s">
        <v>79</v>
      </c>
      <c r="G10" s="129">
        <v>69.659300184162063</v>
      </c>
      <c r="H10" s="129">
        <v>67.692592526426466</v>
      </c>
      <c r="I10" s="129">
        <v>71.556590659138337</v>
      </c>
      <c r="J10" s="129"/>
      <c r="K10" s="129"/>
      <c r="L10" s="129"/>
      <c r="M10" s="60">
        <f t="shared" si="0"/>
        <v>1</v>
      </c>
      <c r="N10" s="61">
        <f t="shared" si="3"/>
        <v>66.182749786507259</v>
      </c>
      <c r="O10" s="61">
        <f t="shared" si="16"/>
        <v>70.886850152905197</v>
      </c>
      <c r="P10" s="129">
        <f t="shared" si="4"/>
        <v>76.56903765690376</v>
      </c>
      <c r="Q10" s="129">
        <f t="shared" si="5"/>
        <v>75.674801720280087</v>
      </c>
      <c r="R10" s="129">
        <f t="shared" si="6"/>
        <v>77.440200078637517</v>
      </c>
      <c r="S10" s="61">
        <f t="shared" si="7"/>
        <v>87.261146496815286</v>
      </c>
      <c r="T10" s="61">
        <f t="shared" si="1"/>
        <v>91.28289473684211</v>
      </c>
      <c r="U10" s="61">
        <f t="shared" si="17"/>
        <v>70.752172610128866</v>
      </c>
      <c r="V10" s="61"/>
      <c r="Y10" s="159" t="s">
        <v>46</v>
      </c>
      <c r="Z10" s="159" t="s">
        <v>68</v>
      </c>
      <c r="AA10" s="159" t="s">
        <v>163</v>
      </c>
      <c r="AB10" s="159">
        <f t="shared" si="8"/>
        <v>3</v>
      </c>
      <c r="AC10" s="164">
        <f t="shared" si="18"/>
        <v>67.621776504297983</v>
      </c>
      <c r="AD10" s="164">
        <f t="shared" si="9"/>
        <v>72.822299651567945</v>
      </c>
      <c r="AE10" s="159"/>
      <c r="AF10" s="159">
        <f t="shared" si="10"/>
        <v>4</v>
      </c>
      <c r="AG10" s="160" t="str">
        <f t="shared" si="11"/>
        <v>N/A</v>
      </c>
      <c r="AH10" s="161">
        <f t="shared" si="12"/>
        <v>69.313200194836824</v>
      </c>
      <c r="AI10" s="161">
        <f t="shared" si="13"/>
        <v>67.283692673517393</v>
      </c>
      <c r="AJ10" s="161">
        <f t="shared" si="14"/>
        <v>71.270567140686879</v>
      </c>
      <c r="AK10" s="160">
        <f t="shared" si="15"/>
        <v>1</v>
      </c>
    </row>
    <row r="11" spans="1:37" x14ac:dyDescent="0.2">
      <c r="A11" s="62" t="s">
        <v>34</v>
      </c>
      <c r="B11" s="62" t="s">
        <v>59</v>
      </c>
      <c r="C11" s="62" t="s">
        <v>200</v>
      </c>
      <c r="D11" s="62"/>
      <c r="E11" s="62">
        <f t="shared" si="2"/>
        <v>12</v>
      </c>
      <c r="F11" s="128" t="s">
        <v>79</v>
      </c>
      <c r="G11" s="129">
        <v>74.592339780053081</v>
      </c>
      <c r="H11" s="129">
        <v>72.895805862798539</v>
      </c>
      <c r="I11" s="129">
        <v>76.217327970657479</v>
      </c>
      <c r="J11" s="129"/>
      <c r="K11" s="129"/>
      <c r="L11" s="129"/>
      <c r="M11" s="60">
        <f t="shared" si="0"/>
        <v>5</v>
      </c>
      <c r="N11" s="61">
        <f t="shared" si="3"/>
        <v>66.182749786507259</v>
      </c>
      <c r="O11" s="61">
        <f t="shared" si="16"/>
        <v>70.886850152905197</v>
      </c>
      <c r="P11" s="129">
        <f t="shared" si="4"/>
        <v>76.56903765690376</v>
      </c>
      <c r="Q11" s="129">
        <f t="shared" si="5"/>
        <v>75.674801720280087</v>
      </c>
      <c r="R11" s="129">
        <f t="shared" si="6"/>
        <v>77.440200078637517</v>
      </c>
      <c r="S11" s="61">
        <f t="shared" si="7"/>
        <v>87.261146496815286</v>
      </c>
      <c r="T11" s="61">
        <f t="shared" si="1"/>
        <v>91.28289473684211</v>
      </c>
      <c r="U11" s="61">
        <f t="shared" si="17"/>
        <v>74.423269809428291</v>
      </c>
      <c r="V11" s="61"/>
      <c r="Y11" s="159" t="s">
        <v>47</v>
      </c>
      <c r="Z11" s="159" t="s">
        <v>69</v>
      </c>
      <c r="AA11" s="159" t="s">
        <v>163</v>
      </c>
      <c r="AB11" s="159">
        <f t="shared" si="8"/>
        <v>7</v>
      </c>
      <c r="AC11" s="164">
        <f t="shared" si="18"/>
        <v>67.621776504297983</v>
      </c>
      <c r="AD11" s="164">
        <f t="shared" si="9"/>
        <v>72.822299651567945</v>
      </c>
      <c r="AE11" s="159"/>
      <c r="AF11" s="159">
        <f t="shared" si="10"/>
        <v>9</v>
      </c>
      <c r="AG11" s="160" t="str">
        <f t="shared" si="11"/>
        <v>N/A</v>
      </c>
      <c r="AH11" s="161">
        <f t="shared" si="12"/>
        <v>72.327044025157235</v>
      </c>
      <c r="AI11" s="161">
        <f t="shared" si="13"/>
        <v>67.165583892986263</v>
      </c>
      <c r="AJ11" s="161">
        <f t="shared" si="14"/>
        <v>76.955518627591033</v>
      </c>
      <c r="AK11" s="160">
        <f t="shared" si="15"/>
        <v>5</v>
      </c>
    </row>
    <row r="12" spans="1:37" x14ac:dyDescent="0.2">
      <c r="A12" s="62" t="s">
        <v>35</v>
      </c>
      <c r="B12" s="62" t="s">
        <v>60</v>
      </c>
      <c r="C12" s="62" t="s">
        <v>163</v>
      </c>
      <c r="D12" s="62"/>
      <c r="E12" s="62">
        <f t="shared" si="2"/>
        <v>2</v>
      </c>
      <c r="F12" s="128" t="s">
        <v>79</v>
      </c>
      <c r="G12" s="129">
        <v>67.621776504297983</v>
      </c>
      <c r="H12" s="129">
        <v>65.586937326391649</v>
      </c>
      <c r="I12" s="129">
        <v>69.592079510031652</v>
      </c>
      <c r="J12" s="129"/>
      <c r="K12" s="129"/>
      <c r="L12" s="129"/>
      <c r="M12" s="60">
        <f t="shared" si="0"/>
        <v>1</v>
      </c>
      <c r="N12" s="61">
        <f t="shared" si="3"/>
        <v>66.182749786507259</v>
      </c>
      <c r="O12" s="61">
        <f t="shared" si="16"/>
        <v>70.886850152905197</v>
      </c>
      <c r="P12" s="129">
        <f t="shared" si="4"/>
        <v>76.56903765690376</v>
      </c>
      <c r="Q12" s="129">
        <f t="shared" si="5"/>
        <v>75.674801720280087</v>
      </c>
      <c r="R12" s="129">
        <f t="shared" si="6"/>
        <v>77.440200078637517</v>
      </c>
      <c r="S12" s="61">
        <f t="shared" si="7"/>
        <v>87.261146496815286</v>
      </c>
      <c r="T12" s="61">
        <f t="shared" si="1"/>
        <v>91.28289473684211</v>
      </c>
      <c r="U12" s="61">
        <f t="shared" si="17"/>
        <v>70.752172610128866</v>
      </c>
      <c r="V12" s="61"/>
      <c r="Y12" s="159" t="s">
        <v>50</v>
      </c>
      <c r="Z12" s="159" t="s">
        <v>161</v>
      </c>
      <c r="AA12" s="159" t="s">
        <v>163</v>
      </c>
      <c r="AB12" s="159">
        <f t="shared" si="8"/>
        <v>8</v>
      </c>
      <c r="AC12" s="164">
        <f t="shared" si="18"/>
        <v>67.621776504297983</v>
      </c>
      <c r="AD12" s="164">
        <f t="shared" si="9"/>
        <v>72.822299651567945</v>
      </c>
      <c r="AE12" s="159"/>
      <c r="AF12" s="159">
        <f t="shared" si="10"/>
        <v>10</v>
      </c>
      <c r="AG12" s="160" t="str">
        <f t="shared" si="11"/>
        <v>N/A</v>
      </c>
      <c r="AH12" s="161">
        <f t="shared" si="12"/>
        <v>72.822299651567945</v>
      </c>
      <c r="AI12" s="161">
        <f t="shared" si="13"/>
        <v>70.175903843802317</v>
      </c>
      <c r="AJ12" s="161">
        <f t="shared" si="14"/>
        <v>75.316468043600864</v>
      </c>
      <c r="AK12" s="160">
        <f t="shared" si="15"/>
        <v>1</v>
      </c>
    </row>
    <row r="13" spans="1:37" x14ac:dyDescent="0.2">
      <c r="A13" s="62" t="s">
        <v>36</v>
      </c>
      <c r="B13" s="62" t="s">
        <v>61</v>
      </c>
      <c r="C13" s="62" t="s">
        <v>201</v>
      </c>
      <c r="D13" s="62"/>
      <c r="E13" s="62">
        <f t="shared" si="2"/>
        <v>22</v>
      </c>
      <c r="F13" s="128" t="s">
        <v>79</v>
      </c>
      <c r="G13" s="129">
        <v>88.731443994601889</v>
      </c>
      <c r="H13" s="129">
        <v>87.020383283937718</v>
      </c>
      <c r="I13" s="129">
        <v>90.242234015162467</v>
      </c>
      <c r="J13" s="129"/>
      <c r="K13" s="129"/>
      <c r="L13" s="129"/>
      <c r="M13" s="60">
        <f t="shared" si="0"/>
        <v>2</v>
      </c>
      <c r="N13" s="61">
        <f t="shared" si="3"/>
        <v>66.182749786507259</v>
      </c>
      <c r="O13" s="61">
        <f t="shared" si="16"/>
        <v>70.886850152905197</v>
      </c>
      <c r="P13" s="129">
        <f t="shared" si="4"/>
        <v>76.56903765690376</v>
      </c>
      <c r="Q13" s="129">
        <f t="shared" si="5"/>
        <v>75.674801720280087</v>
      </c>
      <c r="R13" s="129">
        <f t="shared" si="6"/>
        <v>77.440200078637517</v>
      </c>
      <c r="S13" s="61">
        <f t="shared" si="7"/>
        <v>87.261146496815286</v>
      </c>
      <c r="T13" s="61">
        <f t="shared" si="1"/>
        <v>91.28289473684211</v>
      </c>
      <c r="U13" s="61">
        <f t="shared" si="17"/>
        <v>86.838966202783311</v>
      </c>
      <c r="V13" s="61"/>
      <c r="Y13" s="159" t="s">
        <v>53</v>
      </c>
      <c r="Z13" s="159" t="s">
        <v>162</v>
      </c>
      <c r="AA13" s="159" t="s">
        <v>163</v>
      </c>
      <c r="AB13" s="159">
        <f>RANK(AH13,$AH$6:$AH$13,1)</f>
        <v>6</v>
      </c>
      <c r="AC13" s="164">
        <f t="shared" si="18"/>
        <v>67.621776504297983</v>
      </c>
      <c r="AD13" s="164">
        <f t="shared" si="9"/>
        <v>72.822299651567945</v>
      </c>
      <c r="AE13" s="159"/>
      <c r="AF13" s="159">
        <f t="shared" si="10"/>
        <v>8</v>
      </c>
      <c r="AG13" s="160" t="str">
        <f t="shared" si="11"/>
        <v>N/A</v>
      </c>
      <c r="AH13" s="161">
        <f t="shared" si="12"/>
        <v>71.044776119402982</v>
      </c>
      <c r="AI13" s="161">
        <f t="shared" si="13"/>
        <v>69.48548950062974</v>
      </c>
      <c r="AJ13" s="161">
        <f t="shared" si="14"/>
        <v>72.555853756418429</v>
      </c>
      <c r="AK13" s="160">
        <f t="shared" si="15"/>
        <v>1</v>
      </c>
    </row>
    <row r="14" spans="1:37" x14ac:dyDescent="0.2">
      <c r="A14" s="62" t="s">
        <v>37</v>
      </c>
      <c r="B14" s="62" t="s">
        <v>157</v>
      </c>
      <c r="C14" s="62" t="s">
        <v>201</v>
      </c>
      <c r="D14" s="62"/>
      <c r="E14" s="62">
        <f t="shared" si="2"/>
        <v>19</v>
      </c>
      <c r="F14" s="128" t="s">
        <v>79</v>
      </c>
      <c r="G14" s="129">
        <v>86.598689002184997</v>
      </c>
      <c r="H14" s="129">
        <v>84.694249878531764</v>
      </c>
      <c r="I14" s="129">
        <v>88.298903658609163</v>
      </c>
      <c r="J14" s="129"/>
      <c r="K14" s="129"/>
      <c r="L14" s="129"/>
      <c r="M14" s="60">
        <f t="shared" si="0"/>
        <v>2</v>
      </c>
      <c r="N14" s="61">
        <f t="shared" si="3"/>
        <v>66.182749786507259</v>
      </c>
      <c r="O14" s="61">
        <f t="shared" si="16"/>
        <v>70.886850152905197</v>
      </c>
      <c r="P14" s="129">
        <f t="shared" si="4"/>
        <v>76.56903765690376</v>
      </c>
      <c r="Q14" s="129">
        <f t="shared" si="5"/>
        <v>75.674801720280087</v>
      </c>
      <c r="R14" s="129">
        <f t="shared" si="6"/>
        <v>77.440200078637517</v>
      </c>
      <c r="S14" s="61">
        <f t="shared" si="7"/>
        <v>87.261146496815286</v>
      </c>
      <c r="T14" s="61">
        <f t="shared" si="1"/>
        <v>91.28289473684211</v>
      </c>
      <c r="U14" s="61">
        <f t="shared" si="17"/>
        <v>86.838966202783311</v>
      </c>
      <c r="V14" s="61"/>
      <c r="Y14" s="162" t="s">
        <v>29</v>
      </c>
      <c r="Z14" s="162" t="s">
        <v>55</v>
      </c>
      <c r="AA14" s="162" t="s">
        <v>201</v>
      </c>
      <c r="AB14" s="162">
        <f>RANK(AH14,$AH$14:$AH$22,1)</f>
        <v>3</v>
      </c>
      <c r="AC14" s="165">
        <f t="shared" ref="AC14:AC22" si="19">MIN($AH$14:$AH$22)</f>
        <v>77.701974865350081</v>
      </c>
      <c r="AD14" s="165">
        <f>MAX($AH$14:$AH$22)</f>
        <v>91.28289473684211</v>
      </c>
      <c r="AE14" s="162"/>
      <c r="AF14" s="162">
        <f t="shared" si="10"/>
        <v>18</v>
      </c>
      <c r="AG14" s="167" t="str">
        <f t="shared" si="11"/>
        <v>N/A</v>
      </c>
      <c r="AH14" s="165">
        <f t="shared" si="12"/>
        <v>84.839650145772595</v>
      </c>
      <c r="AI14" s="165">
        <f t="shared" si="13"/>
        <v>81.962363816882814</v>
      </c>
      <c r="AJ14" s="165">
        <f t="shared" si="14"/>
        <v>87.328919548016145</v>
      </c>
      <c r="AK14" s="167">
        <f t="shared" si="15"/>
        <v>2</v>
      </c>
    </row>
    <row r="15" spans="1:37" x14ac:dyDescent="0.2">
      <c r="A15" s="62" t="s">
        <v>38</v>
      </c>
      <c r="B15" s="62" t="s">
        <v>62</v>
      </c>
      <c r="C15" s="62" t="s">
        <v>201</v>
      </c>
      <c r="D15" s="62"/>
      <c r="E15" s="62">
        <f t="shared" si="2"/>
        <v>16</v>
      </c>
      <c r="F15" s="128" t="s">
        <v>79</v>
      </c>
      <c r="G15" s="129">
        <v>82.263513513513516</v>
      </c>
      <c r="H15" s="129">
        <v>78.98141645927835</v>
      </c>
      <c r="I15" s="129">
        <v>85.129597359072747</v>
      </c>
      <c r="J15" s="129"/>
      <c r="K15" s="129"/>
      <c r="L15" s="129"/>
      <c r="M15" s="60">
        <f t="shared" si="0"/>
        <v>2</v>
      </c>
      <c r="N15" s="61">
        <f t="shared" si="3"/>
        <v>66.182749786507259</v>
      </c>
      <c r="O15" s="61">
        <f t="shared" si="16"/>
        <v>70.886850152905197</v>
      </c>
      <c r="P15" s="129">
        <f t="shared" si="4"/>
        <v>76.56903765690376</v>
      </c>
      <c r="Q15" s="129">
        <f t="shared" si="5"/>
        <v>75.674801720280087</v>
      </c>
      <c r="R15" s="129">
        <f t="shared" si="6"/>
        <v>77.440200078637517</v>
      </c>
      <c r="S15" s="61">
        <f t="shared" si="7"/>
        <v>87.261146496815286</v>
      </c>
      <c r="T15" s="61">
        <f t="shared" si="1"/>
        <v>91.28289473684211</v>
      </c>
      <c r="U15" s="61">
        <f t="shared" si="17"/>
        <v>86.838966202783311</v>
      </c>
      <c r="V15" s="61"/>
      <c r="Y15" s="162" t="s">
        <v>32</v>
      </c>
      <c r="Z15" s="162" t="s">
        <v>156</v>
      </c>
      <c r="AA15" s="162" t="s">
        <v>201</v>
      </c>
      <c r="AB15" s="162">
        <f>RANK(AH15,$AH$14:$AH$22,1)</f>
        <v>1</v>
      </c>
      <c r="AC15" s="165">
        <f t="shared" si="19"/>
        <v>77.701974865350081</v>
      </c>
      <c r="AD15" s="165">
        <f t="shared" ref="AD15:AD22" si="20">MAX($AH$14:$AH$22)</f>
        <v>91.28289473684211</v>
      </c>
      <c r="AE15" s="162"/>
      <c r="AF15" s="162">
        <f t="shared" si="10"/>
        <v>15</v>
      </c>
      <c r="AG15" s="167" t="str">
        <f t="shared" si="11"/>
        <v>N/A</v>
      </c>
      <c r="AH15" s="165">
        <f t="shared" si="12"/>
        <v>77.701974865350081</v>
      </c>
      <c r="AI15" s="165">
        <f t="shared" si="13"/>
        <v>76.118499147382508</v>
      </c>
      <c r="AJ15" s="165">
        <f t="shared" si="14"/>
        <v>79.209135025571953</v>
      </c>
      <c r="AK15" s="167">
        <f t="shared" si="15"/>
        <v>5</v>
      </c>
    </row>
    <row r="16" spans="1:37" x14ac:dyDescent="0.2">
      <c r="A16" s="62" t="s">
        <v>39</v>
      </c>
      <c r="B16" s="62" t="s">
        <v>158</v>
      </c>
      <c r="C16" s="62" t="s">
        <v>200</v>
      </c>
      <c r="D16" s="62"/>
      <c r="E16" s="62">
        <f t="shared" si="2"/>
        <v>13</v>
      </c>
      <c r="F16" s="128" t="s">
        <v>79</v>
      </c>
      <c r="G16" s="129">
        <v>76.456408196062668</v>
      </c>
      <c r="H16" s="129">
        <v>74.749642247268412</v>
      </c>
      <c r="I16" s="129">
        <v>78.081635704240071</v>
      </c>
      <c r="J16" s="129"/>
      <c r="K16" s="129"/>
      <c r="L16" s="129"/>
      <c r="M16" s="60">
        <f t="shared" si="0"/>
        <v>5</v>
      </c>
      <c r="N16" s="61">
        <f t="shared" si="3"/>
        <v>66.182749786507259</v>
      </c>
      <c r="O16" s="61">
        <f t="shared" si="16"/>
        <v>70.886850152905197</v>
      </c>
      <c r="P16" s="129">
        <f t="shared" si="4"/>
        <v>76.56903765690376</v>
      </c>
      <c r="Q16" s="129">
        <f t="shared" si="5"/>
        <v>75.674801720280087</v>
      </c>
      <c r="R16" s="129">
        <f t="shared" si="6"/>
        <v>77.440200078637517</v>
      </c>
      <c r="S16" s="61">
        <f t="shared" si="7"/>
        <v>87.261146496815286</v>
      </c>
      <c r="T16" s="61">
        <f t="shared" si="1"/>
        <v>91.28289473684211</v>
      </c>
      <c r="U16" s="61">
        <f t="shared" si="17"/>
        <v>74.423269809428291</v>
      </c>
      <c r="V16" s="61"/>
      <c r="Y16" s="162" t="s">
        <v>36</v>
      </c>
      <c r="Z16" s="162" t="s">
        <v>61</v>
      </c>
      <c r="AA16" s="162" t="s">
        <v>201</v>
      </c>
      <c r="AB16" s="162">
        <f>RANK(AH16,$AH$14:$AH$22,1)</f>
        <v>6</v>
      </c>
      <c r="AC16" s="165">
        <f t="shared" si="19"/>
        <v>77.701974865350081</v>
      </c>
      <c r="AD16" s="165">
        <f t="shared" si="20"/>
        <v>91.28289473684211</v>
      </c>
      <c r="AE16" s="162"/>
      <c r="AF16" s="162">
        <f t="shared" si="10"/>
        <v>22</v>
      </c>
      <c r="AG16" s="167" t="str">
        <f t="shared" si="11"/>
        <v>N/A</v>
      </c>
      <c r="AH16" s="165">
        <f t="shared" si="12"/>
        <v>88.731443994601889</v>
      </c>
      <c r="AI16" s="165">
        <f t="shared" si="13"/>
        <v>87.020383283937718</v>
      </c>
      <c r="AJ16" s="165">
        <f t="shared" si="14"/>
        <v>90.242234015162467</v>
      </c>
      <c r="AK16" s="167">
        <f t="shared" si="15"/>
        <v>2</v>
      </c>
    </row>
    <row r="17" spans="1:37" x14ac:dyDescent="0.2">
      <c r="A17" s="62" t="s">
        <v>40</v>
      </c>
      <c r="B17" s="62" t="s">
        <v>63</v>
      </c>
      <c r="C17" s="62" t="s">
        <v>200</v>
      </c>
      <c r="D17" s="62"/>
      <c r="E17" s="62">
        <f t="shared" si="2"/>
        <v>14</v>
      </c>
      <c r="F17" s="128" t="s">
        <v>79</v>
      </c>
      <c r="G17" s="129">
        <v>76.605504587155963</v>
      </c>
      <c r="H17" s="129">
        <v>73.682745366348385</v>
      </c>
      <c r="I17" s="129">
        <v>79.294879217074282</v>
      </c>
      <c r="J17" s="129"/>
      <c r="K17" s="129"/>
      <c r="L17" s="129"/>
      <c r="M17" s="60">
        <f t="shared" si="0"/>
        <v>5</v>
      </c>
      <c r="N17" s="61">
        <f t="shared" si="3"/>
        <v>66.182749786507259</v>
      </c>
      <c r="O17" s="61">
        <f t="shared" si="16"/>
        <v>70.886850152905197</v>
      </c>
      <c r="P17" s="129">
        <f t="shared" si="4"/>
        <v>76.56903765690376</v>
      </c>
      <c r="Q17" s="129">
        <f t="shared" si="5"/>
        <v>75.674801720280087</v>
      </c>
      <c r="R17" s="129">
        <f t="shared" si="6"/>
        <v>77.440200078637517</v>
      </c>
      <c r="S17" s="61">
        <f t="shared" si="7"/>
        <v>87.261146496815286</v>
      </c>
      <c r="T17" s="61">
        <f t="shared" si="1"/>
        <v>91.28289473684211</v>
      </c>
      <c r="U17" s="61">
        <f t="shared" si="17"/>
        <v>74.423269809428291</v>
      </c>
      <c r="V17" s="61"/>
      <c r="Y17" s="162" t="s">
        <v>37</v>
      </c>
      <c r="Z17" s="162" t="s">
        <v>157</v>
      </c>
      <c r="AA17" s="162" t="s">
        <v>201</v>
      </c>
      <c r="AB17" s="162">
        <f t="shared" ref="AB17:AB22" si="21">RANK(AH17,$AH$14:$AH$22,1)</f>
        <v>4</v>
      </c>
      <c r="AC17" s="165">
        <f t="shared" si="19"/>
        <v>77.701974865350081</v>
      </c>
      <c r="AD17" s="165">
        <f>MAX($AH$14:$AH$22)</f>
        <v>91.28289473684211</v>
      </c>
      <c r="AE17" s="162"/>
      <c r="AF17" s="162">
        <f t="shared" si="10"/>
        <v>19</v>
      </c>
      <c r="AG17" s="167" t="str">
        <f t="shared" si="11"/>
        <v>N/A</v>
      </c>
      <c r="AH17" s="165">
        <f t="shared" si="12"/>
        <v>86.598689002184997</v>
      </c>
      <c r="AI17" s="165">
        <f t="shared" si="13"/>
        <v>84.694249878531764</v>
      </c>
      <c r="AJ17" s="165">
        <f t="shared" si="14"/>
        <v>88.298903658609163</v>
      </c>
      <c r="AK17" s="167">
        <f t="shared" si="15"/>
        <v>2</v>
      </c>
    </row>
    <row r="18" spans="1:37" x14ac:dyDescent="0.2">
      <c r="A18" s="62" t="s">
        <v>41</v>
      </c>
      <c r="B18" s="62" t="s">
        <v>64</v>
      </c>
      <c r="C18" s="62" t="s">
        <v>163</v>
      </c>
      <c r="D18" s="62"/>
      <c r="E18" s="62">
        <f t="shared" si="2"/>
        <v>3</v>
      </c>
      <c r="F18" s="128" t="s">
        <v>79</v>
      </c>
      <c r="G18" s="129">
        <v>68.942842690945881</v>
      </c>
      <c r="H18" s="129">
        <v>66.868036045125919</v>
      </c>
      <c r="I18" s="129">
        <v>70.944177378856139</v>
      </c>
      <c r="J18" s="129"/>
      <c r="K18" s="129"/>
      <c r="L18" s="129"/>
      <c r="M18" s="60">
        <f t="shared" si="0"/>
        <v>1</v>
      </c>
      <c r="N18" s="61">
        <f t="shared" si="3"/>
        <v>66.182749786507259</v>
      </c>
      <c r="O18" s="61">
        <f t="shared" si="16"/>
        <v>70.886850152905197</v>
      </c>
      <c r="P18" s="129">
        <f t="shared" si="4"/>
        <v>76.56903765690376</v>
      </c>
      <c r="Q18" s="129">
        <f t="shared" si="5"/>
        <v>75.674801720280087</v>
      </c>
      <c r="R18" s="129">
        <f t="shared" si="6"/>
        <v>77.440200078637517</v>
      </c>
      <c r="S18" s="61">
        <f t="shared" si="7"/>
        <v>87.261146496815286</v>
      </c>
      <c r="T18" s="61">
        <f t="shared" si="1"/>
        <v>91.28289473684211</v>
      </c>
      <c r="U18" s="61">
        <f t="shared" si="17"/>
        <v>70.752172610128866</v>
      </c>
      <c r="V18" s="61"/>
      <c r="Y18" s="162" t="s">
        <v>38</v>
      </c>
      <c r="Z18" s="162" t="s">
        <v>62</v>
      </c>
      <c r="AA18" s="162" t="s">
        <v>201</v>
      </c>
      <c r="AB18" s="162">
        <f t="shared" si="21"/>
        <v>2</v>
      </c>
      <c r="AC18" s="165">
        <f t="shared" si="19"/>
        <v>77.701974865350081</v>
      </c>
      <c r="AD18" s="165">
        <f t="shared" si="20"/>
        <v>91.28289473684211</v>
      </c>
      <c r="AE18" s="162"/>
      <c r="AF18" s="162">
        <f t="shared" si="10"/>
        <v>16</v>
      </c>
      <c r="AG18" s="167" t="str">
        <f t="shared" si="11"/>
        <v>N/A</v>
      </c>
      <c r="AH18" s="165">
        <f t="shared" si="12"/>
        <v>82.263513513513516</v>
      </c>
      <c r="AI18" s="165">
        <f t="shared" si="13"/>
        <v>78.98141645927835</v>
      </c>
      <c r="AJ18" s="165">
        <f t="shared" si="14"/>
        <v>85.129597359072747</v>
      </c>
      <c r="AK18" s="167">
        <f t="shared" si="15"/>
        <v>2</v>
      </c>
    </row>
    <row r="19" spans="1:37" x14ac:dyDescent="0.2">
      <c r="A19" s="62" t="s">
        <v>42</v>
      </c>
      <c r="B19" s="62" t="s">
        <v>65</v>
      </c>
      <c r="C19" s="62" t="s">
        <v>200</v>
      </c>
      <c r="D19" s="62"/>
      <c r="E19" s="62">
        <f t="shared" si="2"/>
        <v>17</v>
      </c>
      <c r="F19" s="128" t="s">
        <v>79</v>
      </c>
      <c r="G19" s="129">
        <v>84.094052558782849</v>
      </c>
      <c r="H19" s="129">
        <v>81.248931280716334</v>
      </c>
      <c r="I19" s="129">
        <v>86.578790159375458</v>
      </c>
      <c r="J19" s="129"/>
      <c r="K19" s="129"/>
      <c r="L19" s="129"/>
      <c r="M19" s="60">
        <f t="shared" si="0"/>
        <v>2</v>
      </c>
      <c r="N19" s="61">
        <f t="shared" si="3"/>
        <v>66.182749786507259</v>
      </c>
      <c r="O19" s="61">
        <f t="shared" si="16"/>
        <v>70.886850152905197</v>
      </c>
      <c r="P19" s="129">
        <f t="shared" si="4"/>
        <v>76.56903765690376</v>
      </c>
      <c r="Q19" s="129">
        <f t="shared" si="5"/>
        <v>75.674801720280087</v>
      </c>
      <c r="R19" s="129">
        <f t="shared" si="6"/>
        <v>77.440200078637517</v>
      </c>
      <c r="S19" s="61">
        <f t="shared" si="7"/>
        <v>87.261146496815286</v>
      </c>
      <c r="T19" s="61">
        <f t="shared" si="1"/>
        <v>91.28289473684211</v>
      </c>
      <c r="U19" s="61">
        <f t="shared" si="17"/>
        <v>74.423269809428291</v>
      </c>
      <c r="V19" s="61"/>
      <c r="Y19" s="162" t="s">
        <v>43</v>
      </c>
      <c r="Z19" s="162" t="s">
        <v>159</v>
      </c>
      <c r="AA19" s="162" t="s">
        <v>201</v>
      </c>
      <c r="AB19" s="162">
        <f t="shared" si="21"/>
        <v>8</v>
      </c>
      <c r="AC19" s="165">
        <f t="shared" si="19"/>
        <v>77.701974865350081</v>
      </c>
      <c r="AD19" s="165">
        <f t="shared" si="20"/>
        <v>91.28289473684211</v>
      </c>
      <c r="AE19" s="162"/>
      <c r="AF19" s="162">
        <f t="shared" si="10"/>
        <v>25</v>
      </c>
      <c r="AG19" s="167" t="str">
        <f t="shared" si="11"/>
        <v>N/A</v>
      </c>
      <c r="AH19" s="165">
        <f t="shared" si="12"/>
        <v>89.060092449922962</v>
      </c>
      <c r="AI19" s="165">
        <f t="shared" si="13"/>
        <v>87.2453448215945</v>
      </c>
      <c r="AJ19" s="165">
        <f t="shared" si="14"/>
        <v>90.644323934120024</v>
      </c>
      <c r="AK19" s="167">
        <f t="shared" si="15"/>
        <v>2</v>
      </c>
    </row>
    <row r="20" spans="1:37" x14ac:dyDescent="0.2">
      <c r="A20" s="62" t="s">
        <v>43</v>
      </c>
      <c r="B20" s="62" t="s">
        <v>159</v>
      </c>
      <c r="C20" s="62" t="s">
        <v>201</v>
      </c>
      <c r="D20" s="62"/>
      <c r="E20" s="62">
        <f t="shared" si="2"/>
        <v>25</v>
      </c>
      <c r="F20" s="128" t="s">
        <v>79</v>
      </c>
      <c r="G20" s="129">
        <v>89.060092449922962</v>
      </c>
      <c r="H20" s="129">
        <v>87.2453448215945</v>
      </c>
      <c r="I20" s="129">
        <v>90.644323934120024</v>
      </c>
      <c r="J20" s="129"/>
      <c r="K20" s="129"/>
      <c r="L20" s="129"/>
      <c r="M20" s="60">
        <f t="shared" si="0"/>
        <v>2</v>
      </c>
      <c r="N20" s="61">
        <f t="shared" si="3"/>
        <v>66.182749786507259</v>
      </c>
      <c r="O20" s="61">
        <f t="shared" si="16"/>
        <v>70.886850152905197</v>
      </c>
      <c r="P20" s="129">
        <f t="shared" si="4"/>
        <v>76.56903765690376</v>
      </c>
      <c r="Q20" s="129">
        <f t="shared" si="5"/>
        <v>75.674801720280087</v>
      </c>
      <c r="R20" s="129">
        <f t="shared" si="6"/>
        <v>77.440200078637517</v>
      </c>
      <c r="S20" s="61">
        <f t="shared" si="7"/>
        <v>87.261146496815286</v>
      </c>
      <c r="T20" s="61">
        <f t="shared" si="1"/>
        <v>91.28289473684211</v>
      </c>
      <c r="U20" s="61">
        <f t="shared" si="17"/>
        <v>86.838966202783311</v>
      </c>
      <c r="V20" s="61"/>
      <c r="Y20" s="162" t="s">
        <v>48</v>
      </c>
      <c r="Z20" s="162" t="s">
        <v>160</v>
      </c>
      <c r="AA20" s="162" t="s">
        <v>201</v>
      </c>
      <c r="AB20" s="162">
        <f t="shared" si="21"/>
        <v>9</v>
      </c>
      <c r="AC20" s="165">
        <f t="shared" si="19"/>
        <v>77.701974865350081</v>
      </c>
      <c r="AD20" s="165">
        <f t="shared" si="20"/>
        <v>91.28289473684211</v>
      </c>
      <c r="AE20" s="162"/>
      <c r="AF20" s="162">
        <f t="shared" si="10"/>
        <v>26</v>
      </c>
      <c r="AG20" s="167" t="str">
        <f t="shared" si="11"/>
        <v>N/A</v>
      </c>
      <c r="AH20" s="165">
        <f t="shared" si="12"/>
        <v>91.28289473684211</v>
      </c>
      <c r="AI20" s="165">
        <f t="shared" si="13"/>
        <v>88.773556473581905</v>
      </c>
      <c r="AJ20" s="165">
        <f t="shared" si="14"/>
        <v>93.273842041646148</v>
      </c>
      <c r="AK20" s="167">
        <f t="shared" si="15"/>
        <v>2</v>
      </c>
    </row>
    <row r="21" spans="1:37" x14ac:dyDescent="0.2">
      <c r="A21" s="62" t="s">
        <v>44</v>
      </c>
      <c r="B21" s="62" t="s">
        <v>66</v>
      </c>
      <c r="C21" s="62" t="s">
        <v>200</v>
      </c>
      <c r="D21" s="62"/>
      <c r="E21" s="62">
        <f t="shared" si="2"/>
        <v>23</v>
      </c>
      <c r="F21" s="128" t="s">
        <v>79</v>
      </c>
      <c r="G21" s="129">
        <v>88.789237668161434</v>
      </c>
      <c r="H21" s="129">
        <v>86.173605719440289</v>
      </c>
      <c r="I21" s="129">
        <v>90.961950241939391</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2</v>
      </c>
      <c r="N21" s="61">
        <f t="shared" si="3"/>
        <v>66.182749786507259</v>
      </c>
      <c r="O21" s="61">
        <f t="shared" si="16"/>
        <v>70.886850152905197</v>
      </c>
      <c r="P21" s="129">
        <f t="shared" si="4"/>
        <v>76.56903765690376</v>
      </c>
      <c r="Q21" s="129">
        <f t="shared" si="5"/>
        <v>75.674801720280087</v>
      </c>
      <c r="R21" s="129">
        <f t="shared" si="6"/>
        <v>77.440200078637517</v>
      </c>
      <c r="S21" s="61">
        <f t="shared" si="7"/>
        <v>87.261146496815286</v>
      </c>
      <c r="T21" s="61">
        <f t="shared" si="1"/>
        <v>91.28289473684211</v>
      </c>
      <c r="U21" s="61">
        <f t="shared" si="17"/>
        <v>74.423269809428291</v>
      </c>
      <c r="V21" s="61"/>
      <c r="Y21" s="162" t="s">
        <v>52</v>
      </c>
      <c r="Z21" s="162" t="s">
        <v>72</v>
      </c>
      <c r="AA21" s="162" t="s">
        <v>201</v>
      </c>
      <c r="AB21" s="162">
        <f t="shared" si="21"/>
        <v>5</v>
      </c>
      <c r="AC21" s="165">
        <f t="shared" si="19"/>
        <v>77.701974865350081</v>
      </c>
      <c r="AD21" s="165">
        <f t="shared" si="20"/>
        <v>91.28289473684211</v>
      </c>
      <c r="AE21" s="162"/>
      <c r="AF21" s="162">
        <f t="shared" si="10"/>
        <v>21</v>
      </c>
      <c r="AG21" s="167" t="str">
        <f t="shared" si="11"/>
        <v>N/A</v>
      </c>
      <c r="AH21" s="165">
        <f t="shared" si="12"/>
        <v>88.169642857142847</v>
      </c>
      <c r="AI21" s="165">
        <f t="shared" si="13"/>
        <v>84.849580313555236</v>
      </c>
      <c r="AJ21" s="165">
        <f t="shared" si="14"/>
        <v>90.84068522618071</v>
      </c>
      <c r="AK21" s="167">
        <f t="shared" si="15"/>
        <v>2</v>
      </c>
    </row>
    <row r="22" spans="1:37" x14ac:dyDescent="0.2">
      <c r="A22" s="62" t="s">
        <v>45</v>
      </c>
      <c r="B22" s="62" t="s">
        <v>67</v>
      </c>
      <c r="C22" s="62" t="s">
        <v>163</v>
      </c>
      <c r="D22" s="62"/>
      <c r="E22" s="62">
        <f t="shared" si="2"/>
        <v>7</v>
      </c>
      <c r="F22" s="128" t="s">
        <v>79</v>
      </c>
      <c r="G22" s="129">
        <v>70.886850152905197</v>
      </c>
      <c r="H22" s="129">
        <v>68.637931980796935</v>
      </c>
      <c r="I22" s="129">
        <v>73.037850403393236</v>
      </c>
      <c r="J22" s="129"/>
      <c r="K22" s="129"/>
      <c r="L22" s="129"/>
      <c r="M22" s="60">
        <f t="shared" si="0"/>
        <v>1</v>
      </c>
      <c r="N22" s="61">
        <f t="shared" si="3"/>
        <v>66.182749786507259</v>
      </c>
      <c r="O22" s="61">
        <f t="shared" si="16"/>
        <v>70.886850152905197</v>
      </c>
      <c r="P22" s="129">
        <f t="shared" si="4"/>
        <v>76.56903765690376</v>
      </c>
      <c r="Q22" s="129">
        <f t="shared" si="5"/>
        <v>75.674801720280087</v>
      </c>
      <c r="R22" s="129">
        <f t="shared" si="6"/>
        <v>77.440200078637517</v>
      </c>
      <c r="S22" s="61">
        <f t="shared" si="7"/>
        <v>87.261146496815286</v>
      </c>
      <c r="T22" s="61">
        <f t="shared" si="1"/>
        <v>91.28289473684211</v>
      </c>
      <c r="U22" s="61">
        <f>VLOOKUP(C22,$C$43:$I$46,5,FALSE)</f>
        <v>70.752172610128866</v>
      </c>
      <c r="V22" s="61"/>
      <c r="Y22" s="162" t="s">
        <v>54</v>
      </c>
      <c r="Z22" s="162" t="s">
        <v>73</v>
      </c>
      <c r="AA22" s="162" t="s">
        <v>201</v>
      </c>
      <c r="AB22" s="162">
        <f t="shared" si="21"/>
        <v>7</v>
      </c>
      <c r="AC22" s="165">
        <f t="shared" si="19"/>
        <v>77.701974865350081</v>
      </c>
      <c r="AD22" s="165">
        <f t="shared" si="20"/>
        <v>91.28289473684211</v>
      </c>
      <c r="AE22" s="162"/>
      <c r="AF22" s="162">
        <f t="shared" si="10"/>
        <v>24</v>
      </c>
      <c r="AG22" s="167" t="str">
        <f t="shared" si="11"/>
        <v>N/A</v>
      </c>
      <c r="AH22" s="165">
        <f t="shared" si="12"/>
        <v>88.888888888888886</v>
      </c>
      <c r="AI22" s="165">
        <f t="shared" si="13"/>
        <v>86.656085969871782</v>
      </c>
      <c r="AJ22" s="165">
        <f t="shared" si="14"/>
        <v>90.787800113960344</v>
      </c>
      <c r="AK22" s="167">
        <f t="shared" si="15"/>
        <v>2</v>
      </c>
    </row>
    <row r="23" spans="1:37" x14ac:dyDescent="0.2">
      <c r="A23" s="62" t="s">
        <v>46</v>
      </c>
      <c r="B23" s="62" t="s">
        <v>68</v>
      </c>
      <c r="C23" s="62" t="s">
        <v>163</v>
      </c>
      <c r="D23" s="62"/>
      <c r="E23" s="62">
        <f t="shared" si="2"/>
        <v>4</v>
      </c>
      <c r="F23" s="128" t="s">
        <v>79</v>
      </c>
      <c r="G23" s="129">
        <v>69.313200194836824</v>
      </c>
      <c r="H23" s="129">
        <v>67.283692673517393</v>
      </c>
      <c r="I23" s="129">
        <v>71.270567140686879</v>
      </c>
      <c r="J23" s="129"/>
      <c r="K23" s="129"/>
      <c r="L23" s="129"/>
      <c r="M23" s="60">
        <f t="shared" si="0"/>
        <v>1</v>
      </c>
      <c r="N23" s="61">
        <f t="shared" si="3"/>
        <v>66.182749786507259</v>
      </c>
      <c r="O23" s="61">
        <f t="shared" si="16"/>
        <v>70.886850152905197</v>
      </c>
      <c r="P23" s="129">
        <f t="shared" si="4"/>
        <v>76.56903765690376</v>
      </c>
      <c r="Q23" s="129">
        <f t="shared" si="5"/>
        <v>75.674801720280087</v>
      </c>
      <c r="R23" s="129">
        <f t="shared" si="6"/>
        <v>77.440200078637517</v>
      </c>
      <c r="S23" s="61">
        <f t="shared" si="7"/>
        <v>87.261146496815286</v>
      </c>
      <c r="T23" s="61">
        <f t="shared" si="1"/>
        <v>91.28289473684211</v>
      </c>
      <c r="U23" s="61">
        <f t="shared" si="17"/>
        <v>70.752172610128866</v>
      </c>
      <c r="V23" s="61"/>
      <c r="Y23" s="163" t="s">
        <v>30</v>
      </c>
      <c r="Z23" s="163" t="s">
        <v>56</v>
      </c>
      <c r="AA23" s="163" t="s">
        <v>200</v>
      </c>
      <c r="AB23" s="163">
        <f>RANK(AH23,$AH$23:$AH$31,1)</f>
        <v>2</v>
      </c>
      <c r="AC23" s="166">
        <f>MIN($AH$23:$AH$31)</f>
        <v>66.182749786507259</v>
      </c>
      <c r="AD23" s="166">
        <f>MAX($AH$23:$AH$31)</f>
        <v>88.789237668161434</v>
      </c>
      <c r="AE23" s="163"/>
      <c r="AF23" s="163">
        <f t="shared" si="10"/>
        <v>6</v>
      </c>
      <c r="AG23" s="168" t="str">
        <f t="shared" si="11"/>
        <v>N/A</v>
      </c>
      <c r="AH23" s="166">
        <f t="shared" si="12"/>
        <v>70.114942528735625</v>
      </c>
      <c r="AI23" s="166">
        <f t="shared" si="13"/>
        <v>67.13903223758166</v>
      </c>
      <c r="AJ23" s="166">
        <f t="shared" si="14"/>
        <v>72.930013125275238</v>
      </c>
      <c r="AK23" s="168">
        <f t="shared" si="15"/>
        <v>1</v>
      </c>
    </row>
    <row r="24" spans="1:37" x14ac:dyDescent="0.2">
      <c r="A24" s="62" t="s">
        <v>47</v>
      </c>
      <c r="B24" s="62" t="s">
        <v>69</v>
      </c>
      <c r="C24" s="62" t="s">
        <v>163</v>
      </c>
      <c r="D24" s="62"/>
      <c r="E24" s="62">
        <f t="shared" si="2"/>
        <v>9</v>
      </c>
      <c r="F24" s="128" t="s">
        <v>79</v>
      </c>
      <c r="G24" s="129">
        <v>72.327044025157235</v>
      </c>
      <c r="H24" s="129">
        <v>67.165583892986263</v>
      </c>
      <c r="I24" s="129">
        <v>76.955518627591033</v>
      </c>
      <c r="J24" s="129"/>
      <c r="K24" s="129"/>
      <c r="L24" s="129"/>
      <c r="M24" s="60">
        <f t="shared" si="0"/>
        <v>5</v>
      </c>
      <c r="N24" s="61">
        <f t="shared" si="3"/>
        <v>66.182749786507259</v>
      </c>
      <c r="O24" s="61">
        <f t="shared" si="16"/>
        <v>70.886850152905197</v>
      </c>
      <c r="P24" s="129">
        <f t="shared" si="4"/>
        <v>76.56903765690376</v>
      </c>
      <c r="Q24" s="129">
        <f t="shared" si="5"/>
        <v>75.674801720280087</v>
      </c>
      <c r="R24" s="129">
        <f t="shared" si="6"/>
        <v>77.440200078637517</v>
      </c>
      <c r="S24" s="61">
        <f t="shared" si="7"/>
        <v>87.261146496815286</v>
      </c>
      <c r="T24" s="61">
        <f t="shared" si="1"/>
        <v>91.28289473684211</v>
      </c>
      <c r="U24" s="61">
        <f t="shared" si="17"/>
        <v>70.752172610128866</v>
      </c>
      <c r="V24" s="61"/>
      <c r="Y24" s="163" t="s">
        <v>31</v>
      </c>
      <c r="Z24" s="163" t="s">
        <v>57</v>
      </c>
      <c r="AA24" s="163" t="s">
        <v>200</v>
      </c>
      <c r="AB24" s="163">
        <f t="shared" ref="AB24:AB31" si="22">RANK(AH24,$AH$23:$AH$31,1)</f>
        <v>3</v>
      </c>
      <c r="AC24" s="166">
        <f t="shared" ref="AC24:AC31" si="23">MIN($AH$23:$AH$31)</f>
        <v>66.182749786507259</v>
      </c>
      <c r="AD24" s="166">
        <f t="shared" ref="AD24:AD31" si="24">MAX($AH$23:$AH$31)</f>
        <v>88.789237668161434</v>
      </c>
      <c r="AE24" s="163"/>
      <c r="AF24" s="163">
        <f t="shared" si="10"/>
        <v>11</v>
      </c>
      <c r="AG24" s="168" t="str">
        <f t="shared" si="11"/>
        <v>N/A</v>
      </c>
      <c r="AH24" s="166">
        <f t="shared" si="12"/>
        <v>73.599097405039487</v>
      </c>
      <c r="AI24" s="166">
        <f t="shared" si="13"/>
        <v>71.890453933833172</v>
      </c>
      <c r="AJ24" s="166">
        <f t="shared" si="14"/>
        <v>75.239651985270555</v>
      </c>
      <c r="AK24" s="168">
        <f t="shared" si="15"/>
        <v>1</v>
      </c>
    </row>
    <row r="25" spans="1:37" x14ac:dyDescent="0.2">
      <c r="A25" s="62" t="s">
        <v>48</v>
      </c>
      <c r="B25" s="62" t="s">
        <v>160</v>
      </c>
      <c r="C25" s="62" t="s">
        <v>201</v>
      </c>
      <c r="D25" s="62"/>
      <c r="E25" s="62">
        <f t="shared" si="2"/>
        <v>26</v>
      </c>
      <c r="F25" s="128" t="s">
        <v>79</v>
      </c>
      <c r="G25" s="129">
        <v>91.28289473684211</v>
      </c>
      <c r="H25" s="129">
        <v>88.773556473581905</v>
      </c>
      <c r="I25" s="129">
        <v>93.273842041646148</v>
      </c>
      <c r="J25" s="129"/>
      <c r="K25" s="129"/>
      <c r="L25" s="129"/>
      <c r="M25" s="60">
        <f t="shared" si="0"/>
        <v>2</v>
      </c>
      <c r="N25" s="61">
        <f t="shared" si="3"/>
        <v>66.182749786507259</v>
      </c>
      <c r="O25" s="61">
        <f t="shared" si="16"/>
        <v>70.886850152905197</v>
      </c>
      <c r="P25" s="129">
        <f t="shared" si="4"/>
        <v>76.56903765690376</v>
      </c>
      <c r="Q25" s="129">
        <f t="shared" si="5"/>
        <v>75.674801720280087</v>
      </c>
      <c r="R25" s="129">
        <f t="shared" si="6"/>
        <v>77.440200078637517</v>
      </c>
      <c r="S25" s="61">
        <f t="shared" si="7"/>
        <v>87.261146496815286</v>
      </c>
      <c r="T25" s="61">
        <f t="shared" si="1"/>
        <v>91.28289473684211</v>
      </c>
      <c r="U25" s="61">
        <f t="shared" si="17"/>
        <v>86.838966202783311</v>
      </c>
      <c r="V25" s="61"/>
      <c r="Y25" s="163" t="s">
        <v>34</v>
      </c>
      <c r="Z25" s="163" t="s">
        <v>59</v>
      </c>
      <c r="AA25" s="163" t="s">
        <v>200</v>
      </c>
      <c r="AB25" s="163">
        <f t="shared" si="22"/>
        <v>4</v>
      </c>
      <c r="AC25" s="166">
        <f t="shared" si="23"/>
        <v>66.182749786507259</v>
      </c>
      <c r="AD25" s="166">
        <f t="shared" si="24"/>
        <v>88.789237668161434</v>
      </c>
      <c r="AE25" s="163"/>
      <c r="AF25" s="163">
        <f t="shared" si="10"/>
        <v>12</v>
      </c>
      <c r="AG25" s="168" t="str">
        <f t="shared" si="11"/>
        <v>N/A</v>
      </c>
      <c r="AH25" s="166">
        <f t="shared" si="12"/>
        <v>74.592339780053081</v>
      </c>
      <c r="AI25" s="166">
        <f t="shared" si="13"/>
        <v>72.895805862798539</v>
      </c>
      <c r="AJ25" s="166">
        <f t="shared" si="14"/>
        <v>76.217327970657479</v>
      </c>
      <c r="AK25" s="168">
        <f t="shared" si="15"/>
        <v>5</v>
      </c>
    </row>
    <row r="26" spans="1:37" x14ac:dyDescent="0.2">
      <c r="A26" s="62" t="s">
        <v>49</v>
      </c>
      <c r="B26" s="62" t="s">
        <v>70</v>
      </c>
      <c r="C26" s="62" t="s">
        <v>200</v>
      </c>
      <c r="D26" s="62"/>
      <c r="E26" s="62">
        <f t="shared" si="2"/>
        <v>20</v>
      </c>
      <c r="F26" s="128" t="s">
        <v>79</v>
      </c>
      <c r="G26" s="129">
        <v>87.261146496815286</v>
      </c>
      <c r="H26" s="129">
        <v>85.421130531292263</v>
      </c>
      <c r="I26" s="129">
        <v>88.899111401525204</v>
      </c>
      <c r="J26" s="129"/>
      <c r="K26" s="129"/>
      <c r="L26" s="129"/>
      <c r="M26" s="60">
        <f t="shared" si="0"/>
        <v>2</v>
      </c>
      <c r="N26" s="61">
        <f t="shared" si="3"/>
        <v>66.182749786507259</v>
      </c>
      <c r="O26" s="61">
        <f t="shared" si="16"/>
        <v>70.886850152905197</v>
      </c>
      <c r="P26" s="129">
        <f t="shared" si="4"/>
        <v>76.56903765690376</v>
      </c>
      <c r="Q26" s="129">
        <f t="shared" si="5"/>
        <v>75.674801720280087</v>
      </c>
      <c r="R26" s="129">
        <f t="shared" si="6"/>
        <v>77.440200078637517</v>
      </c>
      <c r="S26" s="61">
        <f t="shared" si="7"/>
        <v>87.261146496815286</v>
      </c>
      <c r="T26" s="61">
        <f t="shared" si="1"/>
        <v>91.28289473684211</v>
      </c>
      <c r="U26" s="61">
        <f t="shared" si="17"/>
        <v>74.423269809428291</v>
      </c>
      <c r="V26" s="61"/>
      <c r="Y26" s="163" t="s">
        <v>39</v>
      </c>
      <c r="Z26" s="163" t="s">
        <v>158</v>
      </c>
      <c r="AA26" s="163" t="s">
        <v>200</v>
      </c>
      <c r="AB26" s="163">
        <f t="shared" si="22"/>
        <v>5</v>
      </c>
      <c r="AC26" s="166">
        <f t="shared" si="23"/>
        <v>66.182749786507259</v>
      </c>
      <c r="AD26" s="166">
        <f t="shared" si="24"/>
        <v>88.789237668161434</v>
      </c>
      <c r="AE26" s="163"/>
      <c r="AF26" s="163">
        <f t="shared" si="10"/>
        <v>13</v>
      </c>
      <c r="AG26" s="168" t="str">
        <f t="shared" si="11"/>
        <v>N/A</v>
      </c>
      <c r="AH26" s="166">
        <f t="shared" si="12"/>
        <v>76.456408196062668</v>
      </c>
      <c r="AI26" s="166">
        <f t="shared" si="13"/>
        <v>74.749642247268412</v>
      </c>
      <c r="AJ26" s="166">
        <f t="shared" si="14"/>
        <v>78.081635704240071</v>
      </c>
      <c r="AK26" s="168">
        <f t="shared" si="15"/>
        <v>5</v>
      </c>
    </row>
    <row r="27" spans="1:37" x14ac:dyDescent="0.2">
      <c r="A27" s="62" t="s">
        <v>50</v>
      </c>
      <c r="B27" s="62" t="s">
        <v>161</v>
      </c>
      <c r="C27" s="62" t="s">
        <v>163</v>
      </c>
      <c r="D27" s="62"/>
      <c r="E27" s="62">
        <f t="shared" si="2"/>
        <v>10</v>
      </c>
      <c r="F27" s="128" t="s">
        <v>79</v>
      </c>
      <c r="G27" s="129">
        <v>72.822299651567945</v>
      </c>
      <c r="H27" s="129">
        <v>70.175903843802317</v>
      </c>
      <c r="I27" s="129">
        <v>75.316468043600864</v>
      </c>
      <c r="J27" s="129"/>
      <c r="K27" s="129"/>
      <c r="L27" s="129"/>
      <c r="M27" s="60">
        <f t="shared" si="0"/>
        <v>1</v>
      </c>
      <c r="N27" s="61">
        <f t="shared" si="3"/>
        <v>66.182749786507259</v>
      </c>
      <c r="O27" s="61">
        <f t="shared" si="16"/>
        <v>70.886850152905197</v>
      </c>
      <c r="P27" s="129">
        <f t="shared" si="4"/>
        <v>76.56903765690376</v>
      </c>
      <c r="Q27" s="129">
        <f t="shared" si="5"/>
        <v>75.674801720280087</v>
      </c>
      <c r="R27" s="129">
        <f t="shared" si="6"/>
        <v>77.440200078637517</v>
      </c>
      <c r="S27" s="61">
        <f t="shared" si="7"/>
        <v>87.261146496815286</v>
      </c>
      <c r="T27" s="61">
        <f t="shared" si="1"/>
        <v>91.28289473684211</v>
      </c>
      <c r="U27" s="61">
        <f t="shared" si="17"/>
        <v>70.752172610128866</v>
      </c>
      <c r="V27" s="61"/>
      <c r="Y27" s="163" t="s">
        <v>40</v>
      </c>
      <c r="Z27" s="163" t="s">
        <v>63</v>
      </c>
      <c r="AA27" s="163" t="s">
        <v>200</v>
      </c>
      <c r="AB27" s="163">
        <f t="shared" si="22"/>
        <v>6</v>
      </c>
      <c r="AC27" s="166">
        <f t="shared" si="23"/>
        <v>66.182749786507259</v>
      </c>
      <c r="AD27" s="166">
        <f t="shared" si="24"/>
        <v>88.789237668161434</v>
      </c>
      <c r="AE27" s="163"/>
      <c r="AF27" s="163">
        <f t="shared" si="10"/>
        <v>14</v>
      </c>
      <c r="AG27" s="168" t="str">
        <f t="shared" si="11"/>
        <v>N/A</v>
      </c>
      <c r="AH27" s="166">
        <f t="shared" si="12"/>
        <v>76.605504587155963</v>
      </c>
      <c r="AI27" s="166">
        <f t="shared" si="13"/>
        <v>73.682745366348385</v>
      </c>
      <c r="AJ27" s="166">
        <f t="shared" si="14"/>
        <v>79.294879217074282</v>
      </c>
      <c r="AK27" s="168">
        <f t="shared" si="15"/>
        <v>5</v>
      </c>
    </row>
    <row r="28" spans="1:37" x14ac:dyDescent="0.2">
      <c r="A28" s="62" t="s">
        <v>51</v>
      </c>
      <c r="B28" s="62" t="s">
        <v>71</v>
      </c>
      <c r="C28" s="62" t="s">
        <v>200</v>
      </c>
      <c r="D28" s="62"/>
      <c r="E28" s="62">
        <f t="shared" si="2"/>
        <v>1</v>
      </c>
      <c r="F28" s="128" t="s">
        <v>79</v>
      </c>
      <c r="G28" s="129">
        <v>66.182749786507259</v>
      </c>
      <c r="H28" s="129">
        <v>63.424114582459978</v>
      </c>
      <c r="I28" s="129">
        <v>68.835557320882643</v>
      </c>
      <c r="J28" s="129"/>
      <c r="K28" s="129"/>
      <c r="L28" s="129"/>
      <c r="M28" s="60">
        <f t="shared" si="0"/>
        <v>1</v>
      </c>
      <c r="N28" s="61">
        <f t="shared" si="3"/>
        <v>66.182749786507259</v>
      </c>
      <c r="O28" s="61">
        <f t="shared" si="16"/>
        <v>70.886850152905197</v>
      </c>
      <c r="P28" s="129">
        <f t="shared" si="4"/>
        <v>76.56903765690376</v>
      </c>
      <c r="Q28" s="129">
        <f t="shared" si="5"/>
        <v>75.674801720280087</v>
      </c>
      <c r="R28" s="129">
        <f t="shared" si="6"/>
        <v>77.440200078637517</v>
      </c>
      <c r="S28" s="61">
        <f t="shared" si="7"/>
        <v>87.261146496815286</v>
      </c>
      <c r="T28" s="61">
        <f t="shared" si="1"/>
        <v>91.28289473684211</v>
      </c>
      <c r="U28" s="61">
        <f t="shared" si="17"/>
        <v>74.423269809428291</v>
      </c>
      <c r="V28" s="61"/>
      <c r="Y28" s="163" t="s">
        <v>42</v>
      </c>
      <c r="Z28" s="163" t="s">
        <v>65</v>
      </c>
      <c r="AA28" s="163" t="s">
        <v>200</v>
      </c>
      <c r="AB28" s="163">
        <f t="shared" si="22"/>
        <v>7</v>
      </c>
      <c r="AC28" s="166">
        <f t="shared" si="23"/>
        <v>66.182749786507259</v>
      </c>
      <c r="AD28" s="166">
        <f t="shared" si="24"/>
        <v>88.789237668161434</v>
      </c>
      <c r="AE28" s="163"/>
      <c r="AF28" s="163">
        <f t="shared" si="10"/>
        <v>17</v>
      </c>
      <c r="AG28" s="168" t="str">
        <f t="shared" si="11"/>
        <v>N/A</v>
      </c>
      <c r="AH28" s="166">
        <f t="shared" si="12"/>
        <v>84.094052558782849</v>
      </c>
      <c r="AI28" s="166">
        <f t="shared" si="13"/>
        <v>81.248931280716334</v>
      </c>
      <c r="AJ28" s="166">
        <f t="shared" si="14"/>
        <v>86.578790159375458</v>
      </c>
      <c r="AK28" s="168">
        <f t="shared" si="15"/>
        <v>2</v>
      </c>
    </row>
    <row r="29" spans="1:37" x14ac:dyDescent="0.2">
      <c r="A29" s="62" t="s">
        <v>52</v>
      </c>
      <c r="B29" s="62" t="s">
        <v>72</v>
      </c>
      <c r="C29" s="62" t="s">
        <v>201</v>
      </c>
      <c r="D29" s="62"/>
      <c r="E29" s="62">
        <f t="shared" si="2"/>
        <v>21</v>
      </c>
      <c r="F29" s="128" t="s">
        <v>79</v>
      </c>
      <c r="G29" s="129">
        <v>88.169642857142847</v>
      </c>
      <c r="H29" s="129">
        <v>84.849580313555236</v>
      </c>
      <c r="I29" s="129">
        <v>90.84068522618071</v>
      </c>
      <c r="J29" s="129"/>
      <c r="K29" s="129"/>
      <c r="L29" s="129"/>
      <c r="M29" s="60">
        <f t="shared" si="0"/>
        <v>2</v>
      </c>
      <c r="N29" s="61">
        <f t="shared" si="3"/>
        <v>66.182749786507259</v>
      </c>
      <c r="O29" s="61">
        <f t="shared" si="16"/>
        <v>70.886850152905197</v>
      </c>
      <c r="P29" s="129">
        <f t="shared" si="4"/>
        <v>76.56903765690376</v>
      </c>
      <c r="Q29" s="129">
        <f t="shared" si="5"/>
        <v>75.674801720280087</v>
      </c>
      <c r="R29" s="129">
        <f t="shared" si="6"/>
        <v>77.440200078637517</v>
      </c>
      <c r="S29" s="61">
        <f t="shared" si="7"/>
        <v>87.261146496815286</v>
      </c>
      <c r="T29" s="61">
        <f t="shared" si="1"/>
        <v>91.28289473684211</v>
      </c>
      <c r="U29" s="61">
        <f t="shared" si="17"/>
        <v>86.838966202783311</v>
      </c>
      <c r="V29" s="61"/>
      <c r="Y29" s="163" t="s">
        <v>44</v>
      </c>
      <c r="Z29" s="163" t="s">
        <v>66</v>
      </c>
      <c r="AA29" s="163" t="s">
        <v>200</v>
      </c>
      <c r="AB29" s="163">
        <f t="shared" si="22"/>
        <v>9</v>
      </c>
      <c r="AC29" s="166">
        <f t="shared" si="23"/>
        <v>66.182749786507259</v>
      </c>
      <c r="AD29" s="166">
        <f t="shared" si="24"/>
        <v>88.789237668161434</v>
      </c>
      <c r="AE29" s="163"/>
      <c r="AF29" s="163">
        <f t="shared" si="10"/>
        <v>23</v>
      </c>
      <c r="AG29" s="168" t="str">
        <f t="shared" si="11"/>
        <v>N/A</v>
      </c>
      <c r="AH29" s="166">
        <f t="shared" si="12"/>
        <v>88.789237668161434</v>
      </c>
      <c r="AI29" s="166">
        <f t="shared" si="13"/>
        <v>86.173605719440289</v>
      </c>
      <c r="AJ29" s="166">
        <f t="shared" si="14"/>
        <v>90.961950241939391</v>
      </c>
      <c r="AK29" s="168">
        <f t="shared" si="15"/>
        <v>2</v>
      </c>
    </row>
    <row r="30" spans="1:37" x14ac:dyDescent="0.2">
      <c r="A30" s="62" t="s">
        <v>53</v>
      </c>
      <c r="B30" s="62" t="s">
        <v>162</v>
      </c>
      <c r="C30" s="62" t="s">
        <v>163</v>
      </c>
      <c r="D30" s="62"/>
      <c r="E30" s="62">
        <f t="shared" si="2"/>
        <v>8</v>
      </c>
      <c r="F30" s="128" t="s">
        <v>79</v>
      </c>
      <c r="G30" s="129">
        <v>71.044776119402982</v>
      </c>
      <c r="H30" s="129">
        <v>69.48548950062974</v>
      </c>
      <c r="I30" s="129">
        <v>72.555853756418429</v>
      </c>
      <c r="J30" s="129"/>
      <c r="K30" s="129"/>
      <c r="L30" s="129"/>
      <c r="M30" s="60">
        <f t="shared" si="0"/>
        <v>1</v>
      </c>
      <c r="N30" s="61">
        <f t="shared" si="3"/>
        <v>66.182749786507259</v>
      </c>
      <c r="O30" s="61">
        <f t="shared" si="16"/>
        <v>70.886850152905197</v>
      </c>
      <c r="P30" s="129">
        <f>$G$32</f>
        <v>76.56903765690376</v>
      </c>
      <c r="Q30" s="129">
        <f t="shared" si="5"/>
        <v>75.674801720280087</v>
      </c>
      <c r="R30" s="129">
        <f t="shared" si="6"/>
        <v>77.440200078637517</v>
      </c>
      <c r="S30" s="61">
        <f t="shared" si="7"/>
        <v>87.261146496815286</v>
      </c>
      <c r="T30" s="61">
        <f t="shared" si="1"/>
        <v>91.28289473684211</v>
      </c>
      <c r="U30" s="61">
        <f t="shared" si="17"/>
        <v>70.752172610128866</v>
      </c>
      <c r="V30" s="61"/>
      <c r="Y30" s="163" t="s">
        <v>49</v>
      </c>
      <c r="Z30" s="163" t="s">
        <v>70</v>
      </c>
      <c r="AA30" s="163" t="s">
        <v>200</v>
      </c>
      <c r="AB30" s="163">
        <f t="shared" si="22"/>
        <v>8</v>
      </c>
      <c r="AC30" s="166">
        <f t="shared" si="23"/>
        <v>66.182749786507259</v>
      </c>
      <c r="AD30" s="166">
        <f t="shared" si="24"/>
        <v>88.789237668161434</v>
      </c>
      <c r="AE30" s="163"/>
      <c r="AF30" s="163">
        <f t="shared" si="10"/>
        <v>20</v>
      </c>
      <c r="AG30" s="168" t="str">
        <f t="shared" si="11"/>
        <v>N/A</v>
      </c>
      <c r="AH30" s="166">
        <f t="shared" si="12"/>
        <v>87.261146496815286</v>
      </c>
      <c r="AI30" s="166">
        <f t="shared" si="13"/>
        <v>85.421130531292263</v>
      </c>
      <c r="AJ30" s="166">
        <f t="shared" si="14"/>
        <v>88.899111401525204</v>
      </c>
      <c r="AK30" s="168">
        <f t="shared" si="15"/>
        <v>2</v>
      </c>
    </row>
    <row r="31" spans="1:37" x14ac:dyDescent="0.2">
      <c r="A31" s="62" t="s">
        <v>54</v>
      </c>
      <c r="B31" s="62" t="s">
        <v>73</v>
      </c>
      <c r="C31" s="62" t="s">
        <v>201</v>
      </c>
      <c r="D31" s="62"/>
      <c r="E31" s="62">
        <f t="shared" si="2"/>
        <v>24</v>
      </c>
      <c r="F31" s="128" t="s">
        <v>79</v>
      </c>
      <c r="G31" s="129">
        <v>88.888888888888886</v>
      </c>
      <c r="H31" s="129">
        <v>86.656085969871782</v>
      </c>
      <c r="I31" s="129">
        <v>90.787800113960344</v>
      </c>
      <c r="J31" s="129"/>
      <c r="K31" s="129"/>
      <c r="L31" s="129"/>
      <c r="M31" s="60">
        <f t="shared" si="0"/>
        <v>2</v>
      </c>
      <c r="N31" s="61">
        <f t="shared" si="3"/>
        <v>66.182749786507259</v>
      </c>
      <c r="O31" s="61">
        <f t="shared" si="16"/>
        <v>70.886850152905197</v>
      </c>
      <c r="P31" s="129">
        <f t="shared" si="4"/>
        <v>76.56903765690376</v>
      </c>
      <c r="Q31" s="129">
        <f t="shared" si="5"/>
        <v>75.674801720280087</v>
      </c>
      <c r="R31" s="129">
        <f t="shared" si="6"/>
        <v>77.440200078637517</v>
      </c>
      <c r="S31" s="61">
        <f t="shared" si="7"/>
        <v>87.261146496815286</v>
      </c>
      <c r="T31" s="61">
        <f t="shared" si="1"/>
        <v>91.28289473684211</v>
      </c>
      <c r="U31" s="61">
        <f t="shared" si="17"/>
        <v>86.838966202783311</v>
      </c>
      <c r="V31" s="61"/>
      <c r="Y31" s="163" t="s">
        <v>51</v>
      </c>
      <c r="Z31" s="163" t="s">
        <v>71</v>
      </c>
      <c r="AA31" s="163" t="s">
        <v>200</v>
      </c>
      <c r="AB31" s="163">
        <f t="shared" si="22"/>
        <v>1</v>
      </c>
      <c r="AC31" s="166">
        <f t="shared" si="23"/>
        <v>66.182749786507259</v>
      </c>
      <c r="AD31" s="166">
        <f t="shared" si="24"/>
        <v>88.789237668161434</v>
      </c>
      <c r="AE31" s="163"/>
      <c r="AF31" s="163">
        <f t="shared" si="10"/>
        <v>1</v>
      </c>
      <c r="AG31" s="168" t="str">
        <f t="shared" si="11"/>
        <v>N/A</v>
      </c>
      <c r="AH31" s="166">
        <f t="shared" si="12"/>
        <v>66.182749786507259</v>
      </c>
      <c r="AI31" s="166">
        <f t="shared" si="13"/>
        <v>63.424114582459978</v>
      </c>
      <c r="AJ31" s="166">
        <f t="shared" si="14"/>
        <v>68.835557320882643</v>
      </c>
      <c r="AK31" s="168">
        <f t="shared" si="15"/>
        <v>1</v>
      </c>
    </row>
    <row r="32" spans="1:37" x14ac:dyDescent="0.2">
      <c r="A32" s="62"/>
      <c r="B32" s="62" t="s">
        <v>171</v>
      </c>
      <c r="C32" s="62"/>
      <c r="D32" s="62"/>
      <c r="E32" s="62"/>
      <c r="F32" s="128">
        <v>6771</v>
      </c>
      <c r="G32" s="129">
        <v>76.56903765690376</v>
      </c>
      <c r="H32" s="129">
        <v>75.674801720280087</v>
      </c>
      <c r="I32" s="129">
        <v>77.440200078637517</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254">
        <v>2361</v>
      </c>
      <c r="G44" s="254">
        <v>70.752172610128866</v>
      </c>
      <c r="H44" s="254">
        <v>69.185584734427692</v>
      </c>
      <c r="I44" s="254">
        <v>72.271036810519874</v>
      </c>
      <c r="J44" s="254">
        <f>VLOOKUP($C44,$AA$6:$AD$13,3,FALSE)</f>
        <v>67.621776504297983</v>
      </c>
      <c r="K44" s="254">
        <f>VLOOKUP($C44,$AA$6:$AD$13,4,FALSE)</f>
        <v>72.822299651567945</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1</v>
      </c>
      <c r="N44" s="61">
        <f>MIN($G$6:$G$31)</f>
        <v>66.182749786507259</v>
      </c>
      <c r="O44" s="61">
        <f>VLOOKUP(7,$E$5:$G$39,3,FALSE)</f>
        <v>70.886850152905197</v>
      </c>
      <c r="P44" s="254">
        <f>$G$32</f>
        <v>76.56903765690376</v>
      </c>
      <c r="Q44" s="129">
        <f>$H$32</f>
        <v>75.674801720280087</v>
      </c>
      <c r="R44" s="129">
        <f>$I$32</f>
        <v>77.440200078637517</v>
      </c>
      <c r="S44" s="61">
        <f>VLOOKUP(20,$E$5:$G$39,3,FALSE)</f>
        <v>87.261146496815286</v>
      </c>
      <c r="T44" s="61">
        <f>MAX($G$6:$G$31)</f>
        <v>91.28289473684211</v>
      </c>
    </row>
    <row r="45" spans="1:22" x14ac:dyDescent="0.2">
      <c r="C45" s="62" t="s">
        <v>201</v>
      </c>
      <c r="D45" s="62"/>
      <c r="E45" s="62"/>
      <c r="F45" s="254">
        <v>2184</v>
      </c>
      <c r="G45" s="254">
        <v>86.838966202783311</v>
      </c>
      <c r="H45" s="254">
        <v>85.461357364901545</v>
      </c>
      <c r="I45" s="254">
        <v>88.104209594900794</v>
      </c>
      <c r="J45" s="254">
        <f>VLOOKUP($C45,$AA$14:$AD$22,3,FALSE)</f>
        <v>77.701974865350081</v>
      </c>
      <c r="K45" s="254">
        <f>VLOOKUP($C45,$AA$14:$AD$22,4,FALSE)</f>
        <v>91.28289473684211</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2</v>
      </c>
      <c r="N45" s="61">
        <f>MIN($G$6:$G$31)</f>
        <v>66.182749786507259</v>
      </c>
      <c r="O45" s="61">
        <f>VLOOKUP(7,$E$5:$G$39,3,FALSE)</f>
        <v>70.886850152905197</v>
      </c>
      <c r="P45" s="254">
        <f>$G$32</f>
        <v>76.56903765690376</v>
      </c>
      <c r="Q45" s="129">
        <f t="shared" ref="Q45:Q46" si="25">$H$32</f>
        <v>75.674801720280087</v>
      </c>
      <c r="R45" s="129">
        <f t="shared" ref="R45:R46" si="26">$I$32</f>
        <v>77.440200078637517</v>
      </c>
      <c r="S45" s="61">
        <f>VLOOKUP(20,$E$5:$G$39,3,FALSE)</f>
        <v>87.261146496815286</v>
      </c>
      <c r="T45" s="61">
        <f t="shared" ref="T45:T46" si="27">MAX($G$6:$G$31)</f>
        <v>91.28289473684211</v>
      </c>
    </row>
    <row r="46" spans="1:22" x14ac:dyDescent="0.2">
      <c r="C46" s="62" t="s">
        <v>200</v>
      </c>
      <c r="D46" s="62"/>
      <c r="E46" s="62"/>
      <c r="F46" s="254">
        <v>2226</v>
      </c>
      <c r="G46" s="254">
        <v>74.423269809428291</v>
      </c>
      <c r="H46" s="254">
        <v>72.829063397679988</v>
      </c>
      <c r="I46" s="254">
        <v>75.954821161448265</v>
      </c>
      <c r="J46" s="254">
        <f>VLOOKUP($C46,$AA$23:$AD$31,3,FALSE)</f>
        <v>66.182749786507259</v>
      </c>
      <c r="K46" s="254">
        <f>VLOOKUP($C46,$AA$23:$AD$31,4,FALSE)</f>
        <v>88.789237668161434</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5</v>
      </c>
      <c r="N46" s="61">
        <f>MIN($G$6:$G$31)</f>
        <v>66.182749786507259</v>
      </c>
      <c r="O46" s="61">
        <f>VLOOKUP(7,$E$5:$G$39,3,FALSE)</f>
        <v>70.886850152905197</v>
      </c>
      <c r="P46" s="254">
        <f t="shared" ref="P46" si="28">$G$32</f>
        <v>76.56903765690376</v>
      </c>
      <c r="Q46" s="129">
        <f t="shared" si="25"/>
        <v>75.674801720280087</v>
      </c>
      <c r="R46" s="129">
        <f t="shared" si="26"/>
        <v>77.440200078637517</v>
      </c>
      <c r="S46" s="61">
        <f>VLOOKUP(20,$E$5:$G$39,3,FALSE)</f>
        <v>87.261146496815286</v>
      </c>
      <c r="T46" s="61">
        <f t="shared" si="27"/>
        <v>91.28289473684211</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C2:D2" xr:uid="{00000000-0002-0000-3100-000000000000}">
      <formula1>"Better / Worse,Higher / Lower,Significance not measured"</formula1>
    </dataValidation>
    <dataValidation type="list" allowBlank="1" showInputMessage="1" showErrorMessage="1" sqref="K2:N2" xr:uid="{00000000-0002-0000-3100-000001000000}">
      <formula1>"High = Worst,Low = Worst"</formula1>
    </dataValidation>
  </dataValidations>
  <pageMargins left="0.75" right="0.75" top="1" bottom="1" header="0.5" footer="0.5"/>
  <pageSetup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0">
    <tabColor theme="6" tint="0.39997558519241921"/>
  </sheetPr>
  <dimension ref="A1:AK55"/>
  <sheetViews>
    <sheetView workbookViewId="0">
      <selection activeCell="A46" sqref="A46:XFD46"/>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8" width="7.33203125" style="21" customWidth="1"/>
    <col min="9" max="9" width="6.886718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5.554687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7</v>
      </c>
      <c r="F6" s="128" t="s">
        <v>79</v>
      </c>
      <c r="G6" s="129">
        <v>9.5100864553314111</v>
      </c>
      <c r="H6" s="129">
        <v>7.5450746962127155</v>
      </c>
      <c r="I6" s="129">
        <v>11.92087378014425</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2</v>
      </c>
      <c r="N6" s="61">
        <f>MIN($G$6:$G$32)</f>
        <v>6.3106796116504853</v>
      </c>
      <c r="O6" s="61">
        <f>VLOOKUP(7,$E$5:$G$39,3,FALSE)</f>
        <v>9.5100864553314111</v>
      </c>
      <c r="P6" s="129">
        <f>$G$32</f>
        <v>14.004253890070526</v>
      </c>
      <c r="Q6" s="129">
        <f>$H$32</f>
        <v>13.300070514616721</v>
      </c>
      <c r="R6" s="129">
        <f>$I$32</f>
        <v>14.739382466250694</v>
      </c>
      <c r="S6" s="61">
        <f>VLOOKUP(20,$E$5:$G$39,3,FALSE)</f>
        <v>16.223003515821194</v>
      </c>
      <c r="T6" s="61">
        <f t="shared" ref="T6:T31" si="1">MAX($G$6:$G$31)</f>
        <v>19.882055602358889</v>
      </c>
      <c r="U6" s="61">
        <f>VLOOKUP(C6,$C$43:$I$46,5,FALSE)</f>
        <v>8.9011421819614025</v>
      </c>
      <c r="V6" s="61"/>
      <c r="Y6" s="159" t="s">
        <v>33</v>
      </c>
      <c r="Z6" s="159" t="s">
        <v>58</v>
      </c>
      <c r="AA6" s="159" t="s">
        <v>163</v>
      </c>
      <c r="AB6" s="159">
        <f>RANK(AH6,$AH$6:$AH$13,1)</f>
        <v>7</v>
      </c>
      <c r="AC6" s="164">
        <f>MIN($AH$6:$AH$13)</f>
        <v>11.621856027753687</v>
      </c>
      <c r="AD6" s="164">
        <f>MAX($AH$6:$AH$13)</f>
        <v>19.875776397515526</v>
      </c>
      <c r="AE6" s="159"/>
      <c r="AF6" s="159">
        <f>VLOOKUP($Y6,$A$6:$I$31,5,FALSE)</f>
        <v>24</v>
      </c>
      <c r="AG6" s="160" t="str">
        <f>VLOOKUP($Y6,$A$6:$I$31,6,FALSE)</f>
        <v>N/A</v>
      </c>
      <c r="AH6" s="161">
        <f>VLOOKUP($Y6,$A$6:$I$31,7,FALSE)</f>
        <v>17.016423357664234</v>
      </c>
      <c r="AI6" s="161">
        <f>VLOOKUP($Y6,$A$6:$I$31,8,FALSE)</f>
        <v>15.501337248087818</v>
      </c>
      <c r="AJ6" s="161">
        <f>VLOOKUP($Y6,$A$6:$I$31,9,FALSE)</f>
        <v>18.646914020626564</v>
      </c>
      <c r="AK6" s="160">
        <f>VLOOKUP($Y6,$A$6:$M$31,13,FALSE)</f>
        <v>1</v>
      </c>
    </row>
    <row r="7" spans="1:37" x14ac:dyDescent="0.2">
      <c r="A7" s="62" t="s">
        <v>30</v>
      </c>
      <c r="B7" s="62" t="s">
        <v>56</v>
      </c>
      <c r="C7" s="62" t="s">
        <v>200</v>
      </c>
      <c r="D7" s="62"/>
      <c r="E7" s="62">
        <f t="shared" ref="E7:E31" si="2">RANK(G7,$G$6:$G$31,1)</f>
        <v>18</v>
      </c>
      <c r="F7" s="128" t="s">
        <v>79</v>
      </c>
      <c r="G7" s="129">
        <v>15.708418891170432</v>
      </c>
      <c r="H7" s="129">
        <v>13.558437325451051</v>
      </c>
      <c r="I7" s="129">
        <v>18.127830016329703</v>
      </c>
      <c r="J7" s="129"/>
      <c r="K7" s="129"/>
      <c r="L7" s="129"/>
      <c r="M7" s="60">
        <f t="shared" si="0"/>
        <v>5</v>
      </c>
      <c r="N7" s="61">
        <f t="shared" ref="N7:N31" si="3">MIN($G$6:$G$32)</f>
        <v>6.3106796116504853</v>
      </c>
      <c r="O7" s="61">
        <f>VLOOKUP(7,$E$5:$G$39,3,FALSE)</f>
        <v>9.5100864553314111</v>
      </c>
      <c r="P7" s="129">
        <f t="shared" ref="P7:P31" si="4">$G$32</f>
        <v>14.004253890070526</v>
      </c>
      <c r="Q7" s="129">
        <f t="shared" ref="Q7:Q31" si="5">$H$32</f>
        <v>13.300070514616721</v>
      </c>
      <c r="R7" s="129">
        <f t="shared" ref="R7:R31" si="6">$I$32</f>
        <v>14.739382466250694</v>
      </c>
      <c r="S7" s="61">
        <f t="shared" ref="S7:S31" si="7">VLOOKUP(20,$E$5:$G$39,3,FALSE)</f>
        <v>16.223003515821194</v>
      </c>
      <c r="T7" s="61">
        <f t="shared" si="1"/>
        <v>19.882055602358889</v>
      </c>
      <c r="U7" s="61">
        <f>VLOOKUP(C7,$C$43:$I$46,5,FALSE)</f>
        <v>16.319099635882157</v>
      </c>
      <c r="V7" s="61"/>
      <c r="Y7" s="159" t="s">
        <v>35</v>
      </c>
      <c r="Z7" s="159" t="s">
        <v>60</v>
      </c>
      <c r="AA7" s="159" t="s">
        <v>163</v>
      </c>
      <c r="AB7" s="159">
        <f t="shared" ref="AB7:AB12" si="8">RANK(AH7,$AH$6:$AH$13,1)</f>
        <v>5</v>
      </c>
      <c r="AC7" s="164">
        <f>MIN($AH$6:$AH$13)</f>
        <v>11.621856027753687</v>
      </c>
      <c r="AD7" s="164">
        <f t="shared" ref="AD7:AD13" si="9">MAX($AH$6:$AH$13)</f>
        <v>19.875776397515526</v>
      </c>
      <c r="AE7" s="159"/>
      <c r="AF7" s="159">
        <f t="shared" ref="AF7:AF31" si="10">VLOOKUP($Y7,$A$6:$I$31,5,FALSE)</f>
        <v>21</v>
      </c>
      <c r="AG7" s="160" t="str">
        <f t="shared" ref="AG7:AG31" si="11">VLOOKUP($Y7,$A$6:$I$31,6,FALSE)</f>
        <v>N/A</v>
      </c>
      <c r="AH7" s="161">
        <f t="shared" ref="AH7:AH31" si="12">VLOOKUP($Y7,$A$6:$I$31,7,FALSE)</f>
        <v>16.24940954180444</v>
      </c>
      <c r="AI7" s="161">
        <f t="shared" ref="AI7:AI31" si="13">VLOOKUP($Y7,$A$6:$I$31,8,FALSE)</f>
        <v>14.739326397747888</v>
      </c>
      <c r="AJ7" s="161">
        <f t="shared" ref="AJ7:AJ31" si="14">VLOOKUP($Y7,$A$6:$I$31,9,FALSE)</f>
        <v>17.881756896493091</v>
      </c>
      <c r="AK7" s="160">
        <f t="shared" ref="AK7:AK31" si="15">VLOOKUP($Y7,$A$6:$M$31,13,FALSE)</f>
        <v>5</v>
      </c>
    </row>
    <row r="8" spans="1:37" x14ac:dyDescent="0.2">
      <c r="A8" s="62" t="s">
        <v>31</v>
      </c>
      <c r="B8" s="62" t="s">
        <v>57</v>
      </c>
      <c r="C8" s="62" t="s">
        <v>200</v>
      </c>
      <c r="D8" s="62"/>
      <c r="E8" s="62">
        <f t="shared" si="2"/>
        <v>17</v>
      </c>
      <c r="F8" s="128" t="s">
        <v>79</v>
      </c>
      <c r="G8" s="129">
        <v>15.691390234811779</v>
      </c>
      <c r="H8" s="129">
        <v>14.364279517409908</v>
      </c>
      <c r="I8" s="129">
        <v>17.116605074565609</v>
      </c>
      <c r="J8" s="129"/>
      <c r="K8" s="129"/>
      <c r="L8" s="129"/>
      <c r="M8" s="60">
        <f t="shared" si="0"/>
        <v>5</v>
      </c>
      <c r="N8" s="61">
        <f t="shared" si="3"/>
        <v>6.3106796116504853</v>
      </c>
      <c r="O8" s="61">
        <f t="shared" ref="O8:O31" si="16">VLOOKUP(7,$E$5:$G$39,3,FALSE)</f>
        <v>9.5100864553314111</v>
      </c>
      <c r="P8" s="129">
        <f t="shared" si="4"/>
        <v>14.004253890070526</v>
      </c>
      <c r="Q8" s="129">
        <f t="shared" si="5"/>
        <v>13.300070514616721</v>
      </c>
      <c r="R8" s="129">
        <f t="shared" si="6"/>
        <v>14.739382466250694</v>
      </c>
      <c r="S8" s="61">
        <f t="shared" si="7"/>
        <v>16.223003515821194</v>
      </c>
      <c r="T8" s="61">
        <f t="shared" si="1"/>
        <v>19.882055602358889</v>
      </c>
      <c r="U8" s="61">
        <f t="shared" ref="U8:U31" si="17">VLOOKUP(C8,$C$43:$I$46,5,FALSE)</f>
        <v>16.319099635882157</v>
      </c>
      <c r="V8" s="61"/>
      <c r="Y8" s="159" t="s">
        <v>41</v>
      </c>
      <c r="Z8" s="159" t="s">
        <v>64</v>
      </c>
      <c r="AA8" s="159" t="s">
        <v>163</v>
      </c>
      <c r="AB8" s="159">
        <f t="shared" si="8"/>
        <v>4</v>
      </c>
      <c r="AC8" s="164">
        <f t="shared" ref="AC8:AC13" si="18">MIN($AH$6:$AH$13)</f>
        <v>11.621856027753687</v>
      </c>
      <c r="AD8" s="164">
        <f>MAX($AH$6:$AH$13)</f>
        <v>19.875776397515526</v>
      </c>
      <c r="AE8" s="159"/>
      <c r="AF8" s="159">
        <f t="shared" si="10"/>
        <v>20</v>
      </c>
      <c r="AG8" s="160" t="str">
        <f t="shared" si="11"/>
        <v>N/A</v>
      </c>
      <c r="AH8" s="161">
        <f t="shared" si="12"/>
        <v>16.223003515821194</v>
      </c>
      <c r="AI8" s="161">
        <f t="shared" si="13"/>
        <v>14.668951543408451</v>
      </c>
      <c r="AJ8" s="161">
        <f t="shared" si="14"/>
        <v>17.907143962690864</v>
      </c>
      <c r="AK8" s="160">
        <f t="shared" si="15"/>
        <v>5</v>
      </c>
    </row>
    <row r="9" spans="1:37" x14ac:dyDescent="0.2">
      <c r="A9" s="62" t="s">
        <v>32</v>
      </c>
      <c r="B9" s="62" t="s">
        <v>156</v>
      </c>
      <c r="C9" s="62" t="s">
        <v>201</v>
      </c>
      <c r="D9" s="62"/>
      <c r="E9" s="62">
        <f t="shared" si="2"/>
        <v>15</v>
      </c>
      <c r="F9" s="128" t="s">
        <v>79</v>
      </c>
      <c r="G9" s="129">
        <v>14.55449059282925</v>
      </c>
      <c r="H9" s="129">
        <v>13.300492588630346</v>
      </c>
      <c r="I9" s="129">
        <v>15.905028914344035</v>
      </c>
      <c r="J9" s="129"/>
      <c r="K9" s="129"/>
      <c r="L9" s="129"/>
      <c r="M9" s="60">
        <f t="shared" si="0"/>
        <v>5</v>
      </c>
      <c r="N9" s="61">
        <f t="shared" si="3"/>
        <v>6.3106796116504853</v>
      </c>
      <c r="O9" s="61">
        <f t="shared" si="16"/>
        <v>9.5100864553314111</v>
      </c>
      <c r="P9" s="129">
        <f t="shared" si="4"/>
        <v>14.004253890070526</v>
      </c>
      <c r="Q9" s="129">
        <f t="shared" si="5"/>
        <v>13.300070514616721</v>
      </c>
      <c r="R9" s="129">
        <f t="shared" si="6"/>
        <v>14.739382466250694</v>
      </c>
      <c r="S9" s="61">
        <f t="shared" si="7"/>
        <v>16.223003515821194</v>
      </c>
      <c r="T9" s="61">
        <f t="shared" si="1"/>
        <v>19.882055602358889</v>
      </c>
      <c r="U9" s="61">
        <f t="shared" si="17"/>
        <v>8.9011421819614025</v>
      </c>
      <c r="V9" s="61"/>
      <c r="X9" s="63"/>
      <c r="Y9" s="159" t="s">
        <v>45</v>
      </c>
      <c r="Z9" s="159" t="s">
        <v>67</v>
      </c>
      <c r="AA9" s="159" t="s">
        <v>163</v>
      </c>
      <c r="AB9" s="159">
        <f t="shared" si="8"/>
        <v>2</v>
      </c>
      <c r="AC9" s="164">
        <f t="shared" si="18"/>
        <v>11.621856027753687</v>
      </c>
      <c r="AD9" s="164">
        <f t="shared" si="9"/>
        <v>19.875776397515526</v>
      </c>
      <c r="AE9" s="159"/>
      <c r="AF9" s="159">
        <f t="shared" si="10"/>
        <v>13</v>
      </c>
      <c r="AG9" s="160" t="str">
        <f t="shared" si="11"/>
        <v>N/A</v>
      </c>
      <c r="AH9" s="161">
        <f t="shared" si="12"/>
        <v>13.08298001211387</v>
      </c>
      <c r="AI9" s="161">
        <f t="shared" si="13"/>
        <v>11.541709414348484</v>
      </c>
      <c r="AJ9" s="161">
        <f t="shared" si="14"/>
        <v>14.795644928422947</v>
      </c>
      <c r="AK9" s="160">
        <f t="shared" si="15"/>
        <v>5</v>
      </c>
    </row>
    <row r="10" spans="1:37" x14ac:dyDescent="0.2">
      <c r="A10" s="62" t="s">
        <v>33</v>
      </c>
      <c r="B10" s="62" t="s">
        <v>58</v>
      </c>
      <c r="C10" s="62" t="s">
        <v>163</v>
      </c>
      <c r="D10" s="62"/>
      <c r="E10" s="62">
        <f t="shared" si="2"/>
        <v>24</v>
      </c>
      <c r="F10" s="128" t="s">
        <v>79</v>
      </c>
      <c r="G10" s="129">
        <v>17.016423357664234</v>
      </c>
      <c r="H10" s="129">
        <v>15.501337248087818</v>
      </c>
      <c r="I10" s="129">
        <v>18.646914020626564</v>
      </c>
      <c r="J10" s="129"/>
      <c r="K10" s="129"/>
      <c r="L10" s="129"/>
      <c r="M10" s="60">
        <f t="shared" si="0"/>
        <v>1</v>
      </c>
      <c r="N10" s="61">
        <f t="shared" si="3"/>
        <v>6.3106796116504853</v>
      </c>
      <c r="O10" s="61">
        <f t="shared" si="16"/>
        <v>9.5100864553314111</v>
      </c>
      <c r="P10" s="129">
        <f t="shared" si="4"/>
        <v>14.004253890070526</v>
      </c>
      <c r="Q10" s="129">
        <f t="shared" si="5"/>
        <v>13.300070514616721</v>
      </c>
      <c r="R10" s="129">
        <f t="shared" si="6"/>
        <v>14.739382466250694</v>
      </c>
      <c r="S10" s="61">
        <f t="shared" si="7"/>
        <v>16.223003515821194</v>
      </c>
      <c r="T10" s="61">
        <f t="shared" si="1"/>
        <v>19.882055602358889</v>
      </c>
      <c r="U10" s="61">
        <f t="shared" si="17"/>
        <v>15.772309516750669</v>
      </c>
      <c r="V10" s="61"/>
      <c r="Y10" s="159" t="s">
        <v>46</v>
      </c>
      <c r="Z10" s="159" t="s">
        <v>68</v>
      </c>
      <c r="AA10" s="159" t="s">
        <v>163</v>
      </c>
      <c r="AB10" s="159">
        <f t="shared" si="8"/>
        <v>6</v>
      </c>
      <c r="AC10" s="164">
        <f t="shared" si="18"/>
        <v>11.621856027753687</v>
      </c>
      <c r="AD10" s="164">
        <f t="shared" si="9"/>
        <v>19.875776397515526</v>
      </c>
      <c r="AE10" s="159"/>
      <c r="AF10" s="159">
        <f t="shared" si="10"/>
        <v>22</v>
      </c>
      <c r="AG10" s="160" t="str">
        <f t="shared" si="11"/>
        <v>N/A</v>
      </c>
      <c r="AH10" s="161">
        <f t="shared" si="12"/>
        <v>16.368903911154032</v>
      </c>
      <c r="AI10" s="161">
        <f t="shared" si="13"/>
        <v>14.8379299492891</v>
      </c>
      <c r="AJ10" s="161">
        <f t="shared" si="14"/>
        <v>18.024410251308279</v>
      </c>
      <c r="AK10" s="160">
        <f t="shared" si="15"/>
        <v>1</v>
      </c>
    </row>
    <row r="11" spans="1:37" x14ac:dyDescent="0.2">
      <c r="A11" s="62" t="s">
        <v>34</v>
      </c>
      <c r="B11" s="62" t="s">
        <v>59</v>
      </c>
      <c r="C11" s="62" t="s">
        <v>200</v>
      </c>
      <c r="D11" s="62"/>
      <c r="E11" s="62">
        <f t="shared" si="2"/>
        <v>23</v>
      </c>
      <c r="F11" s="128" t="s">
        <v>79</v>
      </c>
      <c r="G11" s="129">
        <v>16.422397594889141</v>
      </c>
      <c r="H11" s="129">
        <v>15.06335200670671</v>
      </c>
      <c r="I11" s="129">
        <v>17.878249675262634</v>
      </c>
      <c r="J11" s="129"/>
      <c r="K11" s="129"/>
      <c r="L11" s="129"/>
      <c r="M11" s="60">
        <f t="shared" si="0"/>
        <v>1</v>
      </c>
      <c r="N11" s="61">
        <f t="shared" si="3"/>
        <v>6.3106796116504853</v>
      </c>
      <c r="O11" s="61">
        <f t="shared" si="16"/>
        <v>9.5100864553314111</v>
      </c>
      <c r="P11" s="129">
        <f t="shared" si="4"/>
        <v>14.004253890070526</v>
      </c>
      <c r="Q11" s="129">
        <f t="shared" si="5"/>
        <v>13.300070514616721</v>
      </c>
      <c r="R11" s="129">
        <f t="shared" si="6"/>
        <v>14.739382466250694</v>
      </c>
      <c r="S11" s="61">
        <f t="shared" si="7"/>
        <v>16.223003515821194</v>
      </c>
      <c r="T11" s="61">
        <f t="shared" si="1"/>
        <v>19.882055602358889</v>
      </c>
      <c r="U11" s="61">
        <f t="shared" si="17"/>
        <v>16.319099635882157</v>
      </c>
      <c r="V11" s="61"/>
      <c r="Y11" s="159" t="s">
        <v>47</v>
      </c>
      <c r="Z11" s="159" t="s">
        <v>69</v>
      </c>
      <c r="AA11" s="159" t="s">
        <v>163</v>
      </c>
      <c r="AB11" s="159">
        <f t="shared" si="8"/>
        <v>8</v>
      </c>
      <c r="AC11" s="164">
        <f t="shared" si="18"/>
        <v>11.621856027753687</v>
      </c>
      <c r="AD11" s="164">
        <f t="shared" si="9"/>
        <v>19.875776397515526</v>
      </c>
      <c r="AE11" s="159"/>
      <c r="AF11" s="159">
        <f t="shared" si="10"/>
        <v>25</v>
      </c>
      <c r="AG11" s="160" t="str">
        <f t="shared" si="11"/>
        <v>N/A</v>
      </c>
      <c r="AH11" s="161">
        <f t="shared" si="12"/>
        <v>19.875776397515526</v>
      </c>
      <c r="AI11" s="161">
        <f t="shared" si="13"/>
        <v>15.883389427143053</v>
      </c>
      <c r="AJ11" s="161">
        <f t="shared" si="14"/>
        <v>24.578453365318968</v>
      </c>
      <c r="AK11" s="160">
        <f t="shared" si="15"/>
        <v>1</v>
      </c>
    </row>
    <row r="12" spans="1:37" x14ac:dyDescent="0.2">
      <c r="A12" s="62" t="s">
        <v>35</v>
      </c>
      <c r="B12" s="62" t="s">
        <v>60</v>
      </c>
      <c r="C12" s="62" t="s">
        <v>163</v>
      </c>
      <c r="D12" s="62"/>
      <c r="E12" s="62">
        <f t="shared" si="2"/>
        <v>21</v>
      </c>
      <c r="F12" s="128" t="s">
        <v>79</v>
      </c>
      <c r="G12" s="129">
        <v>16.24940954180444</v>
      </c>
      <c r="H12" s="129">
        <v>14.739326397747888</v>
      </c>
      <c r="I12" s="129">
        <v>17.881756896493091</v>
      </c>
      <c r="J12" s="129"/>
      <c r="K12" s="129"/>
      <c r="L12" s="129"/>
      <c r="M12" s="60">
        <f t="shared" si="0"/>
        <v>5</v>
      </c>
      <c r="N12" s="61">
        <f t="shared" si="3"/>
        <v>6.3106796116504853</v>
      </c>
      <c r="O12" s="61">
        <f t="shared" si="16"/>
        <v>9.5100864553314111</v>
      </c>
      <c r="P12" s="129">
        <f t="shared" si="4"/>
        <v>14.004253890070526</v>
      </c>
      <c r="Q12" s="129">
        <f t="shared" si="5"/>
        <v>13.300070514616721</v>
      </c>
      <c r="R12" s="129">
        <f t="shared" si="6"/>
        <v>14.739382466250694</v>
      </c>
      <c r="S12" s="61">
        <f t="shared" si="7"/>
        <v>16.223003515821194</v>
      </c>
      <c r="T12" s="61">
        <f t="shared" si="1"/>
        <v>19.882055602358889</v>
      </c>
      <c r="U12" s="61">
        <f t="shared" si="17"/>
        <v>15.772309516750669</v>
      </c>
      <c r="V12" s="61"/>
      <c r="Y12" s="159" t="s">
        <v>50</v>
      </c>
      <c r="Z12" s="159" t="s">
        <v>161</v>
      </c>
      <c r="AA12" s="159" t="s">
        <v>163</v>
      </c>
      <c r="AB12" s="159">
        <f t="shared" si="8"/>
        <v>1</v>
      </c>
      <c r="AC12" s="164">
        <f t="shared" si="18"/>
        <v>11.621856027753687</v>
      </c>
      <c r="AD12" s="164">
        <f t="shared" si="9"/>
        <v>19.875776397515526</v>
      </c>
      <c r="AE12" s="159"/>
      <c r="AF12" s="159">
        <f t="shared" si="10"/>
        <v>11</v>
      </c>
      <c r="AG12" s="160" t="str">
        <f t="shared" si="11"/>
        <v>N/A</v>
      </c>
      <c r="AH12" s="161">
        <f t="shared" si="12"/>
        <v>11.621856027753687</v>
      </c>
      <c r="AI12" s="161">
        <f t="shared" si="13"/>
        <v>9.8980980378903993</v>
      </c>
      <c r="AJ12" s="161">
        <f t="shared" si="14"/>
        <v>13.600494336021789</v>
      </c>
      <c r="AK12" s="160">
        <f t="shared" si="15"/>
        <v>5</v>
      </c>
    </row>
    <row r="13" spans="1:37" x14ac:dyDescent="0.2">
      <c r="A13" s="62" t="s">
        <v>36</v>
      </c>
      <c r="B13" s="62" t="s">
        <v>61</v>
      </c>
      <c r="C13" s="62" t="s">
        <v>201</v>
      </c>
      <c r="D13" s="62"/>
      <c r="E13" s="62">
        <f t="shared" si="2"/>
        <v>4</v>
      </c>
      <c r="F13" s="128" t="s">
        <v>79</v>
      </c>
      <c r="G13" s="129">
        <v>8.6666666666666661</v>
      </c>
      <c r="H13" s="129">
        <v>7.3463740628833678</v>
      </c>
      <c r="I13" s="129">
        <v>10.198125543318303</v>
      </c>
      <c r="J13" s="129"/>
      <c r="K13" s="129"/>
      <c r="L13" s="129"/>
      <c r="M13" s="60">
        <f t="shared" si="0"/>
        <v>2</v>
      </c>
      <c r="N13" s="61">
        <f t="shared" si="3"/>
        <v>6.3106796116504853</v>
      </c>
      <c r="O13" s="61">
        <f t="shared" si="16"/>
        <v>9.5100864553314111</v>
      </c>
      <c r="P13" s="129">
        <f t="shared" si="4"/>
        <v>14.004253890070526</v>
      </c>
      <c r="Q13" s="129">
        <f t="shared" si="5"/>
        <v>13.300070514616721</v>
      </c>
      <c r="R13" s="129">
        <f t="shared" si="6"/>
        <v>14.739382466250694</v>
      </c>
      <c r="S13" s="61">
        <f t="shared" si="7"/>
        <v>16.223003515821194</v>
      </c>
      <c r="T13" s="61">
        <f t="shared" si="1"/>
        <v>19.882055602358889</v>
      </c>
      <c r="U13" s="61">
        <f t="shared" si="17"/>
        <v>8.9011421819614025</v>
      </c>
      <c r="V13" s="61"/>
      <c r="Y13" s="159" t="s">
        <v>53</v>
      </c>
      <c r="Z13" s="159" t="s">
        <v>162</v>
      </c>
      <c r="AA13" s="159" t="s">
        <v>163</v>
      </c>
      <c r="AB13" s="159">
        <f>RANK(AH13,$AH$6:$AH$13,1)</f>
        <v>3</v>
      </c>
      <c r="AC13" s="164">
        <f t="shared" si="18"/>
        <v>11.621856027753687</v>
      </c>
      <c r="AD13" s="164">
        <f t="shared" si="9"/>
        <v>19.875776397515526</v>
      </c>
      <c r="AE13" s="159"/>
      <c r="AF13" s="159">
        <f t="shared" si="10"/>
        <v>19</v>
      </c>
      <c r="AG13" s="160" t="str">
        <f t="shared" si="11"/>
        <v>N/A</v>
      </c>
      <c r="AH13" s="161">
        <f t="shared" si="12"/>
        <v>15.854738706820196</v>
      </c>
      <c r="AI13" s="161">
        <f t="shared" si="13"/>
        <v>14.663425877499304</v>
      </c>
      <c r="AJ13" s="161">
        <f t="shared" si="14"/>
        <v>17.123417356261264</v>
      </c>
      <c r="AK13" s="160">
        <f t="shared" si="15"/>
        <v>5</v>
      </c>
    </row>
    <row r="14" spans="1:37" x14ac:dyDescent="0.2">
      <c r="A14" s="62" t="s">
        <v>37</v>
      </c>
      <c r="B14" s="62" t="s">
        <v>157</v>
      </c>
      <c r="C14" s="62" t="s">
        <v>201</v>
      </c>
      <c r="D14" s="62"/>
      <c r="E14" s="62">
        <f t="shared" si="2"/>
        <v>2</v>
      </c>
      <c r="F14" s="128" t="s">
        <v>79</v>
      </c>
      <c r="G14" s="129">
        <v>8.3272990586531499</v>
      </c>
      <c r="H14" s="129">
        <v>6.9831206727855006</v>
      </c>
      <c r="I14" s="129">
        <v>9.9026720893570541</v>
      </c>
      <c r="J14" s="129"/>
      <c r="K14" s="129"/>
      <c r="L14" s="129"/>
      <c r="M14" s="60">
        <f t="shared" si="0"/>
        <v>2</v>
      </c>
      <c r="N14" s="61">
        <f t="shared" si="3"/>
        <v>6.3106796116504853</v>
      </c>
      <c r="O14" s="61">
        <f t="shared" si="16"/>
        <v>9.5100864553314111</v>
      </c>
      <c r="P14" s="129">
        <f t="shared" si="4"/>
        <v>14.004253890070526</v>
      </c>
      <c r="Q14" s="129">
        <f t="shared" si="5"/>
        <v>13.300070514616721</v>
      </c>
      <c r="R14" s="129">
        <f t="shared" si="6"/>
        <v>14.739382466250694</v>
      </c>
      <c r="S14" s="61">
        <f t="shared" si="7"/>
        <v>16.223003515821194</v>
      </c>
      <c r="T14" s="61">
        <f t="shared" si="1"/>
        <v>19.882055602358889</v>
      </c>
      <c r="U14" s="61">
        <f t="shared" si="17"/>
        <v>8.9011421819614025</v>
      </c>
      <c r="V14" s="61"/>
      <c r="Y14" s="162" t="s">
        <v>29</v>
      </c>
      <c r="Z14" s="162" t="s">
        <v>55</v>
      </c>
      <c r="AA14" s="162" t="s">
        <v>201</v>
      </c>
      <c r="AB14" s="162">
        <f>RANK(AH14,$AH$14:$AH$22,1)</f>
        <v>6</v>
      </c>
      <c r="AC14" s="165">
        <f t="shared" ref="AC14:AC22" si="19">MIN($AH$14:$AH$22)</f>
        <v>6.3106796116504853</v>
      </c>
      <c r="AD14" s="165">
        <f>MAX($AH$14:$AH$22)</f>
        <v>14.55449059282925</v>
      </c>
      <c r="AE14" s="162"/>
      <c r="AF14" s="162">
        <f t="shared" si="10"/>
        <v>7</v>
      </c>
      <c r="AG14" s="167" t="str">
        <f t="shared" si="11"/>
        <v>N/A</v>
      </c>
      <c r="AH14" s="165">
        <f t="shared" si="12"/>
        <v>9.5100864553314111</v>
      </c>
      <c r="AI14" s="165">
        <f t="shared" si="13"/>
        <v>7.5450746962127155</v>
      </c>
      <c r="AJ14" s="165">
        <f t="shared" si="14"/>
        <v>11.92087378014425</v>
      </c>
      <c r="AK14" s="167">
        <f t="shared" si="15"/>
        <v>2</v>
      </c>
    </row>
    <row r="15" spans="1:37" x14ac:dyDescent="0.2">
      <c r="A15" s="62" t="s">
        <v>38</v>
      </c>
      <c r="B15" s="62" t="s">
        <v>62</v>
      </c>
      <c r="C15" s="62" t="s">
        <v>201</v>
      </c>
      <c r="D15" s="62"/>
      <c r="E15" s="62">
        <f t="shared" si="2"/>
        <v>10</v>
      </c>
      <c r="F15" s="128" t="s">
        <v>79</v>
      </c>
      <c r="G15" s="129">
        <v>10.684474123539232</v>
      </c>
      <c r="H15" s="129">
        <v>8.4563459388893136</v>
      </c>
      <c r="I15" s="129">
        <v>13.413659332249203</v>
      </c>
      <c r="J15" s="129"/>
      <c r="K15" s="129"/>
      <c r="L15" s="129"/>
      <c r="M15" s="60">
        <f t="shared" si="0"/>
        <v>5</v>
      </c>
      <c r="N15" s="61">
        <f t="shared" si="3"/>
        <v>6.3106796116504853</v>
      </c>
      <c r="O15" s="61">
        <f t="shared" si="16"/>
        <v>9.5100864553314111</v>
      </c>
      <c r="P15" s="129">
        <f t="shared" si="4"/>
        <v>14.004253890070526</v>
      </c>
      <c r="Q15" s="129">
        <f t="shared" si="5"/>
        <v>13.300070514616721</v>
      </c>
      <c r="R15" s="129">
        <f t="shared" si="6"/>
        <v>14.739382466250694</v>
      </c>
      <c r="S15" s="61">
        <f t="shared" si="7"/>
        <v>16.223003515821194</v>
      </c>
      <c r="T15" s="61">
        <f t="shared" si="1"/>
        <v>19.882055602358889</v>
      </c>
      <c r="U15" s="61">
        <f t="shared" si="17"/>
        <v>8.9011421819614025</v>
      </c>
      <c r="V15" s="61"/>
      <c r="Y15" s="162" t="s">
        <v>32</v>
      </c>
      <c r="Z15" s="162" t="s">
        <v>156</v>
      </c>
      <c r="AA15" s="162" t="s">
        <v>201</v>
      </c>
      <c r="AB15" s="162">
        <f>RANK(AH15,$AH$14:$AH$22,1)</f>
        <v>9</v>
      </c>
      <c r="AC15" s="165">
        <f t="shared" si="19"/>
        <v>6.3106796116504853</v>
      </c>
      <c r="AD15" s="165">
        <f t="shared" ref="AD15:AD22" si="20">MAX($AH$14:$AH$22)</f>
        <v>14.55449059282925</v>
      </c>
      <c r="AE15" s="162"/>
      <c r="AF15" s="162">
        <f t="shared" si="10"/>
        <v>15</v>
      </c>
      <c r="AG15" s="167" t="str">
        <f t="shared" si="11"/>
        <v>N/A</v>
      </c>
      <c r="AH15" s="165">
        <f t="shared" si="12"/>
        <v>14.55449059282925</v>
      </c>
      <c r="AI15" s="165">
        <f t="shared" si="13"/>
        <v>13.300492588630346</v>
      </c>
      <c r="AJ15" s="165">
        <f t="shared" si="14"/>
        <v>15.905028914344035</v>
      </c>
      <c r="AK15" s="167">
        <f t="shared" si="15"/>
        <v>5</v>
      </c>
    </row>
    <row r="16" spans="1:37" x14ac:dyDescent="0.2">
      <c r="A16" s="62" t="s">
        <v>39</v>
      </c>
      <c r="B16" s="62" t="s">
        <v>158</v>
      </c>
      <c r="C16" s="62" t="s">
        <v>200</v>
      </c>
      <c r="D16" s="62"/>
      <c r="E16" s="62">
        <f t="shared" si="2"/>
        <v>16</v>
      </c>
      <c r="F16" s="128" t="s">
        <v>79</v>
      </c>
      <c r="G16" s="129">
        <v>15.019920318725099</v>
      </c>
      <c r="H16" s="129">
        <v>13.675753232460156</v>
      </c>
      <c r="I16" s="129">
        <v>16.470995129953138</v>
      </c>
      <c r="J16" s="129"/>
      <c r="K16" s="129"/>
      <c r="L16" s="129"/>
      <c r="M16" s="60">
        <f t="shared" si="0"/>
        <v>5</v>
      </c>
      <c r="N16" s="61">
        <f t="shared" si="3"/>
        <v>6.3106796116504853</v>
      </c>
      <c r="O16" s="61">
        <f t="shared" si="16"/>
        <v>9.5100864553314111</v>
      </c>
      <c r="P16" s="129">
        <f t="shared" si="4"/>
        <v>14.004253890070526</v>
      </c>
      <c r="Q16" s="129">
        <f t="shared" si="5"/>
        <v>13.300070514616721</v>
      </c>
      <c r="R16" s="129">
        <f t="shared" si="6"/>
        <v>14.739382466250694</v>
      </c>
      <c r="S16" s="61">
        <f t="shared" si="7"/>
        <v>16.223003515821194</v>
      </c>
      <c r="T16" s="61">
        <f t="shared" si="1"/>
        <v>19.882055602358889</v>
      </c>
      <c r="U16" s="61">
        <f t="shared" si="17"/>
        <v>16.319099635882157</v>
      </c>
      <c r="V16" s="61"/>
      <c r="Y16" s="162" t="s">
        <v>36</v>
      </c>
      <c r="Z16" s="162" t="s">
        <v>61</v>
      </c>
      <c r="AA16" s="162" t="s">
        <v>201</v>
      </c>
      <c r="AB16" s="162">
        <f>RANK(AH16,$AH$14:$AH$22,1)</f>
        <v>4</v>
      </c>
      <c r="AC16" s="165">
        <f t="shared" si="19"/>
        <v>6.3106796116504853</v>
      </c>
      <c r="AD16" s="165">
        <f t="shared" si="20"/>
        <v>14.55449059282925</v>
      </c>
      <c r="AE16" s="162"/>
      <c r="AF16" s="162">
        <f t="shared" si="10"/>
        <v>4</v>
      </c>
      <c r="AG16" s="167" t="str">
        <f t="shared" si="11"/>
        <v>N/A</v>
      </c>
      <c r="AH16" s="165">
        <f t="shared" si="12"/>
        <v>8.6666666666666661</v>
      </c>
      <c r="AI16" s="165">
        <f t="shared" si="13"/>
        <v>7.3463740628833678</v>
      </c>
      <c r="AJ16" s="165">
        <f t="shared" si="14"/>
        <v>10.198125543318303</v>
      </c>
      <c r="AK16" s="167">
        <f t="shared" si="15"/>
        <v>2</v>
      </c>
    </row>
    <row r="17" spans="1:37" x14ac:dyDescent="0.2">
      <c r="A17" s="62" t="s">
        <v>40</v>
      </c>
      <c r="B17" s="62" t="s">
        <v>63</v>
      </c>
      <c r="C17" s="62" t="s">
        <v>200</v>
      </c>
      <c r="D17" s="62"/>
      <c r="E17" s="62">
        <f t="shared" si="2"/>
        <v>12</v>
      </c>
      <c r="F17" s="128" t="s">
        <v>79</v>
      </c>
      <c r="G17" s="129">
        <v>12.514092446448705</v>
      </c>
      <c r="H17" s="129">
        <v>10.496949166747536</v>
      </c>
      <c r="I17" s="129">
        <v>14.85452685454873</v>
      </c>
      <c r="J17" s="129"/>
      <c r="K17" s="129"/>
      <c r="L17" s="129"/>
      <c r="M17" s="60">
        <f t="shared" si="0"/>
        <v>5</v>
      </c>
      <c r="N17" s="61">
        <f t="shared" si="3"/>
        <v>6.3106796116504853</v>
      </c>
      <c r="O17" s="61">
        <f t="shared" si="16"/>
        <v>9.5100864553314111</v>
      </c>
      <c r="P17" s="129">
        <f t="shared" si="4"/>
        <v>14.004253890070526</v>
      </c>
      <c r="Q17" s="129">
        <f t="shared" si="5"/>
        <v>13.300070514616721</v>
      </c>
      <c r="R17" s="129">
        <f t="shared" si="6"/>
        <v>14.739382466250694</v>
      </c>
      <c r="S17" s="61">
        <f t="shared" si="7"/>
        <v>16.223003515821194</v>
      </c>
      <c r="T17" s="61">
        <f t="shared" si="1"/>
        <v>19.882055602358889</v>
      </c>
      <c r="U17" s="61">
        <f t="shared" si="17"/>
        <v>16.319099635882157</v>
      </c>
      <c r="V17" s="61"/>
      <c r="Y17" s="162" t="s">
        <v>37</v>
      </c>
      <c r="Z17" s="162" t="s">
        <v>157</v>
      </c>
      <c r="AA17" s="162" t="s">
        <v>201</v>
      </c>
      <c r="AB17" s="162">
        <f t="shared" ref="AB17:AB22" si="21">RANK(AH17,$AH$14:$AH$22,1)</f>
        <v>2</v>
      </c>
      <c r="AC17" s="165">
        <f t="shared" si="19"/>
        <v>6.3106796116504853</v>
      </c>
      <c r="AD17" s="165">
        <f>MAX($AH$14:$AH$22)</f>
        <v>14.55449059282925</v>
      </c>
      <c r="AE17" s="162"/>
      <c r="AF17" s="162">
        <f t="shared" si="10"/>
        <v>2</v>
      </c>
      <c r="AG17" s="167" t="str">
        <f t="shared" si="11"/>
        <v>N/A</v>
      </c>
      <c r="AH17" s="165">
        <f t="shared" si="12"/>
        <v>8.3272990586531499</v>
      </c>
      <c r="AI17" s="165">
        <f t="shared" si="13"/>
        <v>6.9831206727855006</v>
      </c>
      <c r="AJ17" s="165">
        <f t="shared" si="14"/>
        <v>9.9026720893570541</v>
      </c>
      <c r="AK17" s="167">
        <f t="shared" si="15"/>
        <v>2</v>
      </c>
    </row>
    <row r="18" spans="1:37" x14ac:dyDescent="0.2">
      <c r="A18" s="62" t="s">
        <v>41</v>
      </c>
      <c r="B18" s="62" t="s">
        <v>64</v>
      </c>
      <c r="C18" s="62" t="s">
        <v>163</v>
      </c>
      <c r="D18" s="62"/>
      <c r="E18" s="62">
        <f t="shared" si="2"/>
        <v>20</v>
      </c>
      <c r="F18" s="128" t="s">
        <v>79</v>
      </c>
      <c r="G18" s="129">
        <v>16.223003515821194</v>
      </c>
      <c r="H18" s="129">
        <v>14.668951543408451</v>
      </c>
      <c r="I18" s="129">
        <v>17.907143962690864</v>
      </c>
      <c r="J18" s="129"/>
      <c r="K18" s="129"/>
      <c r="L18" s="129"/>
      <c r="M18" s="60">
        <f t="shared" si="0"/>
        <v>5</v>
      </c>
      <c r="N18" s="61">
        <f t="shared" si="3"/>
        <v>6.3106796116504853</v>
      </c>
      <c r="O18" s="61">
        <f t="shared" si="16"/>
        <v>9.5100864553314111</v>
      </c>
      <c r="P18" s="129">
        <f t="shared" si="4"/>
        <v>14.004253890070526</v>
      </c>
      <c r="Q18" s="129">
        <f t="shared" si="5"/>
        <v>13.300070514616721</v>
      </c>
      <c r="R18" s="129">
        <f t="shared" si="6"/>
        <v>14.739382466250694</v>
      </c>
      <c r="S18" s="61">
        <f t="shared" si="7"/>
        <v>16.223003515821194</v>
      </c>
      <c r="T18" s="61">
        <f t="shared" si="1"/>
        <v>19.882055602358889</v>
      </c>
      <c r="U18" s="61">
        <f t="shared" si="17"/>
        <v>15.772309516750669</v>
      </c>
      <c r="V18" s="61"/>
      <c r="Y18" s="162" t="s">
        <v>38</v>
      </c>
      <c r="Z18" s="162" t="s">
        <v>62</v>
      </c>
      <c r="AA18" s="162" t="s">
        <v>201</v>
      </c>
      <c r="AB18" s="162">
        <f t="shared" si="21"/>
        <v>8</v>
      </c>
      <c r="AC18" s="165">
        <f t="shared" si="19"/>
        <v>6.3106796116504853</v>
      </c>
      <c r="AD18" s="165">
        <f t="shared" si="20"/>
        <v>14.55449059282925</v>
      </c>
      <c r="AE18" s="162"/>
      <c r="AF18" s="162">
        <f t="shared" si="10"/>
        <v>10</v>
      </c>
      <c r="AG18" s="167" t="str">
        <f t="shared" si="11"/>
        <v>N/A</v>
      </c>
      <c r="AH18" s="165">
        <f t="shared" si="12"/>
        <v>10.684474123539232</v>
      </c>
      <c r="AI18" s="165">
        <f t="shared" si="13"/>
        <v>8.4563459388893136</v>
      </c>
      <c r="AJ18" s="165">
        <f t="shared" si="14"/>
        <v>13.413659332249203</v>
      </c>
      <c r="AK18" s="167">
        <f t="shared" si="15"/>
        <v>5</v>
      </c>
    </row>
    <row r="19" spans="1:37" x14ac:dyDescent="0.2">
      <c r="A19" s="62" t="s">
        <v>42</v>
      </c>
      <c r="B19" s="62" t="s">
        <v>65</v>
      </c>
      <c r="C19" s="62" t="s">
        <v>200</v>
      </c>
      <c r="D19" s="62"/>
      <c r="E19" s="62">
        <f t="shared" si="2"/>
        <v>14</v>
      </c>
      <c r="F19" s="128" t="s">
        <v>79</v>
      </c>
      <c r="G19" s="129">
        <v>14.482758620689655</v>
      </c>
      <c r="H19" s="129">
        <v>12.10814875575065</v>
      </c>
      <c r="I19" s="129">
        <v>17.231765464648046</v>
      </c>
      <c r="J19" s="129"/>
      <c r="K19" s="129"/>
      <c r="L19" s="129"/>
      <c r="M19" s="60">
        <f t="shared" si="0"/>
        <v>5</v>
      </c>
      <c r="N19" s="61">
        <f t="shared" si="3"/>
        <v>6.3106796116504853</v>
      </c>
      <c r="O19" s="61">
        <f t="shared" si="16"/>
        <v>9.5100864553314111</v>
      </c>
      <c r="P19" s="129">
        <f t="shared" si="4"/>
        <v>14.004253890070526</v>
      </c>
      <c r="Q19" s="129">
        <f t="shared" si="5"/>
        <v>13.300070514616721</v>
      </c>
      <c r="R19" s="129">
        <f t="shared" si="6"/>
        <v>14.739382466250694</v>
      </c>
      <c r="S19" s="61">
        <f t="shared" si="7"/>
        <v>16.223003515821194</v>
      </c>
      <c r="T19" s="61">
        <f t="shared" si="1"/>
        <v>19.882055602358889</v>
      </c>
      <c r="U19" s="61">
        <f t="shared" si="17"/>
        <v>16.319099635882157</v>
      </c>
      <c r="V19" s="61"/>
      <c r="Y19" s="162" t="s">
        <v>43</v>
      </c>
      <c r="Z19" s="162" t="s">
        <v>159</v>
      </c>
      <c r="AA19" s="162" t="s">
        <v>201</v>
      </c>
      <c r="AB19" s="162">
        <f t="shared" si="21"/>
        <v>7</v>
      </c>
      <c r="AC19" s="165">
        <f t="shared" si="19"/>
        <v>6.3106796116504853</v>
      </c>
      <c r="AD19" s="165">
        <f t="shared" si="20"/>
        <v>14.55449059282925</v>
      </c>
      <c r="AE19" s="162"/>
      <c r="AF19" s="162">
        <f t="shared" si="10"/>
        <v>8</v>
      </c>
      <c r="AG19" s="167" t="str">
        <f t="shared" si="11"/>
        <v>N/A</v>
      </c>
      <c r="AH19" s="165">
        <f t="shared" si="12"/>
        <v>9.5890410958904102</v>
      </c>
      <c r="AI19" s="165">
        <f t="shared" si="13"/>
        <v>8.112781132356508</v>
      </c>
      <c r="AJ19" s="165">
        <f t="shared" si="14"/>
        <v>11.300893942765258</v>
      </c>
      <c r="AK19" s="167">
        <f t="shared" si="15"/>
        <v>2</v>
      </c>
    </row>
    <row r="20" spans="1:37" x14ac:dyDescent="0.2">
      <c r="A20" s="62" t="s">
        <v>43</v>
      </c>
      <c r="B20" s="62" t="s">
        <v>159</v>
      </c>
      <c r="C20" s="62" t="s">
        <v>201</v>
      </c>
      <c r="D20" s="62"/>
      <c r="E20" s="62">
        <f t="shared" si="2"/>
        <v>8</v>
      </c>
      <c r="F20" s="128" t="s">
        <v>79</v>
      </c>
      <c r="G20" s="129">
        <v>9.5890410958904102</v>
      </c>
      <c r="H20" s="129">
        <v>8.112781132356508</v>
      </c>
      <c r="I20" s="129">
        <v>11.300893942765258</v>
      </c>
      <c r="J20" s="129"/>
      <c r="K20" s="129"/>
      <c r="L20" s="129"/>
      <c r="M20" s="60">
        <f t="shared" si="0"/>
        <v>2</v>
      </c>
      <c r="N20" s="61">
        <f t="shared" si="3"/>
        <v>6.3106796116504853</v>
      </c>
      <c r="O20" s="61">
        <f t="shared" si="16"/>
        <v>9.5100864553314111</v>
      </c>
      <c r="P20" s="129">
        <f t="shared" si="4"/>
        <v>14.004253890070526</v>
      </c>
      <c r="Q20" s="129">
        <f t="shared" si="5"/>
        <v>13.300070514616721</v>
      </c>
      <c r="R20" s="129">
        <f t="shared" si="6"/>
        <v>14.739382466250694</v>
      </c>
      <c r="S20" s="61">
        <f t="shared" si="7"/>
        <v>16.223003515821194</v>
      </c>
      <c r="T20" s="61">
        <f t="shared" si="1"/>
        <v>19.882055602358889</v>
      </c>
      <c r="U20" s="61">
        <f t="shared" si="17"/>
        <v>8.9011421819614025</v>
      </c>
      <c r="V20" s="61"/>
      <c r="Y20" s="162" t="s">
        <v>48</v>
      </c>
      <c r="Z20" s="162" t="s">
        <v>160</v>
      </c>
      <c r="AA20" s="162" t="s">
        <v>201</v>
      </c>
      <c r="AB20" s="162">
        <f t="shared" si="21"/>
        <v>1</v>
      </c>
      <c r="AC20" s="165">
        <f t="shared" si="19"/>
        <v>6.3106796116504853</v>
      </c>
      <c r="AD20" s="165">
        <f t="shared" si="20"/>
        <v>14.55449059282925</v>
      </c>
      <c r="AE20" s="162"/>
      <c r="AF20" s="162">
        <f t="shared" si="10"/>
        <v>1</v>
      </c>
      <c r="AG20" s="167" t="str">
        <f t="shared" si="11"/>
        <v>N/A</v>
      </c>
      <c r="AH20" s="165">
        <f t="shared" si="12"/>
        <v>6.3106796116504853</v>
      </c>
      <c r="AI20" s="165">
        <f t="shared" si="13"/>
        <v>4.6504744721020259</v>
      </c>
      <c r="AJ20" s="165">
        <f t="shared" si="14"/>
        <v>8.5106709709670625</v>
      </c>
      <c r="AK20" s="167">
        <f t="shared" si="15"/>
        <v>2</v>
      </c>
    </row>
    <row r="21" spans="1:37" x14ac:dyDescent="0.2">
      <c r="A21" s="62" t="s">
        <v>44</v>
      </c>
      <c r="B21" s="62" t="s">
        <v>66</v>
      </c>
      <c r="C21" s="62" t="s">
        <v>200</v>
      </c>
      <c r="D21" s="62"/>
      <c r="E21" s="62">
        <f t="shared" si="2"/>
        <v>5</v>
      </c>
      <c r="F21" s="128" t="s">
        <v>79</v>
      </c>
      <c r="G21" s="129">
        <v>8.6696562032884898</v>
      </c>
      <c r="H21" s="129">
        <v>6.7663889939371211</v>
      </c>
      <c r="I21" s="129">
        <v>11.044858700392419</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2</v>
      </c>
      <c r="N21" s="61">
        <f t="shared" si="3"/>
        <v>6.3106796116504853</v>
      </c>
      <c r="O21" s="61">
        <f t="shared" si="16"/>
        <v>9.5100864553314111</v>
      </c>
      <c r="P21" s="129">
        <f t="shared" si="4"/>
        <v>14.004253890070526</v>
      </c>
      <c r="Q21" s="129">
        <f t="shared" si="5"/>
        <v>13.300070514616721</v>
      </c>
      <c r="R21" s="129">
        <f t="shared" si="6"/>
        <v>14.739382466250694</v>
      </c>
      <c r="S21" s="61">
        <f t="shared" si="7"/>
        <v>16.223003515821194</v>
      </c>
      <c r="T21" s="61">
        <f t="shared" si="1"/>
        <v>19.882055602358889</v>
      </c>
      <c r="U21" s="61">
        <f t="shared" si="17"/>
        <v>16.319099635882157</v>
      </c>
      <c r="V21" s="61"/>
      <c r="Y21" s="162" t="s">
        <v>52</v>
      </c>
      <c r="Z21" s="162" t="s">
        <v>72</v>
      </c>
      <c r="AA21" s="162" t="s">
        <v>201</v>
      </c>
      <c r="AB21" s="162">
        <f t="shared" si="21"/>
        <v>5</v>
      </c>
      <c r="AC21" s="165">
        <f t="shared" si="19"/>
        <v>6.3106796116504853</v>
      </c>
      <c r="AD21" s="165">
        <f t="shared" si="20"/>
        <v>14.55449059282925</v>
      </c>
      <c r="AE21" s="162"/>
      <c r="AF21" s="162">
        <f t="shared" si="10"/>
        <v>6</v>
      </c>
      <c r="AG21" s="167" t="str">
        <f t="shared" si="11"/>
        <v>N/A</v>
      </c>
      <c r="AH21" s="165">
        <f t="shared" si="12"/>
        <v>9.1111111111111107</v>
      </c>
      <c r="AI21" s="165">
        <f t="shared" si="13"/>
        <v>6.7871749608710408</v>
      </c>
      <c r="AJ21" s="165">
        <f t="shared" si="14"/>
        <v>12.12724044836745</v>
      </c>
      <c r="AK21" s="167">
        <f t="shared" si="15"/>
        <v>2</v>
      </c>
    </row>
    <row r="22" spans="1:37" x14ac:dyDescent="0.2">
      <c r="A22" s="62" t="s">
        <v>45</v>
      </c>
      <c r="B22" s="62" t="s">
        <v>67</v>
      </c>
      <c r="C22" s="62" t="s">
        <v>163</v>
      </c>
      <c r="D22" s="62"/>
      <c r="E22" s="62">
        <f t="shared" si="2"/>
        <v>13</v>
      </c>
      <c r="F22" s="128" t="s">
        <v>79</v>
      </c>
      <c r="G22" s="129">
        <v>13.08298001211387</v>
      </c>
      <c r="H22" s="129">
        <v>11.541709414348484</v>
      </c>
      <c r="I22" s="129">
        <v>14.795644928422947</v>
      </c>
      <c r="J22" s="129"/>
      <c r="K22" s="129"/>
      <c r="L22" s="129"/>
      <c r="M22" s="60">
        <f t="shared" si="0"/>
        <v>5</v>
      </c>
      <c r="N22" s="61">
        <f t="shared" si="3"/>
        <v>6.3106796116504853</v>
      </c>
      <c r="O22" s="61">
        <f t="shared" si="16"/>
        <v>9.5100864553314111</v>
      </c>
      <c r="P22" s="129">
        <f t="shared" si="4"/>
        <v>14.004253890070526</v>
      </c>
      <c r="Q22" s="129">
        <f t="shared" si="5"/>
        <v>13.300070514616721</v>
      </c>
      <c r="R22" s="129">
        <f t="shared" si="6"/>
        <v>14.739382466250694</v>
      </c>
      <c r="S22" s="61">
        <f t="shared" si="7"/>
        <v>16.223003515821194</v>
      </c>
      <c r="T22" s="61">
        <f t="shared" si="1"/>
        <v>19.882055602358889</v>
      </c>
      <c r="U22" s="61">
        <f>VLOOKUP(C22,$C$43:$I$46,5,FALSE)</f>
        <v>15.772309516750669</v>
      </c>
      <c r="V22" s="61"/>
      <c r="Y22" s="162" t="s">
        <v>54</v>
      </c>
      <c r="Z22" s="162" t="s">
        <v>73</v>
      </c>
      <c r="AA22" s="162" t="s">
        <v>201</v>
      </c>
      <c r="AB22" s="162">
        <f t="shared" si="21"/>
        <v>3</v>
      </c>
      <c r="AC22" s="165">
        <f t="shared" si="19"/>
        <v>6.3106796116504853</v>
      </c>
      <c r="AD22" s="165">
        <f t="shared" si="20"/>
        <v>14.55449059282925</v>
      </c>
      <c r="AE22" s="162"/>
      <c r="AF22" s="162">
        <f t="shared" si="10"/>
        <v>3</v>
      </c>
      <c r="AG22" s="167" t="str">
        <f t="shared" si="11"/>
        <v>N/A</v>
      </c>
      <c r="AH22" s="165">
        <f t="shared" si="12"/>
        <v>8.536585365853659</v>
      </c>
      <c r="AI22" s="165">
        <f t="shared" si="13"/>
        <v>6.8842961793221802</v>
      </c>
      <c r="AJ22" s="165">
        <f t="shared" si="14"/>
        <v>10.540547570508648</v>
      </c>
      <c r="AK22" s="167">
        <f t="shared" si="15"/>
        <v>2</v>
      </c>
    </row>
    <row r="23" spans="1:37" x14ac:dyDescent="0.2">
      <c r="A23" s="62" t="s">
        <v>46</v>
      </c>
      <c r="B23" s="62" t="s">
        <v>68</v>
      </c>
      <c r="C23" s="62" t="s">
        <v>163</v>
      </c>
      <c r="D23" s="62"/>
      <c r="E23" s="62">
        <f t="shared" si="2"/>
        <v>22</v>
      </c>
      <c r="F23" s="128" t="s">
        <v>79</v>
      </c>
      <c r="G23" s="129">
        <v>16.368903911154032</v>
      </c>
      <c r="H23" s="129">
        <v>14.8379299492891</v>
      </c>
      <c r="I23" s="129">
        <v>18.024410251308279</v>
      </c>
      <c r="J23" s="129"/>
      <c r="K23" s="129"/>
      <c r="L23" s="129"/>
      <c r="M23" s="60">
        <f t="shared" si="0"/>
        <v>1</v>
      </c>
      <c r="N23" s="61">
        <f t="shared" si="3"/>
        <v>6.3106796116504853</v>
      </c>
      <c r="O23" s="61">
        <f t="shared" si="16"/>
        <v>9.5100864553314111</v>
      </c>
      <c r="P23" s="129">
        <f t="shared" si="4"/>
        <v>14.004253890070526</v>
      </c>
      <c r="Q23" s="129">
        <f t="shared" si="5"/>
        <v>13.300070514616721</v>
      </c>
      <c r="R23" s="129">
        <f t="shared" si="6"/>
        <v>14.739382466250694</v>
      </c>
      <c r="S23" s="61">
        <f t="shared" si="7"/>
        <v>16.223003515821194</v>
      </c>
      <c r="T23" s="61">
        <f t="shared" si="1"/>
        <v>19.882055602358889</v>
      </c>
      <c r="U23" s="61">
        <f t="shared" si="17"/>
        <v>15.772309516750669</v>
      </c>
      <c r="V23" s="61"/>
      <c r="Y23" s="163" t="s">
        <v>30</v>
      </c>
      <c r="Z23" s="163" t="s">
        <v>56</v>
      </c>
      <c r="AA23" s="163" t="s">
        <v>200</v>
      </c>
      <c r="AB23" s="163">
        <f>RANK(AH23,$AH$23:$AH$31,1)</f>
        <v>7</v>
      </c>
      <c r="AC23" s="166">
        <f>MIN($AH$23:$AH$31)</f>
        <v>8.6696562032884898</v>
      </c>
      <c r="AD23" s="166">
        <f>MAX($AH$23:$AH$31)</f>
        <v>19.882055602358889</v>
      </c>
      <c r="AE23" s="163"/>
      <c r="AF23" s="163">
        <f t="shared" si="10"/>
        <v>18</v>
      </c>
      <c r="AG23" s="168" t="str">
        <f t="shared" si="11"/>
        <v>N/A</v>
      </c>
      <c r="AH23" s="166">
        <f t="shared" si="12"/>
        <v>15.708418891170432</v>
      </c>
      <c r="AI23" s="166">
        <f t="shared" si="13"/>
        <v>13.558437325451051</v>
      </c>
      <c r="AJ23" s="166">
        <f t="shared" si="14"/>
        <v>18.127830016329703</v>
      </c>
      <c r="AK23" s="168">
        <f t="shared" si="15"/>
        <v>5</v>
      </c>
    </row>
    <row r="24" spans="1:37" x14ac:dyDescent="0.2">
      <c r="A24" s="62" t="s">
        <v>47</v>
      </c>
      <c r="B24" s="62" t="s">
        <v>69</v>
      </c>
      <c r="C24" s="62" t="s">
        <v>163</v>
      </c>
      <c r="D24" s="62"/>
      <c r="E24" s="62">
        <f t="shared" si="2"/>
        <v>25</v>
      </c>
      <c r="F24" s="128" t="s">
        <v>79</v>
      </c>
      <c r="G24" s="129">
        <v>19.875776397515526</v>
      </c>
      <c r="H24" s="129">
        <v>15.883389427143053</v>
      </c>
      <c r="I24" s="129">
        <v>24.578453365318968</v>
      </c>
      <c r="J24" s="129"/>
      <c r="K24" s="129"/>
      <c r="L24" s="129"/>
      <c r="M24" s="60">
        <f t="shared" si="0"/>
        <v>1</v>
      </c>
      <c r="N24" s="61">
        <f t="shared" si="3"/>
        <v>6.3106796116504853</v>
      </c>
      <c r="O24" s="61">
        <f t="shared" si="16"/>
        <v>9.5100864553314111</v>
      </c>
      <c r="P24" s="129">
        <f t="shared" si="4"/>
        <v>14.004253890070526</v>
      </c>
      <c r="Q24" s="129">
        <f t="shared" si="5"/>
        <v>13.300070514616721</v>
      </c>
      <c r="R24" s="129">
        <f t="shared" si="6"/>
        <v>14.739382466250694</v>
      </c>
      <c r="S24" s="61">
        <f t="shared" si="7"/>
        <v>16.223003515821194</v>
      </c>
      <c r="T24" s="61">
        <f t="shared" si="1"/>
        <v>19.882055602358889</v>
      </c>
      <c r="U24" s="61">
        <f t="shared" si="17"/>
        <v>15.772309516750669</v>
      </c>
      <c r="V24" s="61"/>
      <c r="Y24" s="163" t="s">
        <v>31</v>
      </c>
      <c r="Z24" s="163" t="s">
        <v>57</v>
      </c>
      <c r="AA24" s="163" t="s">
        <v>200</v>
      </c>
      <c r="AB24" s="163">
        <f t="shared" ref="AB24:AB31" si="22">RANK(AH24,$AH$23:$AH$31,1)</f>
        <v>6</v>
      </c>
      <c r="AC24" s="166">
        <f t="shared" ref="AC24:AC31" si="23">MIN($AH$23:$AH$31)</f>
        <v>8.6696562032884898</v>
      </c>
      <c r="AD24" s="166">
        <f t="shared" ref="AD24:AD31" si="24">MAX($AH$23:$AH$31)</f>
        <v>19.882055602358889</v>
      </c>
      <c r="AE24" s="163"/>
      <c r="AF24" s="163">
        <f t="shared" si="10"/>
        <v>17</v>
      </c>
      <c r="AG24" s="168" t="str">
        <f t="shared" si="11"/>
        <v>N/A</v>
      </c>
      <c r="AH24" s="166">
        <f t="shared" si="12"/>
        <v>15.691390234811779</v>
      </c>
      <c r="AI24" s="166">
        <f t="shared" si="13"/>
        <v>14.364279517409908</v>
      </c>
      <c r="AJ24" s="166">
        <f t="shared" si="14"/>
        <v>17.116605074565609</v>
      </c>
      <c r="AK24" s="168">
        <f t="shared" si="15"/>
        <v>5</v>
      </c>
    </row>
    <row r="25" spans="1:37" x14ac:dyDescent="0.2">
      <c r="A25" s="62" t="s">
        <v>48</v>
      </c>
      <c r="B25" s="62" t="s">
        <v>160</v>
      </c>
      <c r="C25" s="62" t="s">
        <v>201</v>
      </c>
      <c r="D25" s="62"/>
      <c r="E25" s="62">
        <f t="shared" si="2"/>
        <v>1</v>
      </c>
      <c r="F25" s="128" t="s">
        <v>79</v>
      </c>
      <c r="G25" s="129">
        <v>6.3106796116504853</v>
      </c>
      <c r="H25" s="129">
        <v>4.6504744721020259</v>
      </c>
      <c r="I25" s="129">
        <v>8.5106709709670625</v>
      </c>
      <c r="J25" s="129"/>
      <c r="K25" s="129"/>
      <c r="L25" s="129"/>
      <c r="M25" s="60">
        <f t="shared" si="0"/>
        <v>2</v>
      </c>
      <c r="N25" s="61">
        <f t="shared" si="3"/>
        <v>6.3106796116504853</v>
      </c>
      <c r="O25" s="61">
        <f t="shared" si="16"/>
        <v>9.5100864553314111</v>
      </c>
      <c r="P25" s="129">
        <f t="shared" si="4"/>
        <v>14.004253890070526</v>
      </c>
      <c r="Q25" s="129">
        <f t="shared" si="5"/>
        <v>13.300070514616721</v>
      </c>
      <c r="R25" s="129">
        <f t="shared" si="6"/>
        <v>14.739382466250694</v>
      </c>
      <c r="S25" s="61">
        <f t="shared" si="7"/>
        <v>16.223003515821194</v>
      </c>
      <c r="T25" s="61">
        <f t="shared" si="1"/>
        <v>19.882055602358889</v>
      </c>
      <c r="U25" s="61">
        <f t="shared" si="17"/>
        <v>8.9011421819614025</v>
      </c>
      <c r="V25" s="61"/>
      <c r="Y25" s="163" t="s">
        <v>34</v>
      </c>
      <c r="Z25" s="163" t="s">
        <v>59</v>
      </c>
      <c r="AA25" s="163" t="s">
        <v>200</v>
      </c>
      <c r="AB25" s="163">
        <f t="shared" si="22"/>
        <v>8</v>
      </c>
      <c r="AC25" s="166">
        <f t="shared" si="23"/>
        <v>8.6696562032884898</v>
      </c>
      <c r="AD25" s="166">
        <f t="shared" si="24"/>
        <v>19.882055602358889</v>
      </c>
      <c r="AE25" s="163"/>
      <c r="AF25" s="163">
        <f t="shared" si="10"/>
        <v>23</v>
      </c>
      <c r="AG25" s="168" t="str">
        <f t="shared" si="11"/>
        <v>N/A</v>
      </c>
      <c r="AH25" s="166">
        <f t="shared" si="12"/>
        <v>16.422397594889141</v>
      </c>
      <c r="AI25" s="166">
        <f t="shared" si="13"/>
        <v>15.06335200670671</v>
      </c>
      <c r="AJ25" s="166">
        <f t="shared" si="14"/>
        <v>17.878249675262634</v>
      </c>
      <c r="AK25" s="168">
        <f t="shared" si="15"/>
        <v>1</v>
      </c>
    </row>
    <row r="26" spans="1:37" x14ac:dyDescent="0.2">
      <c r="A26" s="62" t="s">
        <v>49</v>
      </c>
      <c r="B26" s="62" t="s">
        <v>70</v>
      </c>
      <c r="C26" s="62" t="s">
        <v>200</v>
      </c>
      <c r="D26" s="62"/>
      <c r="E26" s="62">
        <f t="shared" si="2"/>
        <v>9</v>
      </c>
      <c r="F26" s="128" t="s">
        <v>79</v>
      </c>
      <c r="G26" s="129">
        <v>9.8025387870239769</v>
      </c>
      <c r="H26" s="129">
        <v>8.3617603419121878</v>
      </c>
      <c r="I26" s="129">
        <v>11.460524137994559</v>
      </c>
      <c r="J26" s="129"/>
      <c r="K26" s="129"/>
      <c r="L26" s="129"/>
      <c r="M26" s="60">
        <f t="shared" si="0"/>
        <v>2</v>
      </c>
      <c r="N26" s="61">
        <f t="shared" si="3"/>
        <v>6.3106796116504853</v>
      </c>
      <c r="O26" s="61">
        <f t="shared" si="16"/>
        <v>9.5100864553314111</v>
      </c>
      <c r="P26" s="129">
        <f t="shared" si="4"/>
        <v>14.004253890070526</v>
      </c>
      <c r="Q26" s="129">
        <f t="shared" si="5"/>
        <v>13.300070514616721</v>
      </c>
      <c r="R26" s="129">
        <f t="shared" si="6"/>
        <v>14.739382466250694</v>
      </c>
      <c r="S26" s="61">
        <f t="shared" si="7"/>
        <v>16.223003515821194</v>
      </c>
      <c r="T26" s="61">
        <f t="shared" si="1"/>
        <v>19.882055602358889</v>
      </c>
      <c r="U26" s="61">
        <f t="shared" si="17"/>
        <v>16.319099635882157</v>
      </c>
      <c r="V26" s="61"/>
      <c r="Y26" s="163" t="s">
        <v>39</v>
      </c>
      <c r="Z26" s="163" t="s">
        <v>158</v>
      </c>
      <c r="AA26" s="163" t="s">
        <v>200</v>
      </c>
      <c r="AB26" s="163">
        <f t="shared" si="22"/>
        <v>5</v>
      </c>
      <c r="AC26" s="166">
        <f t="shared" si="23"/>
        <v>8.6696562032884898</v>
      </c>
      <c r="AD26" s="166">
        <f t="shared" si="24"/>
        <v>19.882055602358889</v>
      </c>
      <c r="AE26" s="163"/>
      <c r="AF26" s="163">
        <f t="shared" si="10"/>
        <v>16</v>
      </c>
      <c r="AG26" s="168" t="str">
        <f t="shared" si="11"/>
        <v>N/A</v>
      </c>
      <c r="AH26" s="166">
        <f t="shared" si="12"/>
        <v>15.019920318725099</v>
      </c>
      <c r="AI26" s="166">
        <f t="shared" si="13"/>
        <v>13.675753232460156</v>
      </c>
      <c r="AJ26" s="166">
        <f t="shared" si="14"/>
        <v>16.470995129953138</v>
      </c>
      <c r="AK26" s="168">
        <f t="shared" si="15"/>
        <v>5</v>
      </c>
    </row>
    <row r="27" spans="1:37" x14ac:dyDescent="0.2">
      <c r="A27" s="62" t="s">
        <v>50</v>
      </c>
      <c r="B27" s="62" t="s">
        <v>161</v>
      </c>
      <c r="C27" s="62" t="s">
        <v>163</v>
      </c>
      <c r="D27" s="62"/>
      <c r="E27" s="62">
        <f t="shared" si="2"/>
        <v>11</v>
      </c>
      <c r="F27" s="128" t="s">
        <v>79</v>
      </c>
      <c r="G27" s="129">
        <v>11.621856027753687</v>
      </c>
      <c r="H27" s="129">
        <v>9.8980980378903993</v>
      </c>
      <c r="I27" s="129">
        <v>13.600494336021789</v>
      </c>
      <c r="J27" s="129"/>
      <c r="K27" s="129"/>
      <c r="L27" s="129"/>
      <c r="M27" s="60">
        <f t="shared" si="0"/>
        <v>5</v>
      </c>
      <c r="N27" s="61">
        <f t="shared" si="3"/>
        <v>6.3106796116504853</v>
      </c>
      <c r="O27" s="61">
        <f t="shared" si="16"/>
        <v>9.5100864553314111</v>
      </c>
      <c r="P27" s="129">
        <f t="shared" si="4"/>
        <v>14.004253890070526</v>
      </c>
      <c r="Q27" s="129">
        <f t="shared" si="5"/>
        <v>13.300070514616721</v>
      </c>
      <c r="R27" s="129">
        <f t="shared" si="6"/>
        <v>14.739382466250694</v>
      </c>
      <c r="S27" s="61">
        <f t="shared" si="7"/>
        <v>16.223003515821194</v>
      </c>
      <c r="T27" s="61">
        <f t="shared" si="1"/>
        <v>19.882055602358889</v>
      </c>
      <c r="U27" s="61">
        <f t="shared" si="17"/>
        <v>15.772309516750669</v>
      </c>
      <c r="V27" s="61"/>
      <c r="Y27" s="163" t="s">
        <v>40</v>
      </c>
      <c r="Z27" s="163" t="s">
        <v>63</v>
      </c>
      <c r="AA27" s="163" t="s">
        <v>200</v>
      </c>
      <c r="AB27" s="163">
        <f t="shared" si="22"/>
        <v>3</v>
      </c>
      <c r="AC27" s="166">
        <f t="shared" si="23"/>
        <v>8.6696562032884898</v>
      </c>
      <c r="AD27" s="166">
        <f t="shared" si="24"/>
        <v>19.882055602358889</v>
      </c>
      <c r="AE27" s="163"/>
      <c r="AF27" s="163">
        <f t="shared" si="10"/>
        <v>12</v>
      </c>
      <c r="AG27" s="168" t="str">
        <f t="shared" si="11"/>
        <v>N/A</v>
      </c>
      <c r="AH27" s="166">
        <f t="shared" si="12"/>
        <v>12.514092446448705</v>
      </c>
      <c r="AI27" s="166">
        <f t="shared" si="13"/>
        <v>10.496949166747536</v>
      </c>
      <c r="AJ27" s="166">
        <f t="shared" si="14"/>
        <v>14.85452685454873</v>
      </c>
      <c r="AK27" s="168">
        <f t="shared" si="15"/>
        <v>5</v>
      </c>
    </row>
    <row r="28" spans="1:37" x14ac:dyDescent="0.2">
      <c r="A28" s="62" t="s">
        <v>51</v>
      </c>
      <c r="B28" s="62" t="s">
        <v>71</v>
      </c>
      <c r="C28" s="62" t="s">
        <v>200</v>
      </c>
      <c r="D28" s="62"/>
      <c r="E28" s="62">
        <f t="shared" si="2"/>
        <v>26</v>
      </c>
      <c r="F28" s="128" t="s">
        <v>79</v>
      </c>
      <c r="G28" s="129">
        <v>19.882055602358889</v>
      </c>
      <c r="H28" s="129">
        <v>17.710312025486758</v>
      </c>
      <c r="I28" s="129">
        <v>22.24811025617668</v>
      </c>
      <c r="J28" s="129"/>
      <c r="K28" s="129"/>
      <c r="L28" s="129"/>
      <c r="M28" s="60">
        <f t="shared" si="0"/>
        <v>1</v>
      </c>
      <c r="N28" s="61">
        <f t="shared" si="3"/>
        <v>6.3106796116504853</v>
      </c>
      <c r="O28" s="61">
        <f t="shared" si="16"/>
        <v>9.5100864553314111</v>
      </c>
      <c r="P28" s="129">
        <f t="shared" si="4"/>
        <v>14.004253890070526</v>
      </c>
      <c r="Q28" s="129">
        <f t="shared" si="5"/>
        <v>13.300070514616721</v>
      </c>
      <c r="R28" s="129">
        <f t="shared" si="6"/>
        <v>14.739382466250694</v>
      </c>
      <c r="S28" s="61">
        <f t="shared" si="7"/>
        <v>16.223003515821194</v>
      </c>
      <c r="T28" s="61">
        <f t="shared" si="1"/>
        <v>19.882055602358889</v>
      </c>
      <c r="U28" s="61">
        <f t="shared" si="17"/>
        <v>16.319099635882157</v>
      </c>
      <c r="V28" s="61"/>
      <c r="Y28" s="163" t="s">
        <v>42</v>
      </c>
      <c r="Z28" s="163" t="s">
        <v>65</v>
      </c>
      <c r="AA28" s="163" t="s">
        <v>200</v>
      </c>
      <c r="AB28" s="163">
        <f t="shared" si="22"/>
        <v>4</v>
      </c>
      <c r="AC28" s="166">
        <f t="shared" si="23"/>
        <v>8.6696562032884898</v>
      </c>
      <c r="AD28" s="166">
        <f t="shared" si="24"/>
        <v>19.882055602358889</v>
      </c>
      <c r="AE28" s="163"/>
      <c r="AF28" s="163">
        <f t="shared" si="10"/>
        <v>14</v>
      </c>
      <c r="AG28" s="168" t="str">
        <f t="shared" si="11"/>
        <v>N/A</v>
      </c>
      <c r="AH28" s="166">
        <f t="shared" si="12"/>
        <v>14.482758620689655</v>
      </c>
      <c r="AI28" s="166">
        <f t="shared" si="13"/>
        <v>12.10814875575065</v>
      </c>
      <c r="AJ28" s="166">
        <f t="shared" si="14"/>
        <v>17.231765464648046</v>
      </c>
      <c r="AK28" s="168">
        <f t="shared" si="15"/>
        <v>5</v>
      </c>
    </row>
    <row r="29" spans="1:37" x14ac:dyDescent="0.2">
      <c r="A29" s="62" t="s">
        <v>52</v>
      </c>
      <c r="B29" s="62" t="s">
        <v>72</v>
      </c>
      <c r="C29" s="62" t="s">
        <v>201</v>
      </c>
      <c r="D29" s="62"/>
      <c r="E29" s="62">
        <f t="shared" si="2"/>
        <v>6</v>
      </c>
      <c r="F29" s="128" t="s">
        <v>79</v>
      </c>
      <c r="G29" s="129">
        <v>9.1111111111111107</v>
      </c>
      <c r="H29" s="129">
        <v>6.7871749608710408</v>
      </c>
      <c r="I29" s="129">
        <v>12.12724044836745</v>
      </c>
      <c r="J29" s="129"/>
      <c r="K29" s="129"/>
      <c r="L29" s="129"/>
      <c r="M29" s="60">
        <f t="shared" si="0"/>
        <v>2</v>
      </c>
      <c r="N29" s="61">
        <f t="shared" si="3"/>
        <v>6.3106796116504853</v>
      </c>
      <c r="O29" s="61">
        <f t="shared" si="16"/>
        <v>9.5100864553314111</v>
      </c>
      <c r="P29" s="129">
        <f t="shared" si="4"/>
        <v>14.004253890070526</v>
      </c>
      <c r="Q29" s="129">
        <f t="shared" si="5"/>
        <v>13.300070514616721</v>
      </c>
      <c r="R29" s="129">
        <f t="shared" si="6"/>
        <v>14.739382466250694</v>
      </c>
      <c r="S29" s="61">
        <f t="shared" si="7"/>
        <v>16.223003515821194</v>
      </c>
      <c r="T29" s="61">
        <f t="shared" si="1"/>
        <v>19.882055602358889</v>
      </c>
      <c r="U29" s="61">
        <f t="shared" si="17"/>
        <v>8.9011421819614025</v>
      </c>
      <c r="V29" s="61"/>
      <c r="Y29" s="163" t="s">
        <v>44</v>
      </c>
      <c r="Z29" s="163" t="s">
        <v>66</v>
      </c>
      <c r="AA29" s="163" t="s">
        <v>200</v>
      </c>
      <c r="AB29" s="163">
        <f t="shared" si="22"/>
        <v>1</v>
      </c>
      <c r="AC29" s="166">
        <f t="shared" si="23"/>
        <v>8.6696562032884898</v>
      </c>
      <c r="AD29" s="166">
        <f t="shared" si="24"/>
        <v>19.882055602358889</v>
      </c>
      <c r="AE29" s="163"/>
      <c r="AF29" s="163">
        <f t="shared" si="10"/>
        <v>5</v>
      </c>
      <c r="AG29" s="168" t="str">
        <f t="shared" si="11"/>
        <v>N/A</v>
      </c>
      <c r="AH29" s="166">
        <f t="shared" si="12"/>
        <v>8.6696562032884898</v>
      </c>
      <c r="AI29" s="166">
        <f t="shared" si="13"/>
        <v>6.7663889939371211</v>
      </c>
      <c r="AJ29" s="166">
        <f t="shared" si="14"/>
        <v>11.044858700392419</v>
      </c>
      <c r="AK29" s="168">
        <f t="shared" si="15"/>
        <v>2</v>
      </c>
    </row>
    <row r="30" spans="1:37" x14ac:dyDescent="0.2">
      <c r="A30" s="62" t="s">
        <v>53</v>
      </c>
      <c r="B30" s="62" t="s">
        <v>162</v>
      </c>
      <c r="C30" s="62" t="s">
        <v>163</v>
      </c>
      <c r="D30" s="62"/>
      <c r="E30" s="62">
        <f t="shared" si="2"/>
        <v>19</v>
      </c>
      <c r="F30" s="128" t="s">
        <v>79</v>
      </c>
      <c r="G30" s="129">
        <v>15.854738706820196</v>
      </c>
      <c r="H30" s="129">
        <v>14.663425877499304</v>
      </c>
      <c r="I30" s="129">
        <v>17.123417356261264</v>
      </c>
      <c r="J30" s="129"/>
      <c r="K30" s="129"/>
      <c r="L30" s="129"/>
      <c r="M30" s="60">
        <f t="shared" si="0"/>
        <v>5</v>
      </c>
      <c r="N30" s="61">
        <f t="shared" si="3"/>
        <v>6.3106796116504853</v>
      </c>
      <c r="O30" s="61">
        <f t="shared" si="16"/>
        <v>9.5100864553314111</v>
      </c>
      <c r="P30" s="129">
        <f>$G$32</f>
        <v>14.004253890070526</v>
      </c>
      <c r="Q30" s="129">
        <f t="shared" si="5"/>
        <v>13.300070514616721</v>
      </c>
      <c r="R30" s="129">
        <f t="shared" si="6"/>
        <v>14.739382466250694</v>
      </c>
      <c r="S30" s="61">
        <f t="shared" si="7"/>
        <v>16.223003515821194</v>
      </c>
      <c r="T30" s="61">
        <f t="shared" si="1"/>
        <v>19.882055602358889</v>
      </c>
      <c r="U30" s="61">
        <f t="shared" si="17"/>
        <v>15.772309516750669</v>
      </c>
      <c r="V30" s="61"/>
      <c r="Y30" s="163" t="s">
        <v>49</v>
      </c>
      <c r="Z30" s="163" t="s">
        <v>70</v>
      </c>
      <c r="AA30" s="163" t="s">
        <v>200</v>
      </c>
      <c r="AB30" s="163">
        <f t="shared" si="22"/>
        <v>2</v>
      </c>
      <c r="AC30" s="166">
        <f t="shared" si="23"/>
        <v>8.6696562032884898</v>
      </c>
      <c r="AD30" s="166">
        <f t="shared" si="24"/>
        <v>19.882055602358889</v>
      </c>
      <c r="AE30" s="163"/>
      <c r="AF30" s="163">
        <f t="shared" si="10"/>
        <v>9</v>
      </c>
      <c r="AG30" s="168" t="str">
        <f t="shared" si="11"/>
        <v>N/A</v>
      </c>
      <c r="AH30" s="166">
        <f t="shared" si="12"/>
        <v>9.8025387870239769</v>
      </c>
      <c r="AI30" s="166">
        <f t="shared" si="13"/>
        <v>8.3617603419121878</v>
      </c>
      <c r="AJ30" s="166">
        <f t="shared" si="14"/>
        <v>11.460524137994559</v>
      </c>
      <c r="AK30" s="168">
        <f t="shared" si="15"/>
        <v>2</v>
      </c>
    </row>
    <row r="31" spans="1:37" x14ac:dyDescent="0.2">
      <c r="A31" s="62" t="s">
        <v>54</v>
      </c>
      <c r="B31" s="62" t="s">
        <v>73</v>
      </c>
      <c r="C31" s="62" t="s">
        <v>201</v>
      </c>
      <c r="D31" s="62"/>
      <c r="E31" s="62">
        <f t="shared" si="2"/>
        <v>3</v>
      </c>
      <c r="F31" s="128" t="s">
        <v>79</v>
      </c>
      <c r="G31" s="129">
        <v>8.536585365853659</v>
      </c>
      <c r="H31" s="129">
        <v>6.8842961793221802</v>
      </c>
      <c r="I31" s="129">
        <v>10.540547570508648</v>
      </c>
      <c r="J31" s="129"/>
      <c r="K31" s="129"/>
      <c r="L31" s="129"/>
      <c r="M31" s="60">
        <f t="shared" si="0"/>
        <v>2</v>
      </c>
      <c r="N31" s="61">
        <f t="shared" si="3"/>
        <v>6.3106796116504853</v>
      </c>
      <c r="O31" s="61">
        <f t="shared" si="16"/>
        <v>9.5100864553314111</v>
      </c>
      <c r="P31" s="129">
        <f t="shared" si="4"/>
        <v>14.004253890070526</v>
      </c>
      <c r="Q31" s="129">
        <f t="shared" si="5"/>
        <v>13.300070514616721</v>
      </c>
      <c r="R31" s="129">
        <f t="shared" si="6"/>
        <v>14.739382466250694</v>
      </c>
      <c r="S31" s="61">
        <f t="shared" si="7"/>
        <v>16.223003515821194</v>
      </c>
      <c r="T31" s="61">
        <f t="shared" si="1"/>
        <v>19.882055602358889</v>
      </c>
      <c r="U31" s="61">
        <f t="shared" si="17"/>
        <v>8.9011421819614025</v>
      </c>
      <c r="V31" s="61"/>
      <c r="Y31" s="163" t="s">
        <v>51</v>
      </c>
      <c r="Z31" s="163" t="s">
        <v>71</v>
      </c>
      <c r="AA31" s="163" t="s">
        <v>200</v>
      </c>
      <c r="AB31" s="163">
        <f t="shared" si="22"/>
        <v>9</v>
      </c>
      <c r="AC31" s="166">
        <f t="shared" si="23"/>
        <v>8.6696562032884898</v>
      </c>
      <c r="AD31" s="166">
        <f t="shared" si="24"/>
        <v>19.882055602358889</v>
      </c>
      <c r="AE31" s="163"/>
      <c r="AF31" s="163">
        <f t="shared" si="10"/>
        <v>26</v>
      </c>
      <c r="AG31" s="168" t="str">
        <f t="shared" si="11"/>
        <v>N/A</v>
      </c>
      <c r="AH31" s="166">
        <f t="shared" si="12"/>
        <v>19.882055602358889</v>
      </c>
      <c r="AI31" s="166">
        <f t="shared" si="13"/>
        <v>17.710312025486758</v>
      </c>
      <c r="AJ31" s="166">
        <f t="shared" si="14"/>
        <v>22.24811025617668</v>
      </c>
      <c r="AK31" s="168">
        <f t="shared" si="15"/>
        <v>1</v>
      </c>
    </row>
    <row r="32" spans="1:37" x14ac:dyDescent="0.2">
      <c r="A32" s="62"/>
      <c r="B32" s="62" t="s">
        <v>171</v>
      </c>
      <c r="C32" s="62"/>
      <c r="D32" s="62"/>
      <c r="E32" s="62"/>
      <c r="F32" s="128">
        <v>1251</v>
      </c>
      <c r="G32" s="129">
        <v>14.004253890070526</v>
      </c>
      <c r="H32" s="129">
        <v>13.300070514616721</v>
      </c>
      <c r="I32" s="129">
        <v>14.739382466250694</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532</v>
      </c>
      <c r="G44" s="254">
        <v>15.772309516750669</v>
      </c>
      <c r="H44" s="254">
        <v>14.58130188290431</v>
      </c>
      <c r="I44" s="254">
        <v>17.041191261728542</v>
      </c>
      <c r="J44" s="254">
        <f>VLOOKUP($C44,$AA$6:$AD$13,3,FALSE)</f>
        <v>11.621856027753687</v>
      </c>
      <c r="K44" s="254">
        <f>VLOOKUP($C44,$AA$6:$AD$13,4,FALSE)</f>
        <v>19.875776397515526</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5</v>
      </c>
      <c r="N44" s="61">
        <f>MIN($G$6:$G$31)</f>
        <v>6.3106796116504853</v>
      </c>
      <c r="O44" s="61">
        <f>VLOOKUP(7,$E$5:$G$39,3,FALSE)</f>
        <v>9.5100864553314111</v>
      </c>
      <c r="P44" s="254">
        <f>$G$32</f>
        <v>14.004253890070526</v>
      </c>
      <c r="Q44" s="129">
        <f>$H$32</f>
        <v>13.300070514616721</v>
      </c>
      <c r="R44" s="129">
        <f>$I$32</f>
        <v>14.739382466250694</v>
      </c>
      <c r="S44" s="61">
        <f>VLOOKUP(20,$E$5:$G$39,3,FALSE)</f>
        <v>16.223003515821194</v>
      </c>
      <c r="T44" s="61">
        <f>MAX($G$6:$G$31)</f>
        <v>19.882055602358889</v>
      </c>
    </row>
    <row r="45" spans="1:22" x14ac:dyDescent="0.2">
      <c r="C45" s="62" t="s">
        <v>201</v>
      </c>
      <c r="D45" s="62"/>
      <c r="E45" s="62"/>
      <c r="F45" s="128">
        <v>226</v>
      </c>
      <c r="G45" s="254">
        <v>8.9011421819614025</v>
      </c>
      <c r="H45" s="254">
        <v>7.8546934176869723</v>
      </c>
      <c r="I45" s="254">
        <v>10.071766654743257</v>
      </c>
      <c r="J45" s="254">
        <f>VLOOKUP($C45,$AA$14:$AD$22,3,FALSE)</f>
        <v>6.3106796116504853</v>
      </c>
      <c r="K45" s="254">
        <f>VLOOKUP($C45,$AA$14:$AD$22,4,FALSE)</f>
        <v>14.55449059282925</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2</v>
      </c>
      <c r="N45" s="61">
        <f>MIN($G$6:$G$31)</f>
        <v>6.3106796116504853</v>
      </c>
      <c r="O45" s="61">
        <f>VLOOKUP(7,$E$5:$G$39,3,FALSE)</f>
        <v>9.5100864553314111</v>
      </c>
      <c r="P45" s="254">
        <f>$G$32</f>
        <v>14.004253890070526</v>
      </c>
      <c r="Q45" s="129">
        <f t="shared" ref="Q45:Q46" si="25">$H$32</f>
        <v>13.300070514616721</v>
      </c>
      <c r="R45" s="129">
        <f t="shared" ref="R45:R46" si="26">$I$32</f>
        <v>14.739382466250694</v>
      </c>
      <c r="S45" s="61">
        <f>VLOOKUP(20,$E$5:$G$39,3,FALSE)</f>
        <v>16.223003515821194</v>
      </c>
      <c r="T45" s="61">
        <f t="shared" ref="T45:T46" si="27">MAX($G$6:$G$31)</f>
        <v>19.882055602358889</v>
      </c>
    </row>
    <row r="46" spans="1:22" x14ac:dyDescent="0.2">
      <c r="C46" s="62" t="s">
        <v>200</v>
      </c>
      <c r="D46" s="62"/>
      <c r="E46" s="62"/>
      <c r="F46" s="128">
        <v>493</v>
      </c>
      <c r="G46" s="254">
        <v>16.319099635882157</v>
      </c>
      <c r="H46" s="254">
        <v>15.044262979601502</v>
      </c>
      <c r="I46" s="254">
        <v>17.67948377857098</v>
      </c>
      <c r="J46" s="254">
        <f>VLOOKUP($C46,$AA$23:$AD$31,3,FALSE)</f>
        <v>8.6696562032884898</v>
      </c>
      <c r="K46" s="254">
        <f>VLOOKUP($C46,$AA$23:$AD$31,4,FALSE)</f>
        <v>19.882055602358889</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1</v>
      </c>
      <c r="N46" s="61">
        <f>MIN($G$6:$G$31)</f>
        <v>6.3106796116504853</v>
      </c>
      <c r="O46" s="61">
        <f>VLOOKUP(7,$E$5:$G$39,3,FALSE)</f>
        <v>9.5100864553314111</v>
      </c>
      <c r="P46" s="254">
        <f t="shared" ref="P46" si="28">$G$32</f>
        <v>14.004253890070526</v>
      </c>
      <c r="Q46" s="129">
        <f t="shared" si="25"/>
        <v>13.300070514616721</v>
      </c>
      <c r="R46" s="129">
        <f t="shared" si="26"/>
        <v>14.739382466250694</v>
      </c>
      <c r="S46" s="61">
        <f>VLOOKUP(20,$E$5:$G$39,3,FALSE)</f>
        <v>16.223003515821194</v>
      </c>
      <c r="T46" s="61">
        <f t="shared" si="27"/>
        <v>19.882055602358889</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C2:D2" xr:uid="{00000000-0002-0000-3200-000000000000}">
      <formula1>"Better / Worse,Higher / Lower,Significance not measured"</formula1>
    </dataValidation>
    <dataValidation type="list" allowBlank="1" showInputMessage="1" showErrorMessage="1" sqref="K2:N2" xr:uid="{00000000-0002-0000-3200-000001000000}">
      <formula1>"High = Worst,Low = Worst"</formula1>
    </dataValidation>
  </dataValidations>
  <pageMargins left="0.75" right="0.75" top="1" bottom="1" header="0.5" footer="0.5"/>
  <pageSetup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1">
    <tabColor theme="6" tint="0.39997558519241921"/>
  </sheetPr>
  <dimension ref="A1:AK55"/>
  <sheetViews>
    <sheetView topLeftCell="A16" workbookViewId="0">
      <selection activeCell="D79" sqref="D79"/>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8" width="7.33203125" style="21" customWidth="1"/>
    <col min="9" max="9" width="6.886718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5.554687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12</v>
      </c>
      <c r="F6" s="128" t="s">
        <v>79</v>
      </c>
      <c r="G6" s="129">
        <v>2.2761760242792111</v>
      </c>
      <c r="H6" s="129">
        <v>1.3841612250512754</v>
      </c>
      <c r="I6" s="129">
        <v>3.7213520723371736</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5</v>
      </c>
      <c r="N6" s="61">
        <f>MIN($G$6:$G$32)</f>
        <v>1.7318159327065807</v>
      </c>
      <c r="O6" s="61">
        <f>VLOOKUP(7,$E$5:$G$39,3,FALSE)</f>
        <v>1.9766397124887689</v>
      </c>
      <c r="P6" s="129">
        <f>$G$32</f>
        <v>2.4223894637817498</v>
      </c>
      <c r="Q6" s="129">
        <f>$H$32</f>
        <v>2.1164764302046764</v>
      </c>
      <c r="R6" s="129">
        <f>$I$32</f>
        <v>2.7712669631511226</v>
      </c>
      <c r="S6" s="61">
        <f>VLOOKUP(20,$E$5:$G$39,3,FALSE)</f>
        <v>3.0303030303030303</v>
      </c>
      <c r="T6" s="61">
        <f t="shared" ref="T6:T31" si="1">MAX($G$6:$G$31)</f>
        <v>4.1189931350114417</v>
      </c>
      <c r="U6" s="61">
        <f>VLOOKUP(C6,$C$43:$I$46,5,FALSE)</f>
        <v>2.9338842975206614</v>
      </c>
      <c r="V6" s="61"/>
      <c r="Y6" s="159" t="s">
        <v>33</v>
      </c>
      <c r="Z6" s="159" t="s">
        <v>58</v>
      </c>
      <c r="AA6" s="159" t="s">
        <v>163</v>
      </c>
      <c r="AB6" s="159">
        <f>RANK(AH6,$AH$6:$AH$13,1)</f>
        <v>2</v>
      </c>
      <c r="AC6" s="164">
        <f>MIN($AH$6:$AH$13)</f>
        <v>1.7318159327065807</v>
      </c>
      <c r="AD6" s="164">
        <f>MAX($AH$6:$AH$13)</f>
        <v>2.3178807947019866</v>
      </c>
      <c r="AE6" s="159"/>
      <c r="AF6" s="159">
        <f>VLOOKUP($Y6,$A$6:$I$31,5,FALSE)</f>
        <v>2</v>
      </c>
      <c r="AG6" s="160" t="str">
        <f>VLOOKUP($Y6,$A$6:$I$31,6,FALSE)</f>
        <v>N/A</v>
      </c>
      <c r="AH6" s="161">
        <f>VLOOKUP($Y6,$A$6:$I$31,7,FALSE)</f>
        <v>1.8304431599229285</v>
      </c>
      <c r="AI6" s="161">
        <f>VLOOKUP($Y6,$A$6:$I$31,8,FALSE)</f>
        <v>1.3364805857688482</v>
      </c>
      <c r="AJ6" s="161">
        <f>VLOOKUP($Y6,$A$6:$I$31,9,FALSE)</f>
        <v>2.5023436900952172</v>
      </c>
      <c r="AK6" s="160">
        <f>VLOOKUP($Y6,$A$6:$M$31,13,FALSE)</f>
        <v>5</v>
      </c>
    </row>
    <row r="7" spans="1:37" x14ac:dyDescent="0.2">
      <c r="A7" s="62" t="s">
        <v>30</v>
      </c>
      <c r="B7" s="62" t="s">
        <v>56</v>
      </c>
      <c r="C7" s="62" t="s">
        <v>200</v>
      </c>
      <c r="D7" s="62"/>
      <c r="E7" s="62">
        <f t="shared" ref="E7:E31" si="2">RANK(G7,$G$6:$G$31,1)</f>
        <v>11</v>
      </c>
      <c r="F7" s="128" t="s">
        <v>79</v>
      </c>
      <c r="G7" s="129">
        <v>2.2727272727272725</v>
      </c>
      <c r="H7" s="129">
        <v>1.4912380057482322</v>
      </c>
      <c r="I7" s="129">
        <v>3.4494184377523172</v>
      </c>
      <c r="J7" s="129"/>
      <c r="K7" s="129"/>
      <c r="L7" s="129"/>
      <c r="M7" s="60">
        <f t="shared" si="0"/>
        <v>5</v>
      </c>
      <c r="N7" s="61">
        <f t="shared" ref="N7:N31" si="3">MIN($G$6:$G$32)</f>
        <v>1.7318159327065807</v>
      </c>
      <c r="O7" s="61">
        <f>VLOOKUP(7,$E$5:$G$39,3,FALSE)</f>
        <v>1.9766397124887689</v>
      </c>
      <c r="P7" s="129">
        <f t="shared" ref="P7:P31" si="4">$G$32</f>
        <v>2.4223894637817498</v>
      </c>
      <c r="Q7" s="129">
        <f t="shared" ref="Q7:Q31" si="5">$H$32</f>
        <v>2.1164764302046764</v>
      </c>
      <c r="R7" s="129">
        <f t="shared" ref="R7:R31" si="6">$I$32</f>
        <v>2.7712669631511226</v>
      </c>
      <c r="S7" s="61">
        <f t="shared" ref="S7:S31" si="7">VLOOKUP(20,$E$5:$G$39,3,FALSE)</f>
        <v>3.0303030303030303</v>
      </c>
      <c r="T7" s="61">
        <f t="shared" si="1"/>
        <v>4.1189931350114417</v>
      </c>
      <c r="U7" s="61">
        <f>VLOOKUP(C7,$C$43:$I$46,5,FALSE)</f>
        <v>2.6123301985370948</v>
      </c>
      <c r="V7" s="61"/>
      <c r="Y7" s="159" t="s">
        <v>35</v>
      </c>
      <c r="Z7" s="159" t="s">
        <v>60</v>
      </c>
      <c r="AA7" s="159" t="s">
        <v>163</v>
      </c>
      <c r="AB7" s="159">
        <f t="shared" ref="AB7:AB12" si="8">RANK(AH7,$AH$6:$AH$13,1)</f>
        <v>1</v>
      </c>
      <c r="AC7" s="164">
        <f>MIN($AH$6:$AH$13)</f>
        <v>1.7318159327065807</v>
      </c>
      <c r="AD7" s="164">
        <f t="shared" ref="AD7:AD13" si="9">MAX($AH$6:$AH$13)</f>
        <v>2.3178807947019866</v>
      </c>
      <c r="AE7" s="159"/>
      <c r="AF7" s="159">
        <f t="shared" ref="AF7:AF31" si="10">VLOOKUP($Y7,$A$6:$I$31,5,FALSE)</f>
        <v>1</v>
      </c>
      <c r="AG7" s="160" t="str">
        <f t="shared" ref="AG7:AG31" si="11">VLOOKUP($Y7,$A$6:$I$31,6,FALSE)</f>
        <v>N/A</v>
      </c>
      <c r="AH7" s="161">
        <f t="shared" ref="AH7:AH31" si="12">VLOOKUP($Y7,$A$6:$I$31,7,FALSE)</f>
        <v>1.7318159327065807</v>
      </c>
      <c r="AI7" s="161">
        <f t="shared" ref="AI7:AI31" si="13">VLOOKUP($Y7,$A$6:$I$31,8,FALSE)</f>
        <v>1.2478456846346266</v>
      </c>
      <c r="AJ7" s="161">
        <f t="shared" ref="AJ7:AJ31" si="14">VLOOKUP($Y7,$A$6:$I$31,9,FALSE)</f>
        <v>2.3989316222514536</v>
      </c>
      <c r="AK7" s="160">
        <f t="shared" ref="AK7:AK31" si="15">VLOOKUP($Y7,$A$6:$M$31,13,FALSE)</f>
        <v>5</v>
      </c>
    </row>
    <row r="8" spans="1:37" x14ac:dyDescent="0.2">
      <c r="A8" s="62" t="s">
        <v>31</v>
      </c>
      <c r="B8" s="62" t="s">
        <v>57</v>
      </c>
      <c r="C8" s="62" t="s">
        <v>200</v>
      </c>
      <c r="D8" s="62"/>
      <c r="E8" s="62">
        <f t="shared" si="2"/>
        <v>15</v>
      </c>
      <c r="F8" s="128" t="s">
        <v>79</v>
      </c>
      <c r="G8" s="129">
        <v>2.3884103367267033</v>
      </c>
      <c r="H8" s="129">
        <v>1.8638901359538897</v>
      </c>
      <c r="I8" s="129">
        <v>3.0559401524610132</v>
      </c>
      <c r="J8" s="129"/>
      <c r="K8" s="129"/>
      <c r="L8" s="129"/>
      <c r="M8" s="60">
        <f t="shared" si="0"/>
        <v>5</v>
      </c>
      <c r="N8" s="61">
        <f t="shared" si="3"/>
        <v>1.7318159327065807</v>
      </c>
      <c r="O8" s="61">
        <f t="shared" ref="O8:O31" si="16">VLOOKUP(7,$E$5:$G$39,3,FALSE)</f>
        <v>1.9766397124887689</v>
      </c>
      <c r="P8" s="129">
        <f t="shared" si="4"/>
        <v>2.4223894637817498</v>
      </c>
      <c r="Q8" s="129">
        <f t="shared" si="5"/>
        <v>2.1164764302046764</v>
      </c>
      <c r="R8" s="129">
        <f t="shared" si="6"/>
        <v>2.7712669631511226</v>
      </c>
      <c r="S8" s="61">
        <f t="shared" si="7"/>
        <v>3.0303030303030303</v>
      </c>
      <c r="T8" s="61">
        <f t="shared" si="1"/>
        <v>4.1189931350114417</v>
      </c>
      <c r="U8" s="61">
        <f t="shared" ref="U8:U31" si="17">VLOOKUP(C8,$C$43:$I$46,5,FALSE)</f>
        <v>2.6123301985370948</v>
      </c>
      <c r="V8" s="61"/>
      <c r="Y8" s="159" t="s">
        <v>41</v>
      </c>
      <c r="Z8" s="159" t="s">
        <v>64</v>
      </c>
      <c r="AA8" s="159" t="s">
        <v>163</v>
      </c>
      <c r="AB8" s="159">
        <f t="shared" si="8"/>
        <v>5</v>
      </c>
      <c r="AC8" s="164">
        <f t="shared" ref="AC8:AC13" si="18">MIN($AH$6:$AH$13)</f>
        <v>1.7318159327065807</v>
      </c>
      <c r="AD8" s="164">
        <f>MAX($AH$6:$AH$13)</f>
        <v>2.3178807947019866</v>
      </c>
      <c r="AE8" s="159"/>
      <c r="AF8" s="159">
        <f t="shared" si="10"/>
        <v>5</v>
      </c>
      <c r="AG8" s="160" t="str">
        <f t="shared" si="11"/>
        <v>N/A</v>
      </c>
      <c r="AH8" s="161">
        <f t="shared" si="12"/>
        <v>1.9047619047619049</v>
      </c>
      <c r="AI8" s="161">
        <f t="shared" si="13"/>
        <v>1.3790051892294437</v>
      </c>
      <c r="AJ8" s="161">
        <f t="shared" si="14"/>
        <v>2.6256309152056678</v>
      </c>
      <c r="AK8" s="160">
        <f t="shared" si="15"/>
        <v>5</v>
      </c>
    </row>
    <row r="9" spans="1:37" x14ac:dyDescent="0.2">
      <c r="A9" s="62" t="s">
        <v>32</v>
      </c>
      <c r="B9" s="62" t="s">
        <v>156</v>
      </c>
      <c r="C9" s="62" t="s">
        <v>201</v>
      </c>
      <c r="D9" s="62"/>
      <c r="E9" s="62">
        <f t="shared" si="2"/>
        <v>18</v>
      </c>
      <c r="F9" s="128" t="s">
        <v>79</v>
      </c>
      <c r="G9" s="129">
        <v>2.8849756463094791</v>
      </c>
      <c r="H9" s="129">
        <v>2.3145230514108772</v>
      </c>
      <c r="I9" s="129">
        <v>3.5908574678787568</v>
      </c>
      <c r="J9" s="129"/>
      <c r="K9" s="129"/>
      <c r="L9" s="129"/>
      <c r="M9" s="60">
        <f t="shared" si="0"/>
        <v>5</v>
      </c>
      <c r="N9" s="61">
        <f t="shared" si="3"/>
        <v>1.7318159327065807</v>
      </c>
      <c r="O9" s="61">
        <f t="shared" si="16"/>
        <v>1.9766397124887689</v>
      </c>
      <c r="P9" s="129">
        <f t="shared" si="4"/>
        <v>2.4223894637817498</v>
      </c>
      <c r="Q9" s="129">
        <f t="shared" si="5"/>
        <v>2.1164764302046764</v>
      </c>
      <c r="R9" s="129">
        <f t="shared" si="6"/>
        <v>2.7712669631511226</v>
      </c>
      <c r="S9" s="61">
        <f t="shared" si="7"/>
        <v>3.0303030303030303</v>
      </c>
      <c r="T9" s="61">
        <f t="shared" si="1"/>
        <v>4.1189931350114417</v>
      </c>
      <c r="U9" s="61">
        <f t="shared" si="17"/>
        <v>2.9338842975206614</v>
      </c>
      <c r="V9" s="61"/>
      <c r="X9" s="63"/>
      <c r="Y9" s="159" t="s">
        <v>45</v>
      </c>
      <c r="Z9" s="159" t="s">
        <v>67</v>
      </c>
      <c r="AA9" s="159" t="s">
        <v>163</v>
      </c>
      <c r="AB9" s="159">
        <f t="shared" si="8"/>
        <v>4</v>
      </c>
      <c r="AC9" s="164">
        <f t="shared" si="18"/>
        <v>1.7318159327065807</v>
      </c>
      <c r="AD9" s="164">
        <f t="shared" si="9"/>
        <v>2.3178807947019866</v>
      </c>
      <c r="AE9" s="159"/>
      <c r="AF9" s="159">
        <f t="shared" si="10"/>
        <v>4</v>
      </c>
      <c r="AG9" s="160" t="str">
        <f t="shared" si="11"/>
        <v>N/A</v>
      </c>
      <c r="AH9" s="161">
        <f t="shared" si="12"/>
        <v>1.8915510718789408</v>
      </c>
      <c r="AI9" s="161">
        <f t="shared" si="13"/>
        <v>1.3281510412945108</v>
      </c>
      <c r="AJ9" s="161">
        <f t="shared" si="14"/>
        <v>2.687435447942609</v>
      </c>
      <c r="AK9" s="160">
        <f t="shared" si="15"/>
        <v>5</v>
      </c>
    </row>
    <row r="10" spans="1:37" x14ac:dyDescent="0.2">
      <c r="A10" s="62" t="s">
        <v>33</v>
      </c>
      <c r="B10" s="62" t="s">
        <v>58</v>
      </c>
      <c r="C10" s="62" t="s">
        <v>163</v>
      </c>
      <c r="D10" s="62"/>
      <c r="E10" s="62">
        <f t="shared" si="2"/>
        <v>2</v>
      </c>
      <c r="F10" s="128" t="s">
        <v>79</v>
      </c>
      <c r="G10" s="129">
        <v>1.8304431599229285</v>
      </c>
      <c r="H10" s="129">
        <v>1.3364805857688482</v>
      </c>
      <c r="I10" s="129">
        <v>2.5023436900952172</v>
      </c>
      <c r="J10" s="129"/>
      <c r="K10" s="129"/>
      <c r="L10" s="129"/>
      <c r="M10" s="60">
        <f t="shared" si="0"/>
        <v>5</v>
      </c>
      <c r="N10" s="61">
        <f t="shared" si="3"/>
        <v>1.7318159327065807</v>
      </c>
      <c r="O10" s="61">
        <f t="shared" si="16"/>
        <v>1.9766397124887689</v>
      </c>
      <c r="P10" s="129">
        <f t="shared" si="4"/>
        <v>2.4223894637817498</v>
      </c>
      <c r="Q10" s="129">
        <f t="shared" si="5"/>
        <v>2.1164764302046764</v>
      </c>
      <c r="R10" s="129">
        <f t="shared" si="6"/>
        <v>2.7712669631511226</v>
      </c>
      <c r="S10" s="61">
        <f t="shared" si="7"/>
        <v>3.0303030303030303</v>
      </c>
      <c r="T10" s="61">
        <f t="shared" si="1"/>
        <v>4.1189931350114417</v>
      </c>
      <c r="U10" s="61">
        <f t="shared" si="17"/>
        <v>1.8674136321195143</v>
      </c>
      <c r="V10" s="61"/>
      <c r="Y10" s="159" t="s">
        <v>46</v>
      </c>
      <c r="Z10" s="159" t="s">
        <v>68</v>
      </c>
      <c r="AA10" s="159" t="s">
        <v>163</v>
      </c>
      <c r="AB10" s="159">
        <f t="shared" si="8"/>
        <v>7</v>
      </c>
      <c r="AC10" s="164">
        <f t="shared" si="18"/>
        <v>1.7318159327065807</v>
      </c>
      <c r="AD10" s="164">
        <f t="shared" si="9"/>
        <v>2.3178807947019866</v>
      </c>
      <c r="AE10" s="159"/>
      <c r="AF10" s="159">
        <f t="shared" si="10"/>
        <v>10</v>
      </c>
      <c r="AG10" s="160" t="str">
        <f t="shared" si="11"/>
        <v>N/A</v>
      </c>
      <c r="AH10" s="161">
        <f t="shared" si="12"/>
        <v>2.0356234096692112</v>
      </c>
      <c r="AI10" s="161">
        <f t="shared" si="13"/>
        <v>1.4984552910246329</v>
      </c>
      <c r="AJ10" s="161">
        <f t="shared" si="14"/>
        <v>2.7599606644639252</v>
      </c>
      <c r="AK10" s="160">
        <f t="shared" si="15"/>
        <v>5</v>
      </c>
    </row>
    <row r="11" spans="1:37" x14ac:dyDescent="0.2">
      <c r="A11" s="62" t="s">
        <v>34</v>
      </c>
      <c r="B11" s="62" t="s">
        <v>59</v>
      </c>
      <c r="C11" s="62" t="s">
        <v>200</v>
      </c>
      <c r="D11" s="62"/>
      <c r="E11" s="62">
        <f t="shared" si="2"/>
        <v>14</v>
      </c>
      <c r="F11" s="128" t="s">
        <v>79</v>
      </c>
      <c r="G11" s="129">
        <v>2.3762376237623761</v>
      </c>
      <c r="H11" s="129">
        <v>1.8505670040785067</v>
      </c>
      <c r="I11" s="129">
        <v>3.0465948321738394</v>
      </c>
      <c r="J11" s="129"/>
      <c r="K11" s="129"/>
      <c r="L11" s="129"/>
      <c r="M11" s="60">
        <f t="shared" si="0"/>
        <v>5</v>
      </c>
      <c r="N11" s="61">
        <f t="shared" si="3"/>
        <v>1.7318159327065807</v>
      </c>
      <c r="O11" s="61">
        <f t="shared" si="16"/>
        <v>1.9766397124887689</v>
      </c>
      <c r="P11" s="129">
        <f t="shared" si="4"/>
        <v>2.4223894637817498</v>
      </c>
      <c r="Q11" s="129">
        <f t="shared" si="5"/>
        <v>2.1164764302046764</v>
      </c>
      <c r="R11" s="129">
        <f t="shared" si="6"/>
        <v>2.7712669631511226</v>
      </c>
      <c r="S11" s="61">
        <f t="shared" si="7"/>
        <v>3.0303030303030303</v>
      </c>
      <c r="T11" s="61">
        <f t="shared" si="1"/>
        <v>4.1189931350114417</v>
      </c>
      <c r="U11" s="61">
        <f t="shared" si="17"/>
        <v>2.6123301985370948</v>
      </c>
      <c r="V11" s="61"/>
      <c r="Y11" s="159" t="s">
        <v>47</v>
      </c>
      <c r="Z11" s="159" t="s">
        <v>69</v>
      </c>
      <c r="AA11" s="159" t="s">
        <v>163</v>
      </c>
      <c r="AB11" s="159">
        <f t="shared" si="8"/>
        <v>8</v>
      </c>
      <c r="AC11" s="164">
        <f t="shared" si="18"/>
        <v>1.7318159327065807</v>
      </c>
      <c r="AD11" s="164">
        <f t="shared" si="9"/>
        <v>2.3178807947019866</v>
      </c>
      <c r="AE11" s="159"/>
      <c r="AF11" s="159">
        <f t="shared" si="10"/>
        <v>13</v>
      </c>
      <c r="AG11" s="160" t="str">
        <f t="shared" si="11"/>
        <v>N/A</v>
      </c>
      <c r="AH11" s="161">
        <f t="shared" si="12"/>
        <v>2.3178807947019866</v>
      </c>
      <c r="AI11" s="161">
        <f t="shared" si="13"/>
        <v>1.1272212943208537</v>
      </c>
      <c r="AJ11" s="161">
        <f t="shared" si="14"/>
        <v>4.7063432228932909</v>
      </c>
      <c r="AK11" s="160">
        <f t="shared" si="15"/>
        <v>5</v>
      </c>
    </row>
    <row r="12" spans="1:37" x14ac:dyDescent="0.2">
      <c r="A12" s="62" t="s">
        <v>35</v>
      </c>
      <c r="B12" s="62" t="s">
        <v>60</v>
      </c>
      <c r="C12" s="62" t="s">
        <v>163</v>
      </c>
      <c r="D12" s="62"/>
      <c r="E12" s="62">
        <f t="shared" si="2"/>
        <v>1</v>
      </c>
      <c r="F12" s="128" t="s">
        <v>79</v>
      </c>
      <c r="G12" s="129">
        <v>1.7318159327065807</v>
      </c>
      <c r="H12" s="129">
        <v>1.2478456846346266</v>
      </c>
      <c r="I12" s="129">
        <v>2.3989316222514536</v>
      </c>
      <c r="J12" s="129"/>
      <c r="K12" s="129"/>
      <c r="L12" s="129"/>
      <c r="M12" s="60">
        <f t="shared" si="0"/>
        <v>5</v>
      </c>
      <c r="N12" s="61">
        <f t="shared" si="3"/>
        <v>1.7318159327065807</v>
      </c>
      <c r="O12" s="61">
        <f t="shared" si="16"/>
        <v>1.9766397124887689</v>
      </c>
      <c r="P12" s="129">
        <f t="shared" si="4"/>
        <v>2.4223894637817498</v>
      </c>
      <c r="Q12" s="129">
        <f t="shared" si="5"/>
        <v>2.1164764302046764</v>
      </c>
      <c r="R12" s="129">
        <f t="shared" si="6"/>
        <v>2.7712669631511226</v>
      </c>
      <c r="S12" s="61">
        <f t="shared" si="7"/>
        <v>3.0303030303030303</v>
      </c>
      <c r="T12" s="61">
        <f t="shared" si="1"/>
        <v>4.1189931350114417</v>
      </c>
      <c r="U12" s="61">
        <f t="shared" si="17"/>
        <v>1.8674136321195143</v>
      </c>
      <c r="V12" s="61"/>
      <c r="Y12" s="159" t="s">
        <v>50</v>
      </c>
      <c r="Z12" s="159" t="s">
        <v>161</v>
      </c>
      <c r="AA12" s="159" t="s">
        <v>163</v>
      </c>
      <c r="AB12" s="159">
        <f t="shared" si="8"/>
        <v>3</v>
      </c>
      <c r="AC12" s="164">
        <f t="shared" si="18"/>
        <v>1.7318159327065807</v>
      </c>
      <c r="AD12" s="164">
        <f t="shared" si="9"/>
        <v>2.3178807947019866</v>
      </c>
      <c r="AE12" s="159"/>
      <c r="AF12" s="159">
        <f t="shared" si="10"/>
        <v>3</v>
      </c>
      <c r="AG12" s="160" t="str">
        <f t="shared" si="11"/>
        <v>N/A</v>
      </c>
      <c r="AH12" s="161">
        <f t="shared" si="12"/>
        <v>1.8817204301075268</v>
      </c>
      <c r="AI12" s="161">
        <f t="shared" si="13"/>
        <v>1.2340121872471883</v>
      </c>
      <c r="AJ12" s="161">
        <f t="shared" si="14"/>
        <v>2.8595546707766073</v>
      </c>
      <c r="AK12" s="160">
        <f t="shared" si="15"/>
        <v>5</v>
      </c>
    </row>
    <row r="13" spans="1:37" x14ac:dyDescent="0.2">
      <c r="A13" s="62" t="s">
        <v>36</v>
      </c>
      <c r="B13" s="62" t="s">
        <v>61</v>
      </c>
      <c r="C13" s="62" t="s">
        <v>201</v>
      </c>
      <c r="D13" s="62"/>
      <c r="E13" s="62">
        <f t="shared" si="2"/>
        <v>19</v>
      </c>
      <c r="F13" s="128" t="s">
        <v>79</v>
      </c>
      <c r="G13" s="129">
        <v>2.996515679442509</v>
      </c>
      <c r="H13" s="129">
        <v>2.2321791263204749</v>
      </c>
      <c r="I13" s="129">
        <v>4.0118346439200741</v>
      </c>
      <c r="J13" s="129"/>
      <c r="K13" s="129"/>
      <c r="L13" s="129"/>
      <c r="M13" s="60">
        <f t="shared" si="0"/>
        <v>5</v>
      </c>
      <c r="N13" s="61">
        <f t="shared" si="3"/>
        <v>1.7318159327065807</v>
      </c>
      <c r="O13" s="61">
        <f t="shared" si="16"/>
        <v>1.9766397124887689</v>
      </c>
      <c r="P13" s="129">
        <f t="shared" si="4"/>
        <v>2.4223894637817498</v>
      </c>
      <c r="Q13" s="129">
        <f t="shared" si="5"/>
        <v>2.1164764302046764</v>
      </c>
      <c r="R13" s="129">
        <f t="shared" si="6"/>
        <v>2.7712669631511226</v>
      </c>
      <c r="S13" s="61">
        <f t="shared" si="7"/>
        <v>3.0303030303030303</v>
      </c>
      <c r="T13" s="61">
        <f t="shared" si="1"/>
        <v>4.1189931350114417</v>
      </c>
      <c r="U13" s="61">
        <f t="shared" si="17"/>
        <v>2.9338842975206614</v>
      </c>
      <c r="V13" s="61"/>
      <c r="Y13" s="159" t="s">
        <v>53</v>
      </c>
      <c r="Z13" s="159" t="s">
        <v>162</v>
      </c>
      <c r="AA13" s="159" t="s">
        <v>163</v>
      </c>
      <c r="AB13" s="159">
        <f>RANK(AH13,$AH$6:$AH$13,1)</f>
        <v>6</v>
      </c>
      <c r="AC13" s="164">
        <f t="shared" si="18"/>
        <v>1.7318159327065807</v>
      </c>
      <c r="AD13" s="164">
        <f t="shared" si="9"/>
        <v>2.3178807947019866</v>
      </c>
      <c r="AE13" s="159"/>
      <c r="AF13" s="159">
        <f t="shared" si="10"/>
        <v>8</v>
      </c>
      <c r="AG13" s="160" t="str">
        <f t="shared" si="11"/>
        <v>N/A</v>
      </c>
      <c r="AH13" s="161">
        <f t="shared" si="12"/>
        <v>1.9869605712511642</v>
      </c>
      <c r="AI13" s="161">
        <f t="shared" si="13"/>
        <v>1.5591214944641603</v>
      </c>
      <c r="AJ13" s="161">
        <f t="shared" si="14"/>
        <v>2.5291867372498968</v>
      </c>
      <c r="AK13" s="160">
        <f t="shared" si="15"/>
        <v>5</v>
      </c>
    </row>
    <row r="14" spans="1:37" x14ac:dyDescent="0.2">
      <c r="A14" s="62" t="s">
        <v>37</v>
      </c>
      <c r="B14" s="62" t="s">
        <v>157</v>
      </c>
      <c r="C14" s="62" t="s">
        <v>201</v>
      </c>
      <c r="D14" s="62"/>
      <c r="E14" s="62">
        <f t="shared" si="2"/>
        <v>21</v>
      </c>
      <c r="F14" s="128" t="s">
        <v>79</v>
      </c>
      <c r="G14" s="129">
        <v>3.0349013657056148</v>
      </c>
      <c r="H14" s="129">
        <v>2.2365908866269959</v>
      </c>
      <c r="I14" s="129">
        <v>4.1061863247561972</v>
      </c>
      <c r="J14" s="129"/>
      <c r="K14" s="129"/>
      <c r="L14" s="129"/>
      <c r="M14" s="60">
        <f t="shared" si="0"/>
        <v>5</v>
      </c>
      <c r="N14" s="61">
        <f t="shared" si="3"/>
        <v>1.7318159327065807</v>
      </c>
      <c r="O14" s="61">
        <f t="shared" si="16"/>
        <v>1.9766397124887689</v>
      </c>
      <c r="P14" s="129">
        <f t="shared" si="4"/>
        <v>2.4223894637817498</v>
      </c>
      <c r="Q14" s="129">
        <f t="shared" si="5"/>
        <v>2.1164764302046764</v>
      </c>
      <c r="R14" s="129">
        <f t="shared" si="6"/>
        <v>2.7712669631511226</v>
      </c>
      <c r="S14" s="61">
        <f t="shared" si="7"/>
        <v>3.0303030303030303</v>
      </c>
      <c r="T14" s="61">
        <f t="shared" si="1"/>
        <v>4.1189931350114417</v>
      </c>
      <c r="U14" s="61">
        <f t="shared" si="17"/>
        <v>2.9338842975206614</v>
      </c>
      <c r="V14" s="61"/>
      <c r="Y14" s="162" t="s">
        <v>29</v>
      </c>
      <c r="Z14" s="162" t="s">
        <v>55</v>
      </c>
      <c r="AA14" s="162" t="s">
        <v>201</v>
      </c>
      <c r="AB14" s="162">
        <f>RANK(AH14,$AH$14:$AH$22,1)</f>
        <v>2</v>
      </c>
      <c r="AC14" s="165">
        <f t="shared" ref="AC14:AC22" si="19">MIN($AH$14:$AH$22)</f>
        <v>1.9503546099290781</v>
      </c>
      <c r="AD14" s="165">
        <f>MAX($AH$14:$AH$22)</f>
        <v>4.1189931350114417</v>
      </c>
      <c r="AE14" s="162"/>
      <c r="AF14" s="162">
        <f t="shared" si="10"/>
        <v>12</v>
      </c>
      <c r="AG14" s="167" t="str">
        <f t="shared" si="11"/>
        <v>N/A</v>
      </c>
      <c r="AH14" s="165">
        <f t="shared" si="12"/>
        <v>2.2761760242792111</v>
      </c>
      <c r="AI14" s="165">
        <f t="shared" si="13"/>
        <v>1.3841612250512754</v>
      </c>
      <c r="AJ14" s="165">
        <f t="shared" si="14"/>
        <v>3.7213520723371736</v>
      </c>
      <c r="AK14" s="167">
        <f t="shared" si="15"/>
        <v>5</v>
      </c>
    </row>
    <row r="15" spans="1:37" x14ac:dyDescent="0.2">
      <c r="A15" s="62" t="s">
        <v>38</v>
      </c>
      <c r="B15" s="62" t="s">
        <v>62</v>
      </c>
      <c r="C15" s="62" t="s">
        <v>201</v>
      </c>
      <c r="D15" s="62"/>
      <c r="E15" s="62">
        <f t="shared" si="2"/>
        <v>6</v>
      </c>
      <c r="F15" s="128" t="s">
        <v>79</v>
      </c>
      <c r="G15" s="129">
        <v>1.9503546099290781</v>
      </c>
      <c r="H15" s="129">
        <v>1.0924712801601753</v>
      </c>
      <c r="I15" s="129">
        <v>3.4583515629556203</v>
      </c>
      <c r="J15" s="129"/>
      <c r="K15" s="129"/>
      <c r="L15" s="129"/>
      <c r="M15" s="60">
        <f t="shared" si="0"/>
        <v>5</v>
      </c>
      <c r="N15" s="61">
        <f t="shared" si="3"/>
        <v>1.7318159327065807</v>
      </c>
      <c r="O15" s="61">
        <f t="shared" si="16"/>
        <v>1.9766397124887689</v>
      </c>
      <c r="P15" s="129">
        <f t="shared" si="4"/>
        <v>2.4223894637817498</v>
      </c>
      <c r="Q15" s="129">
        <f t="shared" si="5"/>
        <v>2.1164764302046764</v>
      </c>
      <c r="R15" s="129">
        <f t="shared" si="6"/>
        <v>2.7712669631511226</v>
      </c>
      <c r="S15" s="61">
        <f t="shared" si="7"/>
        <v>3.0303030303030303</v>
      </c>
      <c r="T15" s="61">
        <f t="shared" si="1"/>
        <v>4.1189931350114417</v>
      </c>
      <c r="U15" s="61">
        <f t="shared" si="17"/>
        <v>2.9338842975206614</v>
      </c>
      <c r="V15" s="61"/>
      <c r="Y15" s="162" t="s">
        <v>32</v>
      </c>
      <c r="Z15" s="162" t="s">
        <v>156</v>
      </c>
      <c r="AA15" s="162" t="s">
        <v>201</v>
      </c>
      <c r="AB15" s="162">
        <f>RANK(AH15,$AH$14:$AH$22,1)</f>
        <v>4</v>
      </c>
      <c r="AC15" s="165">
        <f t="shared" si="19"/>
        <v>1.9503546099290781</v>
      </c>
      <c r="AD15" s="165">
        <f t="shared" ref="AD15:AD22" si="20">MAX($AH$14:$AH$22)</f>
        <v>4.1189931350114417</v>
      </c>
      <c r="AE15" s="162"/>
      <c r="AF15" s="162">
        <f t="shared" si="10"/>
        <v>18</v>
      </c>
      <c r="AG15" s="167" t="str">
        <f t="shared" si="11"/>
        <v>N/A</v>
      </c>
      <c r="AH15" s="165">
        <f t="shared" si="12"/>
        <v>2.8849756463094791</v>
      </c>
      <c r="AI15" s="165">
        <f t="shared" si="13"/>
        <v>2.3145230514108772</v>
      </c>
      <c r="AJ15" s="165">
        <f t="shared" si="14"/>
        <v>3.5908574678787568</v>
      </c>
      <c r="AK15" s="167">
        <f t="shared" si="15"/>
        <v>5</v>
      </c>
    </row>
    <row r="16" spans="1:37" x14ac:dyDescent="0.2">
      <c r="A16" s="62" t="s">
        <v>39</v>
      </c>
      <c r="B16" s="62" t="s">
        <v>158</v>
      </c>
      <c r="C16" s="62" t="s">
        <v>200</v>
      </c>
      <c r="D16" s="62"/>
      <c r="E16" s="62">
        <f t="shared" si="2"/>
        <v>16</v>
      </c>
      <c r="F16" s="128" t="s">
        <v>79</v>
      </c>
      <c r="G16" s="129">
        <v>2.4717218265605361</v>
      </c>
      <c r="H16" s="129">
        <v>1.9210652730112607</v>
      </c>
      <c r="I16" s="129">
        <v>3.1751094804913662</v>
      </c>
      <c r="J16" s="129"/>
      <c r="K16" s="129"/>
      <c r="L16" s="129"/>
      <c r="M16" s="60">
        <f t="shared" si="0"/>
        <v>5</v>
      </c>
      <c r="N16" s="61">
        <f t="shared" si="3"/>
        <v>1.7318159327065807</v>
      </c>
      <c r="O16" s="61">
        <f t="shared" si="16"/>
        <v>1.9766397124887689</v>
      </c>
      <c r="P16" s="129">
        <f t="shared" si="4"/>
        <v>2.4223894637817498</v>
      </c>
      <c r="Q16" s="129">
        <f t="shared" si="5"/>
        <v>2.1164764302046764</v>
      </c>
      <c r="R16" s="129">
        <f t="shared" si="6"/>
        <v>2.7712669631511226</v>
      </c>
      <c r="S16" s="61">
        <f t="shared" si="7"/>
        <v>3.0303030303030303</v>
      </c>
      <c r="T16" s="61">
        <f t="shared" si="1"/>
        <v>4.1189931350114417</v>
      </c>
      <c r="U16" s="61">
        <f t="shared" si="17"/>
        <v>2.6123301985370948</v>
      </c>
      <c r="V16" s="61"/>
      <c r="Y16" s="162" t="s">
        <v>36</v>
      </c>
      <c r="Z16" s="162" t="s">
        <v>61</v>
      </c>
      <c r="AA16" s="162" t="s">
        <v>201</v>
      </c>
      <c r="AB16" s="162">
        <f>RANK(AH16,$AH$14:$AH$22,1)</f>
        <v>5</v>
      </c>
      <c r="AC16" s="165">
        <f t="shared" si="19"/>
        <v>1.9503546099290781</v>
      </c>
      <c r="AD16" s="165">
        <f t="shared" si="20"/>
        <v>4.1189931350114417</v>
      </c>
      <c r="AE16" s="162"/>
      <c r="AF16" s="162">
        <f t="shared" si="10"/>
        <v>19</v>
      </c>
      <c r="AG16" s="167" t="str">
        <f t="shared" si="11"/>
        <v>N/A</v>
      </c>
      <c r="AH16" s="165">
        <f t="shared" si="12"/>
        <v>2.996515679442509</v>
      </c>
      <c r="AI16" s="165">
        <f t="shared" si="13"/>
        <v>2.2321791263204749</v>
      </c>
      <c r="AJ16" s="165">
        <f t="shared" si="14"/>
        <v>4.0118346439200741</v>
      </c>
      <c r="AK16" s="167">
        <f t="shared" si="15"/>
        <v>5</v>
      </c>
    </row>
    <row r="17" spans="1:37" x14ac:dyDescent="0.2">
      <c r="A17" s="62" t="s">
        <v>40</v>
      </c>
      <c r="B17" s="62" t="s">
        <v>63</v>
      </c>
      <c r="C17" s="62" t="s">
        <v>200</v>
      </c>
      <c r="D17" s="62"/>
      <c r="E17" s="62">
        <f t="shared" si="2"/>
        <v>9</v>
      </c>
      <c r="F17" s="128" t="s">
        <v>79</v>
      </c>
      <c r="G17" s="129">
        <v>2.0166073546856467</v>
      </c>
      <c r="H17" s="129">
        <v>1.262824636626841</v>
      </c>
      <c r="I17" s="129">
        <v>3.2057164848000537</v>
      </c>
      <c r="J17" s="129"/>
      <c r="K17" s="129"/>
      <c r="L17" s="129"/>
      <c r="M17" s="60">
        <f t="shared" si="0"/>
        <v>5</v>
      </c>
      <c r="N17" s="61">
        <f t="shared" si="3"/>
        <v>1.7318159327065807</v>
      </c>
      <c r="O17" s="61">
        <f t="shared" si="16"/>
        <v>1.9766397124887689</v>
      </c>
      <c r="P17" s="129">
        <f t="shared" si="4"/>
        <v>2.4223894637817498</v>
      </c>
      <c r="Q17" s="129">
        <f t="shared" si="5"/>
        <v>2.1164764302046764</v>
      </c>
      <c r="R17" s="129">
        <f t="shared" si="6"/>
        <v>2.7712669631511226</v>
      </c>
      <c r="S17" s="61">
        <f t="shared" si="7"/>
        <v>3.0303030303030303</v>
      </c>
      <c r="T17" s="61">
        <f t="shared" si="1"/>
        <v>4.1189931350114417</v>
      </c>
      <c r="U17" s="61">
        <f t="shared" si="17"/>
        <v>2.6123301985370948</v>
      </c>
      <c r="V17" s="61"/>
      <c r="Y17" s="162" t="s">
        <v>37</v>
      </c>
      <c r="Z17" s="162" t="s">
        <v>157</v>
      </c>
      <c r="AA17" s="162" t="s">
        <v>201</v>
      </c>
      <c r="AB17" s="162">
        <f t="shared" ref="AB17:AB22" si="21">RANK(AH17,$AH$14:$AH$22,1)</f>
        <v>6</v>
      </c>
      <c r="AC17" s="165">
        <f t="shared" si="19"/>
        <v>1.9503546099290781</v>
      </c>
      <c r="AD17" s="165">
        <f>MAX($AH$14:$AH$22)</f>
        <v>4.1189931350114417</v>
      </c>
      <c r="AE17" s="162"/>
      <c r="AF17" s="162">
        <f t="shared" si="10"/>
        <v>21</v>
      </c>
      <c r="AG17" s="167" t="str">
        <f t="shared" si="11"/>
        <v>N/A</v>
      </c>
      <c r="AH17" s="165">
        <f t="shared" si="12"/>
        <v>3.0349013657056148</v>
      </c>
      <c r="AI17" s="165">
        <f t="shared" si="13"/>
        <v>2.2365908866269959</v>
      </c>
      <c r="AJ17" s="165">
        <f t="shared" si="14"/>
        <v>4.1061863247561972</v>
      </c>
      <c r="AK17" s="167">
        <f t="shared" si="15"/>
        <v>5</v>
      </c>
    </row>
    <row r="18" spans="1:37" x14ac:dyDescent="0.2">
      <c r="A18" s="62" t="s">
        <v>41</v>
      </c>
      <c r="B18" s="62" t="s">
        <v>64</v>
      </c>
      <c r="C18" s="62" t="s">
        <v>163</v>
      </c>
      <c r="D18" s="62"/>
      <c r="E18" s="62">
        <f t="shared" si="2"/>
        <v>5</v>
      </c>
      <c r="F18" s="128" t="s">
        <v>79</v>
      </c>
      <c r="G18" s="129">
        <v>1.9047619047619049</v>
      </c>
      <c r="H18" s="129">
        <v>1.3790051892294437</v>
      </c>
      <c r="I18" s="129">
        <v>2.6256309152056678</v>
      </c>
      <c r="J18" s="129"/>
      <c r="K18" s="129"/>
      <c r="L18" s="129"/>
      <c r="M18" s="60">
        <f t="shared" si="0"/>
        <v>5</v>
      </c>
      <c r="N18" s="61">
        <f t="shared" si="3"/>
        <v>1.7318159327065807</v>
      </c>
      <c r="O18" s="61">
        <f t="shared" si="16"/>
        <v>1.9766397124887689</v>
      </c>
      <c r="P18" s="129">
        <f t="shared" si="4"/>
        <v>2.4223894637817498</v>
      </c>
      <c r="Q18" s="129">
        <f t="shared" si="5"/>
        <v>2.1164764302046764</v>
      </c>
      <c r="R18" s="129">
        <f t="shared" si="6"/>
        <v>2.7712669631511226</v>
      </c>
      <c r="S18" s="61">
        <f t="shared" si="7"/>
        <v>3.0303030303030303</v>
      </c>
      <c r="T18" s="61">
        <f t="shared" si="1"/>
        <v>4.1189931350114417</v>
      </c>
      <c r="U18" s="61">
        <f t="shared" si="17"/>
        <v>1.8674136321195143</v>
      </c>
      <c r="V18" s="61"/>
      <c r="Y18" s="162" t="s">
        <v>38</v>
      </c>
      <c r="Z18" s="162" t="s">
        <v>62</v>
      </c>
      <c r="AA18" s="162" t="s">
        <v>201</v>
      </c>
      <c r="AB18" s="162">
        <f t="shared" si="21"/>
        <v>1</v>
      </c>
      <c r="AC18" s="165">
        <f t="shared" si="19"/>
        <v>1.9503546099290781</v>
      </c>
      <c r="AD18" s="165">
        <f t="shared" si="20"/>
        <v>4.1189931350114417</v>
      </c>
      <c r="AE18" s="162"/>
      <c r="AF18" s="162">
        <f t="shared" si="10"/>
        <v>6</v>
      </c>
      <c r="AG18" s="167" t="str">
        <f t="shared" si="11"/>
        <v>N/A</v>
      </c>
      <c r="AH18" s="165">
        <f t="shared" si="12"/>
        <v>1.9503546099290781</v>
      </c>
      <c r="AI18" s="165">
        <f t="shared" si="13"/>
        <v>1.0924712801601753</v>
      </c>
      <c r="AJ18" s="165">
        <f t="shared" si="14"/>
        <v>3.4583515629556203</v>
      </c>
      <c r="AK18" s="167">
        <f t="shared" si="15"/>
        <v>5</v>
      </c>
    </row>
    <row r="19" spans="1:37" x14ac:dyDescent="0.2">
      <c r="A19" s="62" t="s">
        <v>42</v>
      </c>
      <c r="B19" s="62" t="s">
        <v>65</v>
      </c>
      <c r="C19" s="62" t="s">
        <v>200</v>
      </c>
      <c r="D19" s="62"/>
      <c r="E19" s="62">
        <f t="shared" si="2"/>
        <v>20</v>
      </c>
      <c r="F19" s="128" t="s">
        <v>79</v>
      </c>
      <c r="G19" s="129">
        <v>3.0303030303030303</v>
      </c>
      <c r="H19" s="129">
        <v>1.9904131172194972</v>
      </c>
      <c r="I19" s="129">
        <v>4.5880500669708235</v>
      </c>
      <c r="J19" s="129"/>
      <c r="K19" s="129"/>
      <c r="L19" s="129"/>
      <c r="M19" s="60">
        <f t="shared" si="0"/>
        <v>5</v>
      </c>
      <c r="N19" s="61">
        <f t="shared" si="3"/>
        <v>1.7318159327065807</v>
      </c>
      <c r="O19" s="61">
        <f t="shared" si="16"/>
        <v>1.9766397124887689</v>
      </c>
      <c r="P19" s="129">
        <f t="shared" si="4"/>
        <v>2.4223894637817498</v>
      </c>
      <c r="Q19" s="129">
        <f t="shared" si="5"/>
        <v>2.1164764302046764</v>
      </c>
      <c r="R19" s="129">
        <f t="shared" si="6"/>
        <v>2.7712669631511226</v>
      </c>
      <c r="S19" s="61">
        <f t="shared" si="7"/>
        <v>3.0303030303030303</v>
      </c>
      <c r="T19" s="61">
        <f t="shared" si="1"/>
        <v>4.1189931350114417</v>
      </c>
      <c r="U19" s="61">
        <f t="shared" si="17"/>
        <v>2.6123301985370948</v>
      </c>
      <c r="V19" s="61"/>
      <c r="Y19" s="162" t="s">
        <v>43</v>
      </c>
      <c r="Z19" s="162" t="s">
        <v>159</v>
      </c>
      <c r="AA19" s="162" t="s">
        <v>201</v>
      </c>
      <c r="AB19" s="162">
        <f t="shared" si="21"/>
        <v>8</v>
      </c>
      <c r="AC19" s="165">
        <f t="shared" si="19"/>
        <v>1.9503546099290781</v>
      </c>
      <c r="AD19" s="165">
        <f t="shared" si="20"/>
        <v>4.1189931350114417</v>
      </c>
      <c r="AE19" s="162"/>
      <c r="AF19" s="162">
        <f t="shared" si="10"/>
        <v>24</v>
      </c>
      <c r="AG19" s="167" t="str">
        <f t="shared" si="11"/>
        <v>N/A</v>
      </c>
      <c r="AH19" s="165">
        <f t="shared" si="12"/>
        <v>3.6028823058446755</v>
      </c>
      <c r="AI19" s="165">
        <f t="shared" si="13"/>
        <v>2.7034388032437007</v>
      </c>
      <c r="AJ19" s="165">
        <f t="shared" si="14"/>
        <v>4.7868512218826682</v>
      </c>
      <c r="AK19" s="167">
        <f t="shared" si="15"/>
        <v>5</v>
      </c>
    </row>
    <row r="20" spans="1:37" x14ac:dyDescent="0.2">
      <c r="A20" s="62" t="s">
        <v>43</v>
      </c>
      <c r="B20" s="62" t="s">
        <v>159</v>
      </c>
      <c r="C20" s="62" t="s">
        <v>201</v>
      </c>
      <c r="D20" s="62"/>
      <c r="E20" s="62">
        <f t="shared" si="2"/>
        <v>24</v>
      </c>
      <c r="F20" s="128" t="s">
        <v>79</v>
      </c>
      <c r="G20" s="129">
        <v>3.6028823058446755</v>
      </c>
      <c r="H20" s="129">
        <v>2.7034388032437007</v>
      </c>
      <c r="I20" s="129">
        <v>4.7868512218826682</v>
      </c>
      <c r="J20" s="129"/>
      <c r="K20" s="129"/>
      <c r="L20" s="129"/>
      <c r="M20" s="60">
        <f t="shared" si="0"/>
        <v>5</v>
      </c>
      <c r="N20" s="61">
        <f t="shared" si="3"/>
        <v>1.7318159327065807</v>
      </c>
      <c r="O20" s="61">
        <f t="shared" si="16"/>
        <v>1.9766397124887689</v>
      </c>
      <c r="P20" s="129">
        <f t="shared" si="4"/>
        <v>2.4223894637817498</v>
      </c>
      <c r="Q20" s="129">
        <f t="shared" si="5"/>
        <v>2.1164764302046764</v>
      </c>
      <c r="R20" s="129">
        <f t="shared" si="6"/>
        <v>2.7712669631511226</v>
      </c>
      <c r="S20" s="61">
        <f t="shared" si="7"/>
        <v>3.0303030303030303</v>
      </c>
      <c r="T20" s="61">
        <f t="shared" si="1"/>
        <v>4.1189931350114417</v>
      </c>
      <c r="U20" s="61">
        <f t="shared" si="17"/>
        <v>2.9338842975206614</v>
      </c>
      <c r="V20" s="61"/>
      <c r="Y20" s="162" t="s">
        <v>48</v>
      </c>
      <c r="Z20" s="162" t="s">
        <v>160</v>
      </c>
      <c r="AA20" s="162" t="s">
        <v>201</v>
      </c>
      <c r="AB20" s="162">
        <f t="shared" si="21"/>
        <v>3</v>
      </c>
      <c r="AC20" s="165">
        <f t="shared" si="19"/>
        <v>1.9503546099290781</v>
      </c>
      <c r="AD20" s="165">
        <f t="shared" si="20"/>
        <v>4.1189931350114417</v>
      </c>
      <c r="AE20" s="162"/>
      <c r="AF20" s="162">
        <f t="shared" si="10"/>
        <v>17</v>
      </c>
      <c r="AG20" s="167" t="str">
        <f t="shared" si="11"/>
        <v>N/A</v>
      </c>
      <c r="AH20" s="165">
        <f t="shared" si="12"/>
        <v>2.8619528619528616</v>
      </c>
      <c r="AI20" s="165">
        <f t="shared" si="13"/>
        <v>1.7944128680279576</v>
      </c>
      <c r="AJ20" s="165">
        <f t="shared" si="14"/>
        <v>4.5352683981961048</v>
      </c>
      <c r="AK20" s="167">
        <f t="shared" si="15"/>
        <v>5</v>
      </c>
    </row>
    <row r="21" spans="1:37" x14ac:dyDescent="0.2">
      <c r="A21" s="62" t="s">
        <v>44</v>
      </c>
      <c r="B21" s="62" t="s">
        <v>66</v>
      </c>
      <c r="C21" s="62" t="s">
        <v>200</v>
      </c>
      <c r="D21" s="62"/>
      <c r="E21" s="62">
        <f t="shared" si="2"/>
        <v>25</v>
      </c>
      <c r="F21" s="128" t="s">
        <v>79</v>
      </c>
      <c r="G21" s="129">
        <v>4</v>
      </c>
      <c r="H21" s="129">
        <v>2.7441134899526776</v>
      </c>
      <c r="I21" s="129">
        <v>5.7964062442062687</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5</v>
      </c>
      <c r="N21" s="61">
        <f t="shared" si="3"/>
        <v>1.7318159327065807</v>
      </c>
      <c r="O21" s="61">
        <f t="shared" si="16"/>
        <v>1.9766397124887689</v>
      </c>
      <c r="P21" s="129">
        <f t="shared" si="4"/>
        <v>2.4223894637817498</v>
      </c>
      <c r="Q21" s="129">
        <f t="shared" si="5"/>
        <v>2.1164764302046764</v>
      </c>
      <c r="R21" s="129">
        <f t="shared" si="6"/>
        <v>2.7712669631511226</v>
      </c>
      <c r="S21" s="61">
        <f t="shared" si="7"/>
        <v>3.0303030303030303</v>
      </c>
      <c r="T21" s="61">
        <f t="shared" si="1"/>
        <v>4.1189931350114417</v>
      </c>
      <c r="U21" s="61">
        <f t="shared" si="17"/>
        <v>2.6123301985370948</v>
      </c>
      <c r="V21" s="61"/>
      <c r="Y21" s="162" t="s">
        <v>52</v>
      </c>
      <c r="Z21" s="162" t="s">
        <v>72</v>
      </c>
      <c r="AA21" s="162" t="s">
        <v>201</v>
      </c>
      <c r="AB21" s="162">
        <f t="shared" si="21"/>
        <v>9</v>
      </c>
      <c r="AC21" s="165">
        <f t="shared" si="19"/>
        <v>1.9503546099290781</v>
      </c>
      <c r="AD21" s="165">
        <f t="shared" si="20"/>
        <v>4.1189931350114417</v>
      </c>
      <c r="AE21" s="162"/>
      <c r="AF21" s="162">
        <f t="shared" si="10"/>
        <v>26</v>
      </c>
      <c r="AG21" s="167" t="str">
        <f t="shared" si="11"/>
        <v>N/A</v>
      </c>
      <c r="AH21" s="165">
        <f t="shared" si="12"/>
        <v>4.1189931350114417</v>
      </c>
      <c r="AI21" s="165">
        <f t="shared" si="13"/>
        <v>2.6210979231275155</v>
      </c>
      <c r="AJ21" s="165">
        <f t="shared" si="14"/>
        <v>6.4164955299190725</v>
      </c>
      <c r="AK21" s="167">
        <f t="shared" si="15"/>
        <v>5</v>
      </c>
    </row>
    <row r="22" spans="1:37" x14ac:dyDescent="0.2">
      <c r="A22" s="62" t="s">
        <v>45</v>
      </c>
      <c r="B22" s="62" t="s">
        <v>67</v>
      </c>
      <c r="C22" s="62" t="s">
        <v>163</v>
      </c>
      <c r="D22" s="62"/>
      <c r="E22" s="62">
        <f t="shared" si="2"/>
        <v>4</v>
      </c>
      <c r="F22" s="128" t="s">
        <v>79</v>
      </c>
      <c r="G22" s="129">
        <v>1.8915510718789408</v>
      </c>
      <c r="H22" s="129">
        <v>1.3281510412945108</v>
      </c>
      <c r="I22" s="129">
        <v>2.687435447942609</v>
      </c>
      <c r="J22" s="129"/>
      <c r="K22" s="129"/>
      <c r="L22" s="129"/>
      <c r="M22" s="60">
        <f t="shared" si="0"/>
        <v>5</v>
      </c>
      <c r="N22" s="61">
        <f t="shared" si="3"/>
        <v>1.7318159327065807</v>
      </c>
      <c r="O22" s="61">
        <f t="shared" si="16"/>
        <v>1.9766397124887689</v>
      </c>
      <c r="P22" s="129">
        <f t="shared" si="4"/>
        <v>2.4223894637817498</v>
      </c>
      <c r="Q22" s="129">
        <f t="shared" si="5"/>
        <v>2.1164764302046764</v>
      </c>
      <c r="R22" s="129">
        <f t="shared" si="6"/>
        <v>2.7712669631511226</v>
      </c>
      <c r="S22" s="61">
        <f t="shared" si="7"/>
        <v>3.0303030303030303</v>
      </c>
      <c r="T22" s="61">
        <f t="shared" si="1"/>
        <v>4.1189931350114417</v>
      </c>
      <c r="U22" s="61">
        <f>VLOOKUP(C22,$C$43:$I$46,5,FALSE)</f>
        <v>1.8674136321195143</v>
      </c>
      <c r="V22" s="61"/>
      <c r="Y22" s="162" t="s">
        <v>54</v>
      </c>
      <c r="Z22" s="162" t="s">
        <v>73</v>
      </c>
      <c r="AA22" s="162" t="s">
        <v>201</v>
      </c>
      <c r="AB22" s="162">
        <f t="shared" si="21"/>
        <v>7</v>
      </c>
      <c r="AC22" s="165">
        <f t="shared" si="19"/>
        <v>1.9503546099290781</v>
      </c>
      <c r="AD22" s="165">
        <f t="shared" si="20"/>
        <v>4.1189931350114417</v>
      </c>
      <c r="AE22" s="162"/>
      <c r="AF22" s="162">
        <f t="shared" si="10"/>
        <v>23</v>
      </c>
      <c r="AG22" s="167" t="str">
        <f t="shared" si="11"/>
        <v>N/A</v>
      </c>
      <c r="AH22" s="165">
        <f t="shared" si="12"/>
        <v>3.3333333333333335</v>
      </c>
      <c r="AI22" s="165">
        <f t="shared" si="13"/>
        <v>2.3307600037937899</v>
      </c>
      <c r="AJ22" s="165">
        <f t="shared" si="14"/>
        <v>4.7462055254171025</v>
      </c>
      <c r="AK22" s="167">
        <f t="shared" si="15"/>
        <v>5</v>
      </c>
    </row>
    <row r="23" spans="1:37" x14ac:dyDescent="0.2">
      <c r="A23" s="62" t="s">
        <v>46</v>
      </c>
      <c r="B23" s="62" t="s">
        <v>68</v>
      </c>
      <c r="C23" s="62" t="s">
        <v>163</v>
      </c>
      <c r="D23" s="62"/>
      <c r="E23" s="62">
        <f t="shared" si="2"/>
        <v>10</v>
      </c>
      <c r="F23" s="128" t="s">
        <v>79</v>
      </c>
      <c r="G23" s="129">
        <v>2.0356234096692112</v>
      </c>
      <c r="H23" s="129">
        <v>1.4984552910246329</v>
      </c>
      <c r="I23" s="129">
        <v>2.7599606644639252</v>
      </c>
      <c r="J23" s="129"/>
      <c r="K23" s="129"/>
      <c r="L23" s="129"/>
      <c r="M23" s="60">
        <f t="shared" si="0"/>
        <v>5</v>
      </c>
      <c r="N23" s="61">
        <f t="shared" si="3"/>
        <v>1.7318159327065807</v>
      </c>
      <c r="O23" s="61">
        <f t="shared" si="16"/>
        <v>1.9766397124887689</v>
      </c>
      <c r="P23" s="129">
        <f t="shared" si="4"/>
        <v>2.4223894637817498</v>
      </c>
      <c r="Q23" s="129">
        <f t="shared" si="5"/>
        <v>2.1164764302046764</v>
      </c>
      <c r="R23" s="129">
        <f t="shared" si="6"/>
        <v>2.7712669631511226</v>
      </c>
      <c r="S23" s="61">
        <f t="shared" si="7"/>
        <v>3.0303030303030303</v>
      </c>
      <c r="T23" s="61">
        <f t="shared" si="1"/>
        <v>4.1189931350114417</v>
      </c>
      <c r="U23" s="61">
        <f t="shared" si="17"/>
        <v>1.8674136321195143</v>
      </c>
      <c r="V23" s="61"/>
      <c r="Y23" s="163" t="s">
        <v>30</v>
      </c>
      <c r="Z23" s="163" t="s">
        <v>56</v>
      </c>
      <c r="AA23" s="163" t="s">
        <v>200</v>
      </c>
      <c r="AB23" s="163">
        <f>RANK(AH23,$AH$23:$AH$31,1)</f>
        <v>3</v>
      </c>
      <c r="AC23" s="166">
        <f>MIN($AH$23:$AH$31)</f>
        <v>1.9766397124887689</v>
      </c>
      <c r="AD23" s="166">
        <f>MAX($AH$23:$AH$31)</f>
        <v>4</v>
      </c>
      <c r="AE23" s="163"/>
      <c r="AF23" s="163">
        <f t="shared" si="10"/>
        <v>11</v>
      </c>
      <c r="AG23" s="168" t="str">
        <f t="shared" si="11"/>
        <v>N/A</v>
      </c>
      <c r="AH23" s="166">
        <f t="shared" si="12"/>
        <v>2.2727272727272725</v>
      </c>
      <c r="AI23" s="166">
        <f t="shared" si="13"/>
        <v>1.4912380057482322</v>
      </c>
      <c r="AJ23" s="166">
        <f t="shared" si="14"/>
        <v>3.4494184377523172</v>
      </c>
      <c r="AK23" s="168">
        <f t="shared" si="15"/>
        <v>5</v>
      </c>
    </row>
    <row r="24" spans="1:37" x14ac:dyDescent="0.2">
      <c r="A24" s="62" t="s">
        <v>47</v>
      </c>
      <c r="B24" s="62" t="s">
        <v>69</v>
      </c>
      <c r="C24" s="62" t="s">
        <v>163</v>
      </c>
      <c r="D24" s="62"/>
      <c r="E24" s="62">
        <f t="shared" si="2"/>
        <v>13</v>
      </c>
      <c r="F24" s="128" t="s">
        <v>79</v>
      </c>
      <c r="G24" s="129">
        <v>2.3178807947019866</v>
      </c>
      <c r="H24" s="129">
        <v>1.1272212943208537</v>
      </c>
      <c r="I24" s="129">
        <v>4.7063432228932909</v>
      </c>
      <c r="J24" s="129"/>
      <c r="K24" s="129"/>
      <c r="L24" s="129"/>
      <c r="M24" s="60">
        <f t="shared" si="0"/>
        <v>5</v>
      </c>
      <c r="N24" s="61">
        <f t="shared" si="3"/>
        <v>1.7318159327065807</v>
      </c>
      <c r="O24" s="61">
        <f t="shared" si="16"/>
        <v>1.9766397124887689</v>
      </c>
      <c r="P24" s="129">
        <f t="shared" si="4"/>
        <v>2.4223894637817498</v>
      </c>
      <c r="Q24" s="129">
        <f t="shared" si="5"/>
        <v>2.1164764302046764</v>
      </c>
      <c r="R24" s="129">
        <f t="shared" si="6"/>
        <v>2.7712669631511226</v>
      </c>
      <c r="S24" s="61">
        <f t="shared" si="7"/>
        <v>3.0303030303030303</v>
      </c>
      <c r="T24" s="61">
        <f t="shared" si="1"/>
        <v>4.1189931350114417</v>
      </c>
      <c r="U24" s="61">
        <f t="shared" si="17"/>
        <v>1.8674136321195143</v>
      </c>
      <c r="V24" s="61"/>
      <c r="Y24" s="163" t="s">
        <v>31</v>
      </c>
      <c r="Z24" s="163" t="s">
        <v>57</v>
      </c>
      <c r="AA24" s="163" t="s">
        <v>200</v>
      </c>
      <c r="AB24" s="163">
        <f t="shared" ref="AB24:AB31" si="22">RANK(AH24,$AH$23:$AH$31,1)</f>
        <v>5</v>
      </c>
      <c r="AC24" s="166">
        <f t="shared" ref="AC24:AC31" si="23">MIN($AH$23:$AH$31)</f>
        <v>1.9766397124887689</v>
      </c>
      <c r="AD24" s="166">
        <f t="shared" ref="AD24:AD31" si="24">MAX($AH$23:$AH$31)</f>
        <v>4</v>
      </c>
      <c r="AE24" s="163"/>
      <c r="AF24" s="163">
        <f t="shared" si="10"/>
        <v>15</v>
      </c>
      <c r="AG24" s="168" t="str">
        <f t="shared" si="11"/>
        <v>N/A</v>
      </c>
      <c r="AH24" s="166">
        <f t="shared" si="12"/>
        <v>2.3884103367267033</v>
      </c>
      <c r="AI24" s="166">
        <f t="shared" si="13"/>
        <v>1.8638901359538897</v>
      </c>
      <c r="AJ24" s="166">
        <f t="shared" si="14"/>
        <v>3.0559401524610132</v>
      </c>
      <c r="AK24" s="168">
        <f t="shared" si="15"/>
        <v>5</v>
      </c>
    </row>
    <row r="25" spans="1:37" x14ac:dyDescent="0.2">
      <c r="A25" s="62" t="s">
        <v>48</v>
      </c>
      <c r="B25" s="62" t="s">
        <v>160</v>
      </c>
      <c r="C25" s="62" t="s">
        <v>201</v>
      </c>
      <c r="D25" s="62"/>
      <c r="E25" s="62">
        <f t="shared" si="2"/>
        <v>17</v>
      </c>
      <c r="F25" s="128" t="s">
        <v>79</v>
      </c>
      <c r="G25" s="129">
        <v>2.8619528619528616</v>
      </c>
      <c r="H25" s="129">
        <v>1.7944128680279576</v>
      </c>
      <c r="I25" s="129">
        <v>4.5352683981961048</v>
      </c>
      <c r="J25" s="129"/>
      <c r="K25" s="129"/>
      <c r="L25" s="129"/>
      <c r="M25" s="60">
        <f t="shared" si="0"/>
        <v>5</v>
      </c>
      <c r="N25" s="61">
        <f t="shared" si="3"/>
        <v>1.7318159327065807</v>
      </c>
      <c r="O25" s="61">
        <f t="shared" si="16"/>
        <v>1.9766397124887689</v>
      </c>
      <c r="P25" s="129">
        <f t="shared" si="4"/>
        <v>2.4223894637817498</v>
      </c>
      <c r="Q25" s="129">
        <f t="shared" si="5"/>
        <v>2.1164764302046764</v>
      </c>
      <c r="R25" s="129">
        <f t="shared" si="6"/>
        <v>2.7712669631511226</v>
      </c>
      <c r="S25" s="61">
        <f t="shared" si="7"/>
        <v>3.0303030303030303</v>
      </c>
      <c r="T25" s="61">
        <f t="shared" si="1"/>
        <v>4.1189931350114417</v>
      </c>
      <c r="U25" s="61">
        <f t="shared" si="17"/>
        <v>2.9338842975206614</v>
      </c>
      <c r="V25" s="61"/>
      <c r="Y25" s="163" t="s">
        <v>34</v>
      </c>
      <c r="Z25" s="163" t="s">
        <v>59</v>
      </c>
      <c r="AA25" s="163" t="s">
        <v>200</v>
      </c>
      <c r="AB25" s="163">
        <f t="shared" si="22"/>
        <v>4</v>
      </c>
      <c r="AC25" s="166">
        <f t="shared" si="23"/>
        <v>1.9766397124887689</v>
      </c>
      <c r="AD25" s="166">
        <f t="shared" si="24"/>
        <v>4</v>
      </c>
      <c r="AE25" s="163"/>
      <c r="AF25" s="163">
        <f t="shared" si="10"/>
        <v>14</v>
      </c>
      <c r="AG25" s="168" t="str">
        <f t="shared" si="11"/>
        <v>N/A</v>
      </c>
      <c r="AH25" s="166">
        <f t="shared" si="12"/>
        <v>2.3762376237623761</v>
      </c>
      <c r="AI25" s="166">
        <f t="shared" si="13"/>
        <v>1.8505670040785067</v>
      </c>
      <c r="AJ25" s="166">
        <f t="shared" si="14"/>
        <v>3.0465948321738394</v>
      </c>
      <c r="AK25" s="168">
        <f t="shared" si="15"/>
        <v>5</v>
      </c>
    </row>
    <row r="26" spans="1:37" x14ac:dyDescent="0.2">
      <c r="A26" s="62" t="s">
        <v>49</v>
      </c>
      <c r="B26" s="62" t="s">
        <v>70</v>
      </c>
      <c r="C26" s="62" t="s">
        <v>200</v>
      </c>
      <c r="D26" s="62"/>
      <c r="E26" s="62">
        <f t="shared" si="2"/>
        <v>22</v>
      </c>
      <c r="F26" s="128" t="s">
        <v>79</v>
      </c>
      <c r="G26" s="129">
        <v>3.2774945375091042</v>
      </c>
      <c r="H26" s="129">
        <v>2.458399993597661</v>
      </c>
      <c r="I26" s="129">
        <v>4.3573054908284217</v>
      </c>
      <c r="J26" s="129"/>
      <c r="K26" s="129"/>
      <c r="L26" s="129"/>
      <c r="M26" s="60">
        <f t="shared" si="0"/>
        <v>5</v>
      </c>
      <c r="N26" s="61">
        <f t="shared" si="3"/>
        <v>1.7318159327065807</v>
      </c>
      <c r="O26" s="61">
        <f t="shared" si="16"/>
        <v>1.9766397124887689</v>
      </c>
      <c r="P26" s="129">
        <f t="shared" si="4"/>
        <v>2.4223894637817498</v>
      </c>
      <c r="Q26" s="129">
        <f t="shared" si="5"/>
        <v>2.1164764302046764</v>
      </c>
      <c r="R26" s="129">
        <f t="shared" si="6"/>
        <v>2.7712669631511226</v>
      </c>
      <c r="S26" s="61">
        <f t="shared" si="7"/>
        <v>3.0303030303030303</v>
      </c>
      <c r="T26" s="61">
        <f t="shared" si="1"/>
        <v>4.1189931350114417</v>
      </c>
      <c r="U26" s="61">
        <f t="shared" si="17"/>
        <v>2.6123301985370948</v>
      </c>
      <c r="V26" s="61"/>
      <c r="Y26" s="163" t="s">
        <v>39</v>
      </c>
      <c r="Z26" s="163" t="s">
        <v>158</v>
      </c>
      <c r="AA26" s="163" t="s">
        <v>200</v>
      </c>
      <c r="AB26" s="163">
        <f t="shared" si="22"/>
        <v>6</v>
      </c>
      <c r="AC26" s="166">
        <f t="shared" si="23"/>
        <v>1.9766397124887689</v>
      </c>
      <c r="AD26" s="166">
        <f t="shared" si="24"/>
        <v>4</v>
      </c>
      <c r="AE26" s="163"/>
      <c r="AF26" s="163">
        <f t="shared" si="10"/>
        <v>16</v>
      </c>
      <c r="AG26" s="168" t="str">
        <f t="shared" si="11"/>
        <v>N/A</v>
      </c>
      <c r="AH26" s="166">
        <f t="shared" si="12"/>
        <v>2.4717218265605361</v>
      </c>
      <c r="AI26" s="166">
        <f t="shared" si="13"/>
        <v>1.9210652730112607</v>
      </c>
      <c r="AJ26" s="166">
        <f t="shared" si="14"/>
        <v>3.1751094804913662</v>
      </c>
      <c r="AK26" s="168">
        <f t="shared" si="15"/>
        <v>5</v>
      </c>
    </row>
    <row r="27" spans="1:37" x14ac:dyDescent="0.2">
      <c r="A27" s="62" t="s">
        <v>50</v>
      </c>
      <c r="B27" s="62" t="s">
        <v>161</v>
      </c>
      <c r="C27" s="62" t="s">
        <v>163</v>
      </c>
      <c r="D27" s="62"/>
      <c r="E27" s="62">
        <f t="shared" si="2"/>
        <v>3</v>
      </c>
      <c r="F27" s="128" t="s">
        <v>79</v>
      </c>
      <c r="G27" s="129">
        <v>1.8817204301075268</v>
      </c>
      <c r="H27" s="129">
        <v>1.2340121872471883</v>
      </c>
      <c r="I27" s="129">
        <v>2.8595546707766073</v>
      </c>
      <c r="J27" s="129"/>
      <c r="K27" s="129"/>
      <c r="L27" s="129"/>
      <c r="M27" s="60">
        <f t="shared" si="0"/>
        <v>5</v>
      </c>
      <c r="N27" s="61">
        <f t="shared" si="3"/>
        <v>1.7318159327065807</v>
      </c>
      <c r="O27" s="61">
        <f t="shared" si="16"/>
        <v>1.9766397124887689</v>
      </c>
      <c r="P27" s="129">
        <f t="shared" si="4"/>
        <v>2.4223894637817498</v>
      </c>
      <c r="Q27" s="129">
        <f t="shared" si="5"/>
        <v>2.1164764302046764</v>
      </c>
      <c r="R27" s="129">
        <f t="shared" si="6"/>
        <v>2.7712669631511226</v>
      </c>
      <c r="S27" s="61">
        <f t="shared" si="7"/>
        <v>3.0303030303030303</v>
      </c>
      <c r="T27" s="61">
        <f t="shared" si="1"/>
        <v>4.1189931350114417</v>
      </c>
      <c r="U27" s="61">
        <f t="shared" si="17"/>
        <v>1.8674136321195143</v>
      </c>
      <c r="V27" s="61"/>
      <c r="Y27" s="163" t="s">
        <v>40</v>
      </c>
      <c r="Z27" s="163" t="s">
        <v>63</v>
      </c>
      <c r="AA27" s="163" t="s">
        <v>200</v>
      </c>
      <c r="AB27" s="163">
        <f t="shared" si="22"/>
        <v>2</v>
      </c>
      <c r="AC27" s="166">
        <f t="shared" si="23"/>
        <v>1.9766397124887689</v>
      </c>
      <c r="AD27" s="166">
        <f t="shared" si="24"/>
        <v>4</v>
      </c>
      <c r="AE27" s="163"/>
      <c r="AF27" s="163">
        <f t="shared" si="10"/>
        <v>9</v>
      </c>
      <c r="AG27" s="168" t="str">
        <f t="shared" si="11"/>
        <v>N/A</v>
      </c>
      <c r="AH27" s="166">
        <f t="shared" si="12"/>
        <v>2.0166073546856467</v>
      </c>
      <c r="AI27" s="166">
        <f t="shared" si="13"/>
        <v>1.262824636626841</v>
      </c>
      <c r="AJ27" s="166">
        <f t="shared" si="14"/>
        <v>3.2057164848000537</v>
      </c>
      <c r="AK27" s="168">
        <f t="shared" si="15"/>
        <v>5</v>
      </c>
    </row>
    <row r="28" spans="1:37" x14ac:dyDescent="0.2">
      <c r="A28" s="62" t="s">
        <v>51</v>
      </c>
      <c r="B28" s="62" t="s">
        <v>71</v>
      </c>
      <c r="C28" s="62" t="s">
        <v>200</v>
      </c>
      <c r="D28" s="62"/>
      <c r="E28" s="62">
        <f t="shared" si="2"/>
        <v>7</v>
      </c>
      <c r="F28" s="128" t="s">
        <v>79</v>
      </c>
      <c r="G28" s="129">
        <v>1.9766397124887689</v>
      </c>
      <c r="H28" s="129">
        <v>1.3089177720767973</v>
      </c>
      <c r="I28" s="129">
        <v>2.9747214537817532</v>
      </c>
      <c r="J28" s="129"/>
      <c r="K28" s="129"/>
      <c r="L28" s="129"/>
      <c r="M28" s="60">
        <f t="shared" si="0"/>
        <v>5</v>
      </c>
      <c r="N28" s="61">
        <f t="shared" si="3"/>
        <v>1.7318159327065807</v>
      </c>
      <c r="O28" s="61">
        <f t="shared" si="16"/>
        <v>1.9766397124887689</v>
      </c>
      <c r="P28" s="129">
        <f t="shared" si="4"/>
        <v>2.4223894637817498</v>
      </c>
      <c r="Q28" s="129">
        <f t="shared" si="5"/>
        <v>2.1164764302046764</v>
      </c>
      <c r="R28" s="129">
        <f t="shared" si="6"/>
        <v>2.7712669631511226</v>
      </c>
      <c r="S28" s="61">
        <f t="shared" si="7"/>
        <v>3.0303030303030303</v>
      </c>
      <c r="T28" s="61">
        <f t="shared" si="1"/>
        <v>4.1189931350114417</v>
      </c>
      <c r="U28" s="61">
        <f t="shared" si="17"/>
        <v>2.6123301985370948</v>
      </c>
      <c r="V28" s="61"/>
      <c r="Y28" s="163" t="s">
        <v>42</v>
      </c>
      <c r="Z28" s="163" t="s">
        <v>65</v>
      </c>
      <c r="AA28" s="163" t="s">
        <v>200</v>
      </c>
      <c r="AB28" s="163">
        <f t="shared" si="22"/>
        <v>7</v>
      </c>
      <c r="AC28" s="166">
        <f t="shared" si="23"/>
        <v>1.9766397124887689</v>
      </c>
      <c r="AD28" s="166">
        <f t="shared" si="24"/>
        <v>4</v>
      </c>
      <c r="AE28" s="163"/>
      <c r="AF28" s="163">
        <f t="shared" si="10"/>
        <v>20</v>
      </c>
      <c r="AG28" s="168" t="str">
        <f t="shared" si="11"/>
        <v>N/A</v>
      </c>
      <c r="AH28" s="166">
        <f t="shared" si="12"/>
        <v>3.0303030303030303</v>
      </c>
      <c r="AI28" s="166">
        <f t="shared" si="13"/>
        <v>1.9904131172194972</v>
      </c>
      <c r="AJ28" s="166">
        <f t="shared" si="14"/>
        <v>4.5880500669708235</v>
      </c>
      <c r="AK28" s="168">
        <f t="shared" si="15"/>
        <v>5</v>
      </c>
    </row>
    <row r="29" spans="1:37" x14ac:dyDescent="0.2">
      <c r="A29" s="62" t="s">
        <v>52</v>
      </c>
      <c r="B29" s="62" t="s">
        <v>72</v>
      </c>
      <c r="C29" s="62" t="s">
        <v>201</v>
      </c>
      <c r="D29" s="62"/>
      <c r="E29" s="62">
        <f t="shared" si="2"/>
        <v>26</v>
      </c>
      <c r="F29" s="128" t="s">
        <v>79</v>
      </c>
      <c r="G29" s="129">
        <v>4.1189931350114417</v>
      </c>
      <c r="H29" s="129">
        <v>2.6210979231275155</v>
      </c>
      <c r="I29" s="129">
        <v>6.4164955299190725</v>
      </c>
      <c r="J29" s="129"/>
      <c r="K29" s="129"/>
      <c r="L29" s="129"/>
      <c r="M29" s="60">
        <f t="shared" si="0"/>
        <v>5</v>
      </c>
      <c r="N29" s="61">
        <f t="shared" si="3"/>
        <v>1.7318159327065807</v>
      </c>
      <c r="O29" s="61">
        <f t="shared" si="16"/>
        <v>1.9766397124887689</v>
      </c>
      <c r="P29" s="129">
        <f t="shared" si="4"/>
        <v>2.4223894637817498</v>
      </c>
      <c r="Q29" s="129">
        <f t="shared" si="5"/>
        <v>2.1164764302046764</v>
      </c>
      <c r="R29" s="129">
        <f t="shared" si="6"/>
        <v>2.7712669631511226</v>
      </c>
      <c r="S29" s="61">
        <f t="shared" si="7"/>
        <v>3.0303030303030303</v>
      </c>
      <c r="T29" s="61">
        <f t="shared" si="1"/>
        <v>4.1189931350114417</v>
      </c>
      <c r="U29" s="61">
        <f t="shared" si="17"/>
        <v>2.9338842975206614</v>
      </c>
      <c r="V29" s="61"/>
      <c r="Y29" s="163" t="s">
        <v>44</v>
      </c>
      <c r="Z29" s="163" t="s">
        <v>66</v>
      </c>
      <c r="AA29" s="163" t="s">
        <v>200</v>
      </c>
      <c r="AB29" s="163">
        <f t="shared" si="22"/>
        <v>9</v>
      </c>
      <c r="AC29" s="166">
        <f t="shared" si="23"/>
        <v>1.9766397124887689</v>
      </c>
      <c r="AD29" s="166">
        <f t="shared" si="24"/>
        <v>4</v>
      </c>
      <c r="AE29" s="163"/>
      <c r="AF29" s="163">
        <f t="shared" si="10"/>
        <v>25</v>
      </c>
      <c r="AG29" s="168" t="str">
        <f t="shared" si="11"/>
        <v>N/A</v>
      </c>
      <c r="AH29" s="166">
        <f t="shared" si="12"/>
        <v>4</v>
      </c>
      <c r="AI29" s="166">
        <f t="shared" si="13"/>
        <v>2.7441134899526776</v>
      </c>
      <c r="AJ29" s="166">
        <f t="shared" si="14"/>
        <v>5.7964062442062687</v>
      </c>
      <c r="AK29" s="168">
        <f t="shared" si="15"/>
        <v>5</v>
      </c>
    </row>
    <row r="30" spans="1:37" x14ac:dyDescent="0.2">
      <c r="A30" s="62" t="s">
        <v>53</v>
      </c>
      <c r="B30" s="62" t="s">
        <v>162</v>
      </c>
      <c r="C30" s="62" t="s">
        <v>163</v>
      </c>
      <c r="D30" s="62"/>
      <c r="E30" s="62">
        <f t="shared" si="2"/>
        <v>8</v>
      </c>
      <c r="F30" s="128" t="s">
        <v>79</v>
      </c>
      <c r="G30" s="129">
        <v>1.9869605712511642</v>
      </c>
      <c r="H30" s="129">
        <v>1.5591214944641603</v>
      </c>
      <c r="I30" s="129">
        <v>2.5291867372498968</v>
      </c>
      <c r="J30" s="129"/>
      <c r="K30" s="129"/>
      <c r="L30" s="129"/>
      <c r="M30" s="60">
        <f t="shared" si="0"/>
        <v>5</v>
      </c>
      <c r="N30" s="61">
        <f t="shared" si="3"/>
        <v>1.7318159327065807</v>
      </c>
      <c r="O30" s="61">
        <f t="shared" si="16"/>
        <v>1.9766397124887689</v>
      </c>
      <c r="P30" s="129">
        <f>$G$32</f>
        <v>2.4223894637817498</v>
      </c>
      <c r="Q30" s="129">
        <f t="shared" si="5"/>
        <v>2.1164764302046764</v>
      </c>
      <c r="R30" s="129">
        <f t="shared" si="6"/>
        <v>2.7712669631511226</v>
      </c>
      <c r="S30" s="61">
        <f t="shared" si="7"/>
        <v>3.0303030303030303</v>
      </c>
      <c r="T30" s="61">
        <f t="shared" si="1"/>
        <v>4.1189931350114417</v>
      </c>
      <c r="U30" s="61">
        <f t="shared" si="17"/>
        <v>1.8674136321195143</v>
      </c>
      <c r="V30" s="61"/>
      <c r="Y30" s="163" t="s">
        <v>49</v>
      </c>
      <c r="Z30" s="163" t="s">
        <v>70</v>
      </c>
      <c r="AA30" s="163" t="s">
        <v>200</v>
      </c>
      <c r="AB30" s="163">
        <f t="shared" si="22"/>
        <v>8</v>
      </c>
      <c r="AC30" s="166">
        <f t="shared" si="23"/>
        <v>1.9766397124887689</v>
      </c>
      <c r="AD30" s="166">
        <f t="shared" si="24"/>
        <v>4</v>
      </c>
      <c r="AE30" s="163"/>
      <c r="AF30" s="163">
        <f t="shared" si="10"/>
        <v>22</v>
      </c>
      <c r="AG30" s="168" t="str">
        <f t="shared" si="11"/>
        <v>N/A</v>
      </c>
      <c r="AH30" s="166">
        <f t="shared" si="12"/>
        <v>3.2774945375091042</v>
      </c>
      <c r="AI30" s="166">
        <f t="shared" si="13"/>
        <v>2.458399993597661</v>
      </c>
      <c r="AJ30" s="166">
        <f t="shared" si="14"/>
        <v>4.3573054908284217</v>
      </c>
      <c r="AK30" s="168">
        <f t="shared" si="15"/>
        <v>5</v>
      </c>
    </row>
    <row r="31" spans="1:37" x14ac:dyDescent="0.2">
      <c r="A31" s="62" t="s">
        <v>54</v>
      </c>
      <c r="B31" s="62" t="s">
        <v>73</v>
      </c>
      <c r="C31" s="62" t="s">
        <v>201</v>
      </c>
      <c r="D31" s="62"/>
      <c r="E31" s="62">
        <f t="shared" si="2"/>
        <v>23</v>
      </c>
      <c r="F31" s="128" t="s">
        <v>79</v>
      </c>
      <c r="G31" s="129">
        <v>3.3333333333333335</v>
      </c>
      <c r="H31" s="129">
        <v>2.3307600037937899</v>
      </c>
      <c r="I31" s="129">
        <v>4.7462055254171025</v>
      </c>
      <c r="J31" s="129"/>
      <c r="K31" s="129"/>
      <c r="L31" s="129"/>
      <c r="M31" s="60">
        <f t="shared" si="0"/>
        <v>5</v>
      </c>
      <c r="N31" s="61">
        <f t="shared" si="3"/>
        <v>1.7318159327065807</v>
      </c>
      <c r="O31" s="61">
        <f t="shared" si="16"/>
        <v>1.9766397124887689</v>
      </c>
      <c r="P31" s="129">
        <f t="shared" si="4"/>
        <v>2.4223894637817498</v>
      </c>
      <c r="Q31" s="129">
        <f t="shared" si="5"/>
        <v>2.1164764302046764</v>
      </c>
      <c r="R31" s="129">
        <f t="shared" si="6"/>
        <v>2.7712669631511226</v>
      </c>
      <c r="S31" s="61">
        <f t="shared" si="7"/>
        <v>3.0303030303030303</v>
      </c>
      <c r="T31" s="61">
        <f t="shared" si="1"/>
        <v>4.1189931350114417</v>
      </c>
      <c r="U31" s="61">
        <f t="shared" si="17"/>
        <v>2.9338842975206614</v>
      </c>
      <c r="V31" s="61"/>
      <c r="Y31" s="163" t="s">
        <v>51</v>
      </c>
      <c r="Z31" s="163" t="s">
        <v>71</v>
      </c>
      <c r="AA31" s="163" t="s">
        <v>200</v>
      </c>
      <c r="AB31" s="163">
        <f t="shared" si="22"/>
        <v>1</v>
      </c>
      <c r="AC31" s="166">
        <f t="shared" si="23"/>
        <v>1.9766397124887689</v>
      </c>
      <c r="AD31" s="166">
        <f t="shared" si="24"/>
        <v>4</v>
      </c>
      <c r="AE31" s="163"/>
      <c r="AF31" s="163">
        <f t="shared" si="10"/>
        <v>7</v>
      </c>
      <c r="AG31" s="168" t="str">
        <f t="shared" si="11"/>
        <v>N/A</v>
      </c>
      <c r="AH31" s="166">
        <f t="shared" si="12"/>
        <v>1.9766397124887689</v>
      </c>
      <c r="AI31" s="166">
        <f t="shared" si="13"/>
        <v>1.3089177720767973</v>
      </c>
      <c r="AJ31" s="166">
        <f t="shared" si="14"/>
        <v>2.9747214537817532</v>
      </c>
      <c r="AK31" s="168">
        <f t="shared" si="15"/>
        <v>5</v>
      </c>
    </row>
    <row r="32" spans="1:37" x14ac:dyDescent="0.2">
      <c r="A32" s="62"/>
      <c r="B32" s="62" t="s">
        <v>171</v>
      </c>
      <c r="C32" s="62"/>
      <c r="D32" s="62"/>
      <c r="E32" s="62"/>
      <c r="F32" s="128">
        <v>206</v>
      </c>
      <c r="G32" s="129">
        <v>2.4223894637817498</v>
      </c>
      <c r="H32" s="129">
        <v>2.1164764302046764</v>
      </c>
      <c r="I32" s="129">
        <v>2.7712669631511226</v>
      </c>
      <c r="J32" s="129"/>
      <c r="K32" s="129"/>
      <c r="L32" s="129"/>
      <c r="M32" s="60"/>
      <c r="N32" s="61"/>
      <c r="O32" s="61"/>
      <c r="P32" s="129"/>
      <c r="Q32" s="129"/>
      <c r="R32" s="129"/>
      <c r="S32" s="61"/>
      <c r="T32" s="61"/>
      <c r="U32" s="61"/>
      <c r="V32" s="61"/>
    </row>
    <row r="33" spans="1:23"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3"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3"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3"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3"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3"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3"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3" x14ac:dyDescent="0.2">
      <c r="A40" s="62"/>
      <c r="B40" s="62"/>
      <c r="C40" s="62"/>
      <c r="D40" s="62"/>
      <c r="E40" s="62"/>
      <c r="G40" s="26"/>
      <c r="H40" s="26"/>
      <c r="I40" s="26"/>
      <c r="J40" s="26"/>
      <c r="K40" s="26"/>
      <c r="L40" s="26"/>
      <c r="M40" s="60"/>
      <c r="N40" s="61"/>
      <c r="O40" s="61"/>
      <c r="P40" s="26"/>
      <c r="Q40" s="26"/>
      <c r="R40" s="26"/>
      <c r="S40" s="61"/>
      <c r="T40" s="61"/>
      <c r="U40" s="61"/>
      <c r="V40" s="61"/>
    </row>
    <row r="42" spans="1:23"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3"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c r="W43" s="67" t="s">
        <v>339</v>
      </c>
    </row>
    <row r="44" spans="1:23" x14ac:dyDescent="0.2">
      <c r="C44" s="62" t="s">
        <v>163</v>
      </c>
      <c r="D44" s="62"/>
      <c r="E44" s="62"/>
      <c r="F44" s="128">
        <v>60</v>
      </c>
      <c r="G44" s="129">
        <v>1.8674136321195143</v>
      </c>
      <c r="H44" s="129">
        <v>1.4535742831951486</v>
      </c>
      <c r="I44" s="129">
        <v>2.3962100598011911</v>
      </c>
      <c r="J44" s="129">
        <f>VLOOKUP($C44,$AA$6:$AD$13,3,FALSE)</f>
        <v>1.7318159327065807</v>
      </c>
      <c r="K44" s="129">
        <f>VLOOKUP($C44,$AA$6:$AD$13,4,FALSE)</f>
        <v>2.3178807947019866</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5</v>
      </c>
      <c r="N44" s="61">
        <f>MIN($G$6:$G$31)</f>
        <v>1.7318159327065807</v>
      </c>
      <c r="O44" s="61">
        <f>VLOOKUP(7,$E$5:$G$39,3,FALSE)</f>
        <v>1.9766397124887689</v>
      </c>
      <c r="P44" s="129">
        <f>$G$32</f>
        <v>2.4223894637817498</v>
      </c>
      <c r="Q44" s="129">
        <f>$H$32</f>
        <v>2.1164764302046764</v>
      </c>
      <c r="R44" s="129">
        <f>$I$32</f>
        <v>2.7712669631511226</v>
      </c>
      <c r="S44" s="61">
        <f>VLOOKUP(20,$E$5:$G$39,3,FALSE)</f>
        <v>3.0303030303030303</v>
      </c>
      <c r="T44" s="61">
        <f>MAX($G$6:$G$31)</f>
        <v>4.1189931350114417</v>
      </c>
    </row>
    <row r="45" spans="1:23" x14ac:dyDescent="0.2">
      <c r="C45" s="62" t="s">
        <v>201</v>
      </c>
      <c r="D45" s="62"/>
      <c r="E45" s="62"/>
      <c r="F45" s="128">
        <v>71</v>
      </c>
      <c r="G45" s="129">
        <v>2.9338842975206614</v>
      </c>
      <c r="H45" s="129">
        <v>2.3325317500992848</v>
      </c>
      <c r="I45" s="129">
        <v>3.6844236200614526</v>
      </c>
      <c r="J45" s="129">
        <f>VLOOKUP($C45,$AA$14:$AD$22,3,FALSE)</f>
        <v>1.9503546099290781</v>
      </c>
      <c r="K45" s="129">
        <f>VLOOKUP($C45,$AA$14:$AD$22,4,FALSE)</f>
        <v>4.1189931350114417</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5</v>
      </c>
      <c r="N45" s="61">
        <f>MIN($G$6:$G$31)</f>
        <v>1.7318159327065807</v>
      </c>
      <c r="O45" s="61">
        <f>VLOOKUP(7,$E$5:$G$39,3,FALSE)</f>
        <v>1.9766397124887689</v>
      </c>
      <c r="P45" s="129">
        <f>$G$32</f>
        <v>2.4223894637817498</v>
      </c>
      <c r="Q45" s="129">
        <f t="shared" ref="Q45:Q46" si="25">$H$32</f>
        <v>2.1164764302046764</v>
      </c>
      <c r="R45" s="129">
        <f t="shared" ref="R45:R46" si="26">$I$32</f>
        <v>2.7712669631511226</v>
      </c>
      <c r="S45" s="61">
        <f>VLOOKUP(20,$E$5:$G$39,3,FALSE)</f>
        <v>3.0303030303030303</v>
      </c>
      <c r="T45" s="61">
        <f t="shared" ref="T45:T46" si="27">MAX($G$6:$G$31)</f>
        <v>4.1189931350114417</v>
      </c>
    </row>
    <row r="46" spans="1:23" x14ac:dyDescent="0.2">
      <c r="C46" s="62" t="s">
        <v>200</v>
      </c>
      <c r="D46" s="62"/>
      <c r="E46" s="62"/>
      <c r="F46" s="128">
        <v>75</v>
      </c>
      <c r="G46" s="129">
        <v>2.6123301985370948</v>
      </c>
      <c r="H46" s="129">
        <v>2.0891710137313182</v>
      </c>
      <c r="I46" s="129">
        <v>3.2621313458708818</v>
      </c>
      <c r="J46" s="129">
        <f>VLOOKUP($C46,$AA$23:$AD$31,3,FALSE)</f>
        <v>1.9766397124887689</v>
      </c>
      <c r="K46" s="129">
        <f>VLOOKUP($C46,$AA$23:$AD$31,4,FALSE)</f>
        <v>4</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5</v>
      </c>
      <c r="N46" s="61">
        <f>MIN($G$6:$G$31)</f>
        <v>1.7318159327065807</v>
      </c>
      <c r="O46" s="61">
        <f>VLOOKUP(7,$E$5:$G$39,3,FALSE)</f>
        <v>1.9766397124887689</v>
      </c>
      <c r="P46" s="129">
        <f t="shared" ref="P46" si="28">$G$32</f>
        <v>2.4223894637817498</v>
      </c>
      <c r="Q46" s="129">
        <f t="shared" si="25"/>
        <v>2.1164764302046764</v>
      </c>
      <c r="R46" s="129">
        <f t="shared" si="26"/>
        <v>2.7712669631511226</v>
      </c>
      <c r="S46" s="61">
        <f>VLOOKUP(20,$E$5:$G$39,3,FALSE)</f>
        <v>3.0303030303030303</v>
      </c>
      <c r="T46" s="61">
        <f t="shared" si="27"/>
        <v>4.1189931350114417</v>
      </c>
    </row>
    <row r="48" spans="1:23"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K2:N2" xr:uid="{00000000-0002-0000-3300-000000000000}">
      <formula1>"High = Worst,Low = Worst"</formula1>
    </dataValidation>
    <dataValidation type="list" allowBlank="1" showInputMessage="1" showErrorMessage="1" sqref="C2:D2" xr:uid="{00000000-0002-0000-3300-000001000000}">
      <formula1>"Better / Worse,Higher / Lower,Significance not measured"</formula1>
    </dataValidation>
  </dataValidations>
  <pageMargins left="0.75" right="0.75" top="1" bottom="1" header="0.5" footer="0.5"/>
  <pageSetup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2">
    <tabColor theme="6" tint="0.39997558519241921"/>
  </sheetPr>
  <dimension ref="A1:AK55"/>
  <sheetViews>
    <sheetView topLeftCell="A10" workbookViewId="0">
      <selection activeCell="A46" sqref="A46:XFD46"/>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8" width="7.33203125" style="21" customWidth="1"/>
    <col min="9" max="9" width="6.886718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5.554687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9</v>
      </c>
      <c r="F6" s="128" t="s">
        <v>79</v>
      </c>
      <c r="G6" s="129">
        <v>4.4540229885057467</v>
      </c>
      <c r="H6" s="129">
        <v>3.1553369067025376</v>
      </c>
      <c r="I6" s="129">
        <v>6.2527165875336941</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5</v>
      </c>
      <c r="N6" s="61">
        <f>MIN($G$6:$G$32)</f>
        <v>1.932367149758454</v>
      </c>
      <c r="O6" s="61">
        <f>VLOOKUP(7,$E$5:$G$39,3,FALSE)</f>
        <v>4.2568542568542567</v>
      </c>
      <c r="P6" s="129">
        <f>$G$32</f>
        <v>4.616928738708598</v>
      </c>
      <c r="Q6" s="129">
        <f>$H$32</f>
        <v>4.2016739582341058</v>
      </c>
      <c r="R6" s="129">
        <f>$I$32</f>
        <v>5.0710510435300868</v>
      </c>
      <c r="S6" s="61">
        <f>VLOOKUP(20,$E$5:$G$39,3,FALSE)</f>
        <v>4.9590755897929704</v>
      </c>
      <c r="T6" s="61">
        <f t="shared" ref="T6:T31" si="1">MAX($G$6:$G$31)</f>
        <v>6.3100137174211248</v>
      </c>
      <c r="U6" s="61">
        <f>VLOOKUP(C6,$C$43:$I$46,5,FALSE)</f>
        <v>4.1224970553592462</v>
      </c>
      <c r="V6" s="61"/>
      <c r="Y6" s="159" t="s">
        <v>33</v>
      </c>
      <c r="Z6" s="159" t="s">
        <v>58</v>
      </c>
      <c r="AA6" s="159" t="s">
        <v>163</v>
      </c>
      <c r="AB6" s="159">
        <f>RANK(AH6,$AH$6:$AH$13,1)</f>
        <v>5</v>
      </c>
      <c r="AC6" s="164">
        <f>MIN($AH$6:$AH$13)</f>
        <v>3.0864197530864197</v>
      </c>
      <c r="AD6" s="164">
        <f>MAX($AH$6:$AH$13)</f>
        <v>5.1577366049073614</v>
      </c>
      <c r="AE6" s="159"/>
      <c r="AF6" s="159">
        <f>VLOOKUP($Y6,$A$6:$I$31,5,FALSE)</f>
        <v>18</v>
      </c>
      <c r="AG6" s="160" t="str">
        <f>VLOOKUP($Y6,$A$6:$I$31,6,FALSE)</f>
        <v>N/A</v>
      </c>
      <c r="AH6" s="161">
        <f>VLOOKUP($Y6,$A$6:$I$31,7,FALSE)</f>
        <v>4.8181818181818183</v>
      </c>
      <c r="AI6" s="161">
        <f>VLOOKUP($Y6,$A$6:$I$31,8,FALSE)</f>
        <v>3.9993949261490753</v>
      </c>
      <c r="AJ6" s="161">
        <f>VLOOKUP($Y6,$A$6:$I$31,9,FALSE)</f>
        <v>5.7944792183274449</v>
      </c>
      <c r="AK6" s="160">
        <f>VLOOKUP($Y6,$A$6:$M$31,13,FALSE)</f>
        <v>5</v>
      </c>
    </row>
    <row r="7" spans="1:37" x14ac:dyDescent="0.2">
      <c r="A7" s="62" t="s">
        <v>30</v>
      </c>
      <c r="B7" s="62" t="s">
        <v>56</v>
      </c>
      <c r="C7" s="62" t="s">
        <v>200</v>
      </c>
      <c r="D7" s="62"/>
      <c r="E7" s="62">
        <f t="shared" ref="E7:E31" si="2">RANK(G7,$G$6:$G$31,1)</f>
        <v>4</v>
      </c>
      <c r="F7" s="128" t="s">
        <v>79</v>
      </c>
      <c r="G7" s="129">
        <v>3.7832310838445808</v>
      </c>
      <c r="H7" s="129">
        <v>2.7570379085164727</v>
      </c>
      <c r="I7" s="129">
        <v>5.1710708631573965</v>
      </c>
      <c r="J7" s="129"/>
      <c r="K7" s="129"/>
      <c r="L7" s="129"/>
      <c r="M7" s="60">
        <f t="shared" si="0"/>
        <v>5</v>
      </c>
      <c r="N7" s="61">
        <f t="shared" ref="N7:N31" si="3">MIN($G$6:$G$32)</f>
        <v>1.932367149758454</v>
      </c>
      <c r="O7" s="61">
        <f>VLOOKUP(7,$E$5:$G$39,3,FALSE)</f>
        <v>4.2568542568542567</v>
      </c>
      <c r="P7" s="129">
        <f t="shared" ref="P7:P31" si="4">$G$32</f>
        <v>4.616928738708598</v>
      </c>
      <c r="Q7" s="129">
        <f t="shared" ref="Q7:Q31" si="5">$H$32</f>
        <v>4.2016739582341058</v>
      </c>
      <c r="R7" s="129">
        <f t="shared" ref="R7:R31" si="6">$I$32</f>
        <v>5.0710510435300868</v>
      </c>
      <c r="S7" s="61">
        <f t="shared" ref="S7:S31" si="7">VLOOKUP(20,$E$5:$G$39,3,FALSE)</f>
        <v>4.9590755897929704</v>
      </c>
      <c r="T7" s="61">
        <f t="shared" si="1"/>
        <v>6.3100137174211248</v>
      </c>
      <c r="U7" s="61">
        <f>VLOOKUP(C7,$C$43:$I$46,5,FALSE)</f>
        <v>4.8105436573311362</v>
      </c>
      <c r="V7" s="61"/>
      <c r="Y7" s="159" t="s">
        <v>35</v>
      </c>
      <c r="Z7" s="159" t="s">
        <v>60</v>
      </c>
      <c r="AA7" s="159" t="s">
        <v>163</v>
      </c>
      <c r="AB7" s="159">
        <f t="shared" ref="AB7:AB12" si="8">RANK(AH7,$AH$6:$AH$13,1)</f>
        <v>6</v>
      </c>
      <c r="AC7" s="164">
        <f>MIN($AH$6:$AH$13)</f>
        <v>3.0864197530864197</v>
      </c>
      <c r="AD7" s="164">
        <f t="shared" ref="AD7:AD13" si="9">MAX($AH$6:$AH$13)</f>
        <v>5.1577366049073614</v>
      </c>
      <c r="AE7" s="159"/>
      <c r="AF7" s="159">
        <f t="shared" ref="AF7:AF31" si="10">VLOOKUP($Y7,$A$6:$I$31,5,FALSE)</f>
        <v>19</v>
      </c>
      <c r="AG7" s="160" t="str">
        <f t="shared" ref="AG7:AG31" si="11">VLOOKUP($Y7,$A$6:$I$31,6,FALSE)</f>
        <v>N/A</v>
      </c>
      <c r="AH7" s="161">
        <f t="shared" ref="AH7:AH31" si="12">VLOOKUP($Y7,$A$6:$I$31,7,FALSE)</f>
        <v>4.849340866290019</v>
      </c>
      <c r="AI7" s="161">
        <f t="shared" ref="AI7:AI31" si="13">VLOOKUP($Y7,$A$6:$I$31,8,FALSE)</f>
        <v>4.0145250299774906</v>
      </c>
      <c r="AJ7" s="161">
        <f t="shared" ref="AJ7:AJ31" si="14">VLOOKUP($Y7,$A$6:$I$31,9,FALSE)</f>
        <v>5.8471805003299124</v>
      </c>
      <c r="AK7" s="160">
        <f t="shared" ref="AK7:AK31" si="15">VLOOKUP($Y7,$A$6:$M$31,13,FALSE)</f>
        <v>5</v>
      </c>
    </row>
    <row r="8" spans="1:37" x14ac:dyDescent="0.2">
      <c r="A8" s="62" t="s">
        <v>31</v>
      </c>
      <c r="B8" s="62" t="s">
        <v>57</v>
      </c>
      <c r="C8" s="62" t="s">
        <v>200</v>
      </c>
      <c r="D8" s="62"/>
      <c r="E8" s="62">
        <f t="shared" si="2"/>
        <v>8</v>
      </c>
      <c r="F8" s="128" t="s">
        <v>79</v>
      </c>
      <c r="G8" s="129">
        <v>4.2655786350148368</v>
      </c>
      <c r="H8" s="129">
        <v>3.5656211097025743</v>
      </c>
      <c r="I8" s="129">
        <v>5.095682244118704</v>
      </c>
      <c r="J8" s="129"/>
      <c r="K8" s="129"/>
      <c r="L8" s="129"/>
      <c r="M8" s="60">
        <f t="shared" si="0"/>
        <v>5</v>
      </c>
      <c r="N8" s="61">
        <f t="shared" si="3"/>
        <v>1.932367149758454</v>
      </c>
      <c r="O8" s="61">
        <f t="shared" ref="O8:O31" si="16">VLOOKUP(7,$E$5:$G$39,3,FALSE)</f>
        <v>4.2568542568542567</v>
      </c>
      <c r="P8" s="129">
        <f t="shared" si="4"/>
        <v>4.616928738708598</v>
      </c>
      <c r="Q8" s="129">
        <f t="shared" si="5"/>
        <v>4.2016739582341058</v>
      </c>
      <c r="R8" s="129">
        <f t="shared" si="6"/>
        <v>5.0710510435300868</v>
      </c>
      <c r="S8" s="61">
        <f t="shared" si="7"/>
        <v>4.9590755897929704</v>
      </c>
      <c r="T8" s="61">
        <f t="shared" si="1"/>
        <v>6.3100137174211248</v>
      </c>
      <c r="U8" s="61">
        <f t="shared" ref="U8:U31" si="17">VLOOKUP(C8,$C$43:$I$46,5,FALSE)</f>
        <v>4.8105436573311362</v>
      </c>
      <c r="V8" s="61"/>
      <c r="Y8" s="159" t="s">
        <v>41</v>
      </c>
      <c r="Z8" s="159" t="s">
        <v>64</v>
      </c>
      <c r="AA8" s="159" t="s">
        <v>163</v>
      </c>
      <c r="AB8" s="159">
        <f t="shared" si="8"/>
        <v>8</v>
      </c>
      <c r="AC8" s="164">
        <f t="shared" ref="AC8:AC13" si="18">MIN($AH$6:$AH$13)</f>
        <v>3.0864197530864197</v>
      </c>
      <c r="AD8" s="164">
        <f>MAX($AH$6:$AH$13)</f>
        <v>5.1577366049073614</v>
      </c>
      <c r="AE8" s="159"/>
      <c r="AF8" s="159">
        <f t="shared" si="10"/>
        <v>22</v>
      </c>
      <c r="AG8" s="160" t="str">
        <f t="shared" si="11"/>
        <v>N/A</v>
      </c>
      <c r="AH8" s="161">
        <f t="shared" si="12"/>
        <v>5.1577366049073614</v>
      </c>
      <c r="AI8" s="161">
        <f t="shared" si="13"/>
        <v>4.270905318169155</v>
      </c>
      <c r="AJ8" s="161">
        <f t="shared" si="14"/>
        <v>6.216755155658479</v>
      </c>
      <c r="AK8" s="160">
        <f t="shared" si="15"/>
        <v>5</v>
      </c>
    </row>
    <row r="9" spans="1:37" x14ac:dyDescent="0.2">
      <c r="A9" s="62" t="s">
        <v>32</v>
      </c>
      <c r="B9" s="62" t="s">
        <v>156</v>
      </c>
      <c r="C9" s="62" t="s">
        <v>201</v>
      </c>
      <c r="D9" s="62"/>
      <c r="E9" s="62">
        <f t="shared" si="2"/>
        <v>13</v>
      </c>
      <c r="F9" s="128" t="s">
        <v>79</v>
      </c>
      <c r="G9" s="129">
        <v>4.6306115235065395</v>
      </c>
      <c r="H9" s="129">
        <v>3.9158358482262825</v>
      </c>
      <c r="I9" s="129">
        <v>5.468433009917419</v>
      </c>
      <c r="J9" s="129"/>
      <c r="K9" s="129"/>
      <c r="L9" s="129"/>
      <c r="M9" s="60">
        <f t="shared" si="0"/>
        <v>5</v>
      </c>
      <c r="N9" s="61">
        <f t="shared" si="3"/>
        <v>1.932367149758454</v>
      </c>
      <c r="O9" s="61">
        <f t="shared" si="16"/>
        <v>4.2568542568542567</v>
      </c>
      <c r="P9" s="129">
        <f t="shared" si="4"/>
        <v>4.616928738708598</v>
      </c>
      <c r="Q9" s="129">
        <f t="shared" si="5"/>
        <v>4.2016739582341058</v>
      </c>
      <c r="R9" s="129">
        <f t="shared" si="6"/>
        <v>5.0710510435300868</v>
      </c>
      <c r="S9" s="61">
        <f t="shared" si="7"/>
        <v>4.9590755897929704</v>
      </c>
      <c r="T9" s="61">
        <f t="shared" si="1"/>
        <v>6.3100137174211248</v>
      </c>
      <c r="U9" s="61">
        <f t="shared" si="17"/>
        <v>4.1224970553592462</v>
      </c>
      <c r="V9" s="61"/>
      <c r="X9" s="63"/>
      <c r="Y9" s="159" t="s">
        <v>45</v>
      </c>
      <c r="Z9" s="159" t="s">
        <v>67</v>
      </c>
      <c r="AA9" s="159" t="s">
        <v>163</v>
      </c>
      <c r="AB9" s="159">
        <f t="shared" si="8"/>
        <v>3</v>
      </c>
      <c r="AC9" s="164">
        <f t="shared" si="18"/>
        <v>3.0864197530864197</v>
      </c>
      <c r="AD9" s="164">
        <f t="shared" si="9"/>
        <v>5.1577366049073614</v>
      </c>
      <c r="AE9" s="159"/>
      <c r="AF9" s="159">
        <f t="shared" si="10"/>
        <v>16</v>
      </c>
      <c r="AG9" s="160" t="str">
        <f t="shared" si="11"/>
        <v>N/A</v>
      </c>
      <c r="AH9" s="161">
        <f t="shared" si="12"/>
        <v>4.7676523838261922</v>
      </c>
      <c r="AI9" s="161">
        <f t="shared" si="13"/>
        <v>3.8421713454982171</v>
      </c>
      <c r="AJ9" s="161">
        <f t="shared" si="14"/>
        <v>5.9023745869962747</v>
      </c>
      <c r="AK9" s="160">
        <f t="shared" si="15"/>
        <v>5</v>
      </c>
    </row>
    <row r="10" spans="1:37" x14ac:dyDescent="0.2">
      <c r="A10" s="62" t="s">
        <v>33</v>
      </c>
      <c r="B10" s="62" t="s">
        <v>58</v>
      </c>
      <c r="C10" s="62" t="s">
        <v>163</v>
      </c>
      <c r="D10" s="62"/>
      <c r="E10" s="62">
        <f t="shared" si="2"/>
        <v>18</v>
      </c>
      <c r="F10" s="128" t="s">
        <v>79</v>
      </c>
      <c r="G10" s="129">
        <v>4.8181818181818183</v>
      </c>
      <c r="H10" s="129">
        <v>3.9993949261490753</v>
      </c>
      <c r="I10" s="129">
        <v>5.7944792183274449</v>
      </c>
      <c r="J10" s="129"/>
      <c r="K10" s="129"/>
      <c r="L10" s="129"/>
      <c r="M10" s="60">
        <f t="shared" si="0"/>
        <v>5</v>
      </c>
      <c r="N10" s="61">
        <f t="shared" si="3"/>
        <v>1.932367149758454</v>
      </c>
      <c r="O10" s="61">
        <f t="shared" si="16"/>
        <v>4.2568542568542567</v>
      </c>
      <c r="P10" s="129">
        <f t="shared" si="4"/>
        <v>4.616928738708598</v>
      </c>
      <c r="Q10" s="129">
        <f t="shared" si="5"/>
        <v>4.2016739582341058</v>
      </c>
      <c r="R10" s="129">
        <f t="shared" si="6"/>
        <v>5.0710510435300868</v>
      </c>
      <c r="S10" s="61">
        <f t="shared" si="7"/>
        <v>4.9590755897929704</v>
      </c>
      <c r="T10" s="61">
        <f t="shared" si="1"/>
        <v>6.3100137174211248</v>
      </c>
      <c r="U10" s="61">
        <f t="shared" si="17"/>
        <v>4.8153618906942395</v>
      </c>
      <c r="V10" s="61"/>
      <c r="Y10" s="159" t="s">
        <v>46</v>
      </c>
      <c r="Z10" s="159" t="s">
        <v>68</v>
      </c>
      <c r="AA10" s="159" t="s">
        <v>163</v>
      </c>
      <c r="AB10" s="159">
        <f t="shared" si="8"/>
        <v>7</v>
      </c>
      <c r="AC10" s="164">
        <f t="shared" si="18"/>
        <v>3.0864197530864197</v>
      </c>
      <c r="AD10" s="164">
        <f t="shared" si="9"/>
        <v>5.1577366049073614</v>
      </c>
      <c r="AE10" s="159"/>
      <c r="AF10" s="159">
        <f t="shared" si="10"/>
        <v>20</v>
      </c>
      <c r="AG10" s="160" t="str">
        <f t="shared" si="11"/>
        <v>N/A</v>
      </c>
      <c r="AH10" s="161">
        <f t="shared" si="12"/>
        <v>4.9590755897929704</v>
      </c>
      <c r="AI10" s="161">
        <f t="shared" si="13"/>
        <v>4.105736404830659</v>
      </c>
      <c r="AJ10" s="161">
        <f t="shared" si="14"/>
        <v>5.978715629281572</v>
      </c>
      <c r="AK10" s="160">
        <f t="shared" si="15"/>
        <v>5</v>
      </c>
    </row>
    <row r="11" spans="1:37" x14ac:dyDescent="0.2">
      <c r="A11" s="62" t="s">
        <v>34</v>
      </c>
      <c r="B11" s="62" t="s">
        <v>59</v>
      </c>
      <c r="C11" s="62" t="s">
        <v>200</v>
      </c>
      <c r="D11" s="62"/>
      <c r="E11" s="62">
        <f t="shared" si="2"/>
        <v>11</v>
      </c>
      <c r="F11" s="128" t="s">
        <v>79</v>
      </c>
      <c r="G11" s="129">
        <v>4.5607476635514015</v>
      </c>
      <c r="H11" s="129">
        <v>3.8331722563718853</v>
      </c>
      <c r="I11" s="129">
        <v>5.4186428521564602</v>
      </c>
      <c r="J11" s="129"/>
      <c r="K11" s="129"/>
      <c r="L11" s="129"/>
      <c r="M11" s="60">
        <f t="shared" si="0"/>
        <v>5</v>
      </c>
      <c r="N11" s="61">
        <f t="shared" si="3"/>
        <v>1.932367149758454</v>
      </c>
      <c r="O11" s="61">
        <f t="shared" si="16"/>
        <v>4.2568542568542567</v>
      </c>
      <c r="P11" s="129">
        <f t="shared" si="4"/>
        <v>4.616928738708598</v>
      </c>
      <c r="Q11" s="129">
        <f t="shared" si="5"/>
        <v>4.2016739582341058</v>
      </c>
      <c r="R11" s="129">
        <f t="shared" si="6"/>
        <v>5.0710510435300868</v>
      </c>
      <c r="S11" s="61">
        <f t="shared" si="7"/>
        <v>4.9590755897929704</v>
      </c>
      <c r="T11" s="61">
        <f t="shared" si="1"/>
        <v>6.3100137174211248</v>
      </c>
      <c r="U11" s="61">
        <f t="shared" si="17"/>
        <v>4.8105436573311362</v>
      </c>
      <c r="V11" s="61"/>
      <c r="Y11" s="159" t="s">
        <v>47</v>
      </c>
      <c r="Z11" s="159" t="s">
        <v>69</v>
      </c>
      <c r="AA11" s="159" t="s">
        <v>163</v>
      </c>
      <c r="AB11" s="159">
        <f t="shared" si="8"/>
        <v>1</v>
      </c>
      <c r="AC11" s="164">
        <f t="shared" si="18"/>
        <v>3.0864197530864197</v>
      </c>
      <c r="AD11" s="164">
        <f t="shared" si="9"/>
        <v>5.1577366049073614</v>
      </c>
      <c r="AE11" s="159"/>
      <c r="AF11" s="159">
        <f t="shared" si="10"/>
        <v>2</v>
      </c>
      <c r="AG11" s="160" t="str">
        <f t="shared" si="11"/>
        <v>N/A</v>
      </c>
      <c r="AH11" s="161">
        <f t="shared" si="12"/>
        <v>3.0864197530864197</v>
      </c>
      <c r="AI11" s="161">
        <f t="shared" si="13"/>
        <v>1.6849606105077959</v>
      </c>
      <c r="AJ11" s="161">
        <f t="shared" si="14"/>
        <v>5.5872919308444242</v>
      </c>
      <c r="AK11" s="160">
        <f t="shared" si="15"/>
        <v>5</v>
      </c>
    </row>
    <row r="12" spans="1:37" x14ac:dyDescent="0.2">
      <c r="A12" s="62" t="s">
        <v>35</v>
      </c>
      <c r="B12" s="62" t="s">
        <v>60</v>
      </c>
      <c r="C12" s="62" t="s">
        <v>163</v>
      </c>
      <c r="D12" s="62"/>
      <c r="E12" s="62">
        <f t="shared" si="2"/>
        <v>19</v>
      </c>
      <c r="F12" s="128" t="s">
        <v>79</v>
      </c>
      <c r="G12" s="129">
        <v>4.849340866290019</v>
      </c>
      <c r="H12" s="129">
        <v>4.0145250299774906</v>
      </c>
      <c r="I12" s="129">
        <v>5.8471805003299124</v>
      </c>
      <c r="J12" s="129"/>
      <c r="K12" s="129"/>
      <c r="L12" s="129"/>
      <c r="M12" s="60">
        <f t="shared" si="0"/>
        <v>5</v>
      </c>
      <c r="N12" s="61">
        <f t="shared" si="3"/>
        <v>1.932367149758454</v>
      </c>
      <c r="O12" s="61">
        <f t="shared" si="16"/>
        <v>4.2568542568542567</v>
      </c>
      <c r="P12" s="129">
        <f t="shared" si="4"/>
        <v>4.616928738708598</v>
      </c>
      <c r="Q12" s="129">
        <f t="shared" si="5"/>
        <v>4.2016739582341058</v>
      </c>
      <c r="R12" s="129">
        <f t="shared" si="6"/>
        <v>5.0710510435300868</v>
      </c>
      <c r="S12" s="61">
        <f t="shared" si="7"/>
        <v>4.9590755897929704</v>
      </c>
      <c r="T12" s="61">
        <f t="shared" si="1"/>
        <v>6.3100137174211248</v>
      </c>
      <c r="U12" s="61">
        <f t="shared" si="17"/>
        <v>4.8153618906942395</v>
      </c>
      <c r="V12" s="61"/>
      <c r="Y12" s="159" t="s">
        <v>50</v>
      </c>
      <c r="Z12" s="159" t="s">
        <v>161</v>
      </c>
      <c r="AA12" s="159" t="s">
        <v>163</v>
      </c>
      <c r="AB12" s="159">
        <f t="shared" si="8"/>
        <v>2</v>
      </c>
      <c r="AC12" s="164">
        <f t="shared" si="18"/>
        <v>3.0864197530864197</v>
      </c>
      <c r="AD12" s="164">
        <f t="shared" si="9"/>
        <v>5.1577366049073614</v>
      </c>
      <c r="AE12" s="159"/>
      <c r="AF12" s="159">
        <f t="shared" si="10"/>
        <v>12</v>
      </c>
      <c r="AG12" s="160" t="str">
        <f t="shared" si="11"/>
        <v>N/A</v>
      </c>
      <c r="AH12" s="161">
        <f t="shared" si="12"/>
        <v>4.5808124459809854</v>
      </c>
      <c r="AI12" s="161">
        <f t="shared" si="13"/>
        <v>3.5190765631994578</v>
      </c>
      <c r="AJ12" s="161">
        <f t="shared" si="14"/>
        <v>5.9431508569241087</v>
      </c>
      <c r="AK12" s="160">
        <f t="shared" si="15"/>
        <v>5</v>
      </c>
    </row>
    <row r="13" spans="1:37" x14ac:dyDescent="0.2">
      <c r="A13" s="62" t="s">
        <v>36</v>
      </c>
      <c r="B13" s="62" t="s">
        <v>61</v>
      </c>
      <c r="C13" s="62" t="s">
        <v>201</v>
      </c>
      <c r="D13" s="62"/>
      <c r="E13" s="62">
        <f t="shared" si="2"/>
        <v>6</v>
      </c>
      <c r="F13" s="128" t="s">
        <v>79</v>
      </c>
      <c r="G13" s="129">
        <v>4.2496679946879148</v>
      </c>
      <c r="H13" s="129">
        <v>3.3419432577642425</v>
      </c>
      <c r="I13" s="129">
        <v>5.3901960043058805</v>
      </c>
      <c r="J13" s="129"/>
      <c r="K13" s="129"/>
      <c r="L13" s="129"/>
      <c r="M13" s="60">
        <f t="shared" si="0"/>
        <v>5</v>
      </c>
      <c r="N13" s="61">
        <f t="shared" si="3"/>
        <v>1.932367149758454</v>
      </c>
      <c r="O13" s="61">
        <f t="shared" si="16"/>
        <v>4.2568542568542567</v>
      </c>
      <c r="P13" s="129">
        <f t="shared" si="4"/>
        <v>4.616928738708598</v>
      </c>
      <c r="Q13" s="129">
        <f t="shared" si="5"/>
        <v>4.2016739582341058</v>
      </c>
      <c r="R13" s="129">
        <f t="shared" si="6"/>
        <v>5.0710510435300868</v>
      </c>
      <c r="S13" s="61">
        <f t="shared" si="7"/>
        <v>4.9590755897929704</v>
      </c>
      <c r="T13" s="61">
        <f t="shared" si="1"/>
        <v>6.3100137174211248</v>
      </c>
      <c r="U13" s="61">
        <f t="shared" si="17"/>
        <v>4.1224970553592462</v>
      </c>
      <c r="V13" s="61"/>
      <c r="Y13" s="159" t="s">
        <v>53</v>
      </c>
      <c r="Z13" s="159" t="s">
        <v>162</v>
      </c>
      <c r="AA13" s="159" t="s">
        <v>163</v>
      </c>
      <c r="AB13" s="159">
        <f>RANK(AH13,$AH$6:$AH$13,1)</f>
        <v>4</v>
      </c>
      <c r="AC13" s="164">
        <f t="shared" si="18"/>
        <v>3.0864197530864197</v>
      </c>
      <c r="AD13" s="164">
        <f t="shared" si="9"/>
        <v>5.1577366049073614</v>
      </c>
      <c r="AE13" s="159"/>
      <c r="AF13" s="159">
        <f t="shared" si="10"/>
        <v>17</v>
      </c>
      <c r="AG13" s="160" t="str">
        <f t="shared" si="11"/>
        <v>N/A</v>
      </c>
      <c r="AH13" s="161">
        <f t="shared" si="12"/>
        <v>4.796939376103591</v>
      </c>
      <c r="AI13" s="161">
        <f t="shared" si="13"/>
        <v>4.128049484728626</v>
      </c>
      <c r="AJ13" s="161">
        <f t="shared" si="14"/>
        <v>5.5679185024167612</v>
      </c>
      <c r="AK13" s="160">
        <f t="shared" si="15"/>
        <v>5</v>
      </c>
    </row>
    <row r="14" spans="1:37" x14ac:dyDescent="0.2">
      <c r="A14" s="62" t="s">
        <v>37</v>
      </c>
      <c r="B14" s="62" t="s">
        <v>157</v>
      </c>
      <c r="C14" s="62" t="s">
        <v>201</v>
      </c>
      <c r="D14" s="62"/>
      <c r="E14" s="62">
        <f t="shared" si="2"/>
        <v>7</v>
      </c>
      <c r="F14" s="128" t="s">
        <v>79</v>
      </c>
      <c r="G14" s="129">
        <v>4.2568542568542567</v>
      </c>
      <c r="H14" s="129">
        <v>3.3144199318427554</v>
      </c>
      <c r="I14" s="129">
        <v>5.4521525464368068</v>
      </c>
      <c r="J14" s="129"/>
      <c r="K14" s="129"/>
      <c r="L14" s="129"/>
      <c r="M14" s="60">
        <f t="shared" si="0"/>
        <v>5</v>
      </c>
      <c r="N14" s="61">
        <f t="shared" si="3"/>
        <v>1.932367149758454</v>
      </c>
      <c r="O14" s="61">
        <f t="shared" si="16"/>
        <v>4.2568542568542567</v>
      </c>
      <c r="P14" s="129">
        <f t="shared" si="4"/>
        <v>4.616928738708598</v>
      </c>
      <c r="Q14" s="129">
        <f t="shared" si="5"/>
        <v>4.2016739582341058</v>
      </c>
      <c r="R14" s="129">
        <f t="shared" si="6"/>
        <v>5.0710510435300868</v>
      </c>
      <c r="S14" s="61">
        <f t="shared" si="7"/>
        <v>4.9590755897929704</v>
      </c>
      <c r="T14" s="61">
        <f t="shared" si="1"/>
        <v>6.3100137174211248</v>
      </c>
      <c r="U14" s="61">
        <f t="shared" si="17"/>
        <v>4.1224970553592462</v>
      </c>
      <c r="V14" s="61"/>
      <c r="Y14" s="162" t="s">
        <v>29</v>
      </c>
      <c r="Z14" s="162" t="s">
        <v>55</v>
      </c>
      <c r="AA14" s="162" t="s">
        <v>201</v>
      </c>
      <c r="AB14" s="162">
        <f>RANK(AH14,$AH$14:$AH$22,1)</f>
        <v>5</v>
      </c>
      <c r="AC14" s="165">
        <f t="shared" ref="AC14:AC22" si="19">MIN($AH$14:$AH$22)</f>
        <v>1.932367149758454</v>
      </c>
      <c r="AD14" s="165">
        <f>MAX($AH$14:$AH$22)</f>
        <v>5.3097345132743365</v>
      </c>
      <c r="AE14" s="162"/>
      <c r="AF14" s="162">
        <f t="shared" si="10"/>
        <v>9</v>
      </c>
      <c r="AG14" s="167" t="str">
        <f t="shared" si="11"/>
        <v>N/A</v>
      </c>
      <c r="AH14" s="165">
        <f t="shared" si="12"/>
        <v>4.4540229885057467</v>
      </c>
      <c r="AI14" s="165">
        <f t="shared" si="13"/>
        <v>3.1553369067025376</v>
      </c>
      <c r="AJ14" s="165">
        <f t="shared" si="14"/>
        <v>6.2527165875336941</v>
      </c>
      <c r="AK14" s="167">
        <f t="shared" si="15"/>
        <v>5</v>
      </c>
    </row>
    <row r="15" spans="1:37" x14ac:dyDescent="0.2">
      <c r="A15" s="62" t="s">
        <v>38</v>
      </c>
      <c r="B15" s="62" t="s">
        <v>62</v>
      </c>
      <c r="C15" s="62" t="s">
        <v>201</v>
      </c>
      <c r="D15" s="62"/>
      <c r="E15" s="62">
        <f t="shared" si="2"/>
        <v>21</v>
      </c>
      <c r="F15" s="128" t="s">
        <v>79</v>
      </c>
      <c r="G15" s="129">
        <v>4.9833887043189371</v>
      </c>
      <c r="H15" s="129">
        <v>3.5127431260680768</v>
      </c>
      <c r="I15" s="129">
        <v>7.024907919630456</v>
      </c>
      <c r="J15" s="129"/>
      <c r="K15" s="129"/>
      <c r="L15" s="129"/>
      <c r="M15" s="60">
        <f t="shared" si="0"/>
        <v>5</v>
      </c>
      <c r="N15" s="61">
        <f t="shared" si="3"/>
        <v>1.932367149758454</v>
      </c>
      <c r="O15" s="61">
        <f t="shared" si="16"/>
        <v>4.2568542568542567</v>
      </c>
      <c r="P15" s="129">
        <f t="shared" si="4"/>
        <v>4.616928738708598</v>
      </c>
      <c r="Q15" s="129">
        <f t="shared" si="5"/>
        <v>4.2016739582341058</v>
      </c>
      <c r="R15" s="129">
        <f t="shared" si="6"/>
        <v>5.0710510435300868</v>
      </c>
      <c r="S15" s="61">
        <f t="shared" si="7"/>
        <v>4.9590755897929704</v>
      </c>
      <c r="T15" s="61">
        <f t="shared" si="1"/>
        <v>6.3100137174211248</v>
      </c>
      <c r="U15" s="61">
        <f t="shared" si="17"/>
        <v>4.1224970553592462</v>
      </c>
      <c r="V15" s="61"/>
      <c r="Y15" s="162" t="s">
        <v>32</v>
      </c>
      <c r="Z15" s="162" t="s">
        <v>156</v>
      </c>
      <c r="AA15" s="162" t="s">
        <v>201</v>
      </c>
      <c r="AB15" s="162">
        <f>RANK(AH15,$AH$14:$AH$22,1)</f>
        <v>7</v>
      </c>
      <c r="AC15" s="165">
        <f t="shared" si="19"/>
        <v>1.932367149758454</v>
      </c>
      <c r="AD15" s="165">
        <f t="shared" ref="AD15:AD22" si="20">MAX($AH$14:$AH$22)</f>
        <v>5.3097345132743365</v>
      </c>
      <c r="AE15" s="162"/>
      <c r="AF15" s="162">
        <f t="shared" si="10"/>
        <v>13</v>
      </c>
      <c r="AG15" s="167" t="str">
        <f t="shared" si="11"/>
        <v>N/A</v>
      </c>
      <c r="AH15" s="165">
        <f t="shared" si="12"/>
        <v>4.6306115235065395</v>
      </c>
      <c r="AI15" s="165">
        <f t="shared" si="13"/>
        <v>3.9158358482262825</v>
      </c>
      <c r="AJ15" s="165">
        <f t="shared" si="14"/>
        <v>5.468433009917419</v>
      </c>
      <c r="AK15" s="167">
        <f t="shared" si="15"/>
        <v>5</v>
      </c>
    </row>
    <row r="16" spans="1:37" x14ac:dyDescent="0.2">
      <c r="A16" s="62" t="s">
        <v>39</v>
      </c>
      <c r="B16" s="62" t="s">
        <v>158</v>
      </c>
      <c r="C16" s="62" t="s">
        <v>200</v>
      </c>
      <c r="D16" s="62"/>
      <c r="E16" s="62">
        <f t="shared" si="2"/>
        <v>15</v>
      </c>
      <c r="F16" s="128" t="s">
        <v>79</v>
      </c>
      <c r="G16" s="129">
        <v>4.6354992076069736</v>
      </c>
      <c r="H16" s="129">
        <v>3.8819194560989478</v>
      </c>
      <c r="I16" s="129">
        <v>5.5269561674400984</v>
      </c>
      <c r="J16" s="129"/>
      <c r="K16" s="129"/>
      <c r="L16" s="129"/>
      <c r="M16" s="60">
        <f t="shared" si="0"/>
        <v>5</v>
      </c>
      <c r="N16" s="61">
        <f t="shared" si="3"/>
        <v>1.932367149758454</v>
      </c>
      <c r="O16" s="61">
        <f t="shared" si="16"/>
        <v>4.2568542568542567</v>
      </c>
      <c r="P16" s="129">
        <f t="shared" si="4"/>
        <v>4.616928738708598</v>
      </c>
      <c r="Q16" s="129">
        <f t="shared" si="5"/>
        <v>4.2016739582341058</v>
      </c>
      <c r="R16" s="129">
        <f t="shared" si="6"/>
        <v>5.0710510435300868</v>
      </c>
      <c r="S16" s="61">
        <f t="shared" si="7"/>
        <v>4.9590755897929704</v>
      </c>
      <c r="T16" s="61">
        <f t="shared" si="1"/>
        <v>6.3100137174211248</v>
      </c>
      <c r="U16" s="61">
        <f t="shared" si="17"/>
        <v>4.8105436573311362</v>
      </c>
      <c r="V16" s="61"/>
      <c r="Y16" s="162" t="s">
        <v>36</v>
      </c>
      <c r="Z16" s="162" t="s">
        <v>61</v>
      </c>
      <c r="AA16" s="162" t="s">
        <v>201</v>
      </c>
      <c r="AB16" s="162">
        <f>RANK(AH16,$AH$14:$AH$22,1)</f>
        <v>3</v>
      </c>
      <c r="AC16" s="165">
        <f t="shared" si="19"/>
        <v>1.932367149758454</v>
      </c>
      <c r="AD16" s="165">
        <f t="shared" si="20"/>
        <v>5.3097345132743365</v>
      </c>
      <c r="AE16" s="162"/>
      <c r="AF16" s="162">
        <f t="shared" si="10"/>
        <v>6</v>
      </c>
      <c r="AG16" s="167" t="str">
        <f t="shared" si="11"/>
        <v>N/A</v>
      </c>
      <c r="AH16" s="165">
        <f t="shared" si="12"/>
        <v>4.2496679946879148</v>
      </c>
      <c r="AI16" s="165">
        <f t="shared" si="13"/>
        <v>3.3419432577642425</v>
      </c>
      <c r="AJ16" s="165">
        <f t="shared" si="14"/>
        <v>5.3901960043058805</v>
      </c>
      <c r="AK16" s="167">
        <f t="shared" si="15"/>
        <v>5</v>
      </c>
    </row>
    <row r="17" spans="1:37" x14ac:dyDescent="0.2">
      <c r="A17" s="62" t="s">
        <v>40</v>
      </c>
      <c r="B17" s="62" t="s">
        <v>63</v>
      </c>
      <c r="C17" s="62" t="s">
        <v>200</v>
      </c>
      <c r="D17" s="62"/>
      <c r="E17" s="62">
        <f t="shared" si="2"/>
        <v>5</v>
      </c>
      <c r="F17" s="128" t="s">
        <v>79</v>
      </c>
      <c r="G17" s="129">
        <v>3.9281705948372614</v>
      </c>
      <c r="H17" s="129">
        <v>2.8378535974952697</v>
      </c>
      <c r="I17" s="129">
        <v>5.4140504792346258</v>
      </c>
      <c r="J17" s="129"/>
      <c r="K17" s="129"/>
      <c r="L17" s="129"/>
      <c r="M17" s="60">
        <f t="shared" si="0"/>
        <v>5</v>
      </c>
      <c r="N17" s="61">
        <f t="shared" si="3"/>
        <v>1.932367149758454</v>
      </c>
      <c r="O17" s="61">
        <f t="shared" si="16"/>
        <v>4.2568542568542567</v>
      </c>
      <c r="P17" s="129">
        <f t="shared" si="4"/>
        <v>4.616928738708598</v>
      </c>
      <c r="Q17" s="129">
        <f t="shared" si="5"/>
        <v>4.2016739582341058</v>
      </c>
      <c r="R17" s="129">
        <f t="shared" si="6"/>
        <v>5.0710510435300868</v>
      </c>
      <c r="S17" s="61">
        <f t="shared" si="7"/>
        <v>4.9590755897929704</v>
      </c>
      <c r="T17" s="61">
        <f t="shared" si="1"/>
        <v>6.3100137174211248</v>
      </c>
      <c r="U17" s="61">
        <f t="shared" si="17"/>
        <v>4.8105436573311362</v>
      </c>
      <c r="V17" s="61"/>
      <c r="Y17" s="162" t="s">
        <v>37</v>
      </c>
      <c r="Z17" s="162" t="s">
        <v>157</v>
      </c>
      <c r="AA17" s="162" t="s">
        <v>201</v>
      </c>
      <c r="AB17" s="162">
        <f t="shared" ref="AB17:AB22" si="21">RANK(AH17,$AH$14:$AH$22,1)</f>
        <v>4</v>
      </c>
      <c r="AC17" s="165">
        <f t="shared" si="19"/>
        <v>1.932367149758454</v>
      </c>
      <c r="AD17" s="165">
        <f>MAX($AH$14:$AH$22)</f>
        <v>5.3097345132743365</v>
      </c>
      <c r="AE17" s="162"/>
      <c r="AF17" s="162">
        <f t="shared" si="10"/>
        <v>7</v>
      </c>
      <c r="AG17" s="167" t="str">
        <f t="shared" si="11"/>
        <v>N/A</v>
      </c>
      <c r="AH17" s="165">
        <f t="shared" si="12"/>
        <v>4.2568542568542567</v>
      </c>
      <c r="AI17" s="165">
        <f t="shared" si="13"/>
        <v>3.3144199318427554</v>
      </c>
      <c r="AJ17" s="165">
        <f t="shared" si="14"/>
        <v>5.4521525464368068</v>
      </c>
      <c r="AK17" s="167">
        <f t="shared" si="15"/>
        <v>5</v>
      </c>
    </row>
    <row r="18" spans="1:37" x14ac:dyDescent="0.2">
      <c r="A18" s="62" t="s">
        <v>41</v>
      </c>
      <c r="B18" s="62" t="s">
        <v>64</v>
      </c>
      <c r="C18" s="62" t="s">
        <v>163</v>
      </c>
      <c r="D18" s="62"/>
      <c r="E18" s="62">
        <f t="shared" si="2"/>
        <v>22</v>
      </c>
      <c r="F18" s="128" t="s">
        <v>79</v>
      </c>
      <c r="G18" s="129">
        <v>5.1577366049073614</v>
      </c>
      <c r="H18" s="129">
        <v>4.270905318169155</v>
      </c>
      <c r="I18" s="129">
        <v>6.216755155658479</v>
      </c>
      <c r="J18" s="129"/>
      <c r="K18" s="129"/>
      <c r="L18" s="129"/>
      <c r="M18" s="60">
        <f t="shared" si="0"/>
        <v>5</v>
      </c>
      <c r="N18" s="61">
        <f t="shared" si="3"/>
        <v>1.932367149758454</v>
      </c>
      <c r="O18" s="61">
        <f t="shared" si="16"/>
        <v>4.2568542568542567</v>
      </c>
      <c r="P18" s="129">
        <f t="shared" si="4"/>
        <v>4.616928738708598</v>
      </c>
      <c r="Q18" s="129">
        <f t="shared" si="5"/>
        <v>4.2016739582341058</v>
      </c>
      <c r="R18" s="129">
        <f t="shared" si="6"/>
        <v>5.0710510435300868</v>
      </c>
      <c r="S18" s="61">
        <f t="shared" si="7"/>
        <v>4.9590755897929704</v>
      </c>
      <c r="T18" s="61">
        <f t="shared" si="1"/>
        <v>6.3100137174211248</v>
      </c>
      <c r="U18" s="61">
        <f t="shared" si="17"/>
        <v>4.8153618906942395</v>
      </c>
      <c r="V18" s="61"/>
      <c r="Y18" s="162" t="s">
        <v>38</v>
      </c>
      <c r="Z18" s="162" t="s">
        <v>62</v>
      </c>
      <c r="AA18" s="162" t="s">
        <v>201</v>
      </c>
      <c r="AB18" s="162">
        <f t="shared" si="21"/>
        <v>8</v>
      </c>
      <c r="AC18" s="165">
        <f t="shared" si="19"/>
        <v>1.932367149758454</v>
      </c>
      <c r="AD18" s="165">
        <f t="shared" si="20"/>
        <v>5.3097345132743365</v>
      </c>
      <c r="AE18" s="162"/>
      <c r="AF18" s="162">
        <f t="shared" si="10"/>
        <v>21</v>
      </c>
      <c r="AG18" s="167" t="str">
        <f t="shared" si="11"/>
        <v>N/A</v>
      </c>
      <c r="AH18" s="165">
        <f t="shared" si="12"/>
        <v>4.9833887043189371</v>
      </c>
      <c r="AI18" s="165">
        <f t="shared" si="13"/>
        <v>3.5127431260680768</v>
      </c>
      <c r="AJ18" s="165">
        <f t="shared" si="14"/>
        <v>7.024907919630456</v>
      </c>
      <c r="AK18" s="167">
        <f t="shared" si="15"/>
        <v>5</v>
      </c>
    </row>
    <row r="19" spans="1:37" x14ac:dyDescent="0.2">
      <c r="A19" s="62" t="s">
        <v>42</v>
      </c>
      <c r="B19" s="62" t="s">
        <v>65</v>
      </c>
      <c r="C19" s="62" t="s">
        <v>200</v>
      </c>
      <c r="D19" s="62"/>
      <c r="E19" s="62">
        <f t="shared" si="2"/>
        <v>26</v>
      </c>
      <c r="F19" s="128" t="s">
        <v>79</v>
      </c>
      <c r="G19" s="129">
        <v>6.3100137174211248</v>
      </c>
      <c r="H19" s="129">
        <v>4.7638228445187298</v>
      </c>
      <c r="I19" s="129">
        <v>8.3142389473079064</v>
      </c>
      <c r="J19" s="129"/>
      <c r="K19" s="129"/>
      <c r="L19" s="129"/>
      <c r="M19" s="60">
        <f t="shared" si="0"/>
        <v>5</v>
      </c>
      <c r="N19" s="61">
        <f t="shared" si="3"/>
        <v>1.932367149758454</v>
      </c>
      <c r="O19" s="61">
        <f t="shared" si="16"/>
        <v>4.2568542568542567</v>
      </c>
      <c r="P19" s="129">
        <f t="shared" si="4"/>
        <v>4.616928738708598</v>
      </c>
      <c r="Q19" s="129">
        <f t="shared" si="5"/>
        <v>4.2016739582341058</v>
      </c>
      <c r="R19" s="129">
        <f t="shared" si="6"/>
        <v>5.0710510435300868</v>
      </c>
      <c r="S19" s="61">
        <f t="shared" si="7"/>
        <v>4.9590755897929704</v>
      </c>
      <c r="T19" s="61">
        <f t="shared" si="1"/>
        <v>6.3100137174211248</v>
      </c>
      <c r="U19" s="61">
        <f t="shared" si="17"/>
        <v>4.8105436573311362</v>
      </c>
      <c r="V19" s="61"/>
      <c r="Y19" s="162" t="s">
        <v>43</v>
      </c>
      <c r="Z19" s="162" t="s">
        <v>159</v>
      </c>
      <c r="AA19" s="162" t="s">
        <v>201</v>
      </c>
      <c r="AB19" s="162">
        <f t="shared" si="21"/>
        <v>6</v>
      </c>
      <c r="AC19" s="165">
        <f t="shared" si="19"/>
        <v>1.932367149758454</v>
      </c>
      <c r="AD19" s="165">
        <f t="shared" si="20"/>
        <v>5.3097345132743365</v>
      </c>
      <c r="AE19" s="162"/>
      <c r="AF19" s="162">
        <f t="shared" si="10"/>
        <v>10</v>
      </c>
      <c r="AG19" s="167" t="str">
        <f t="shared" si="11"/>
        <v>N/A</v>
      </c>
      <c r="AH19" s="165">
        <f t="shared" si="12"/>
        <v>4.4764795144157814</v>
      </c>
      <c r="AI19" s="165">
        <f t="shared" si="13"/>
        <v>3.4861930850257656</v>
      </c>
      <c r="AJ19" s="165">
        <f t="shared" si="14"/>
        <v>5.7313615625185248</v>
      </c>
      <c r="AK19" s="167">
        <f t="shared" si="15"/>
        <v>5</v>
      </c>
    </row>
    <row r="20" spans="1:37" x14ac:dyDescent="0.2">
      <c r="A20" s="62" t="s">
        <v>43</v>
      </c>
      <c r="B20" s="62" t="s">
        <v>159</v>
      </c>
      <c r="C20" s="62" t="s">
        <v>201</v>
      </c>
      <c r="D20" s="62"/>
      <c r="E20" s="62">
        <f t="shared" si="2"/>
        <v>10</v>
      </c>
      <c r="F20" s="128" t="s">
        <v>79</v>
      </c>
      <c r="G20" s="129">
        <v>4.4764795144157814</v>
      </c>
      <c r="H20" s="129">
        <v>3.4861930850257656</v>
      </c>
      <c r="I20" s="129">
        <v>5.7313615625185248</v>
      </c>
      <c r="J20" s="129"/>
      <c r="K20" s="129"/>
      <c r="L20" s="129"/>
      <c r="M20" s="60">
        <f t="shared" si="0"/>
        <v>5</v>
      </c>
      <c r="N20" s="61">
        <f t="shared" si="3"/>
        <v>1.932367149758454</v>
      </c>
      <c r="O20" s="61">
        <f t="shared" si="16"/>
        <v>4.2568542568542567</v>
      </c>
      <c r="P20" s="129">
        <f t="shared" si="4"/>
        <v>4.616928738708598</v>
      </c>
      <c r="Q20" s="129">
        <f t="shared" si="5"/>
        <v>4.2016739582341058</v>
      </c>
      <c r="R20" s="129">
        <f t="shared" si="6"/>
        <v>5.0710510435300868</v>
      </c>
      <c r="S20" s="61">
        <f t="shared" si="7"/>
        <v>4.9590755897929704</v>
      </c>
      <c r="T20" s="61">
        <f t="shared" si="1"/>
        <v>6.3100137174211248</v>
      </c>
      <c r="U20" s="61">
        <f t="shared" si="17"/>
        <v>4.1224970553592462</v>
      </c>
      <c r="V20" s="61"/>
      <c r="Y20" s="162" t="s">
        <v>48</v>
      </c>
      <c r="Z20" s="162" t="s">
        <v>160</v>
      </c>
      <c r="AA20" s="162" t="s">
        <v>201</v>
      </c>
      <c r="AB20" s="162">
        <f t="shared" si="21"/>
        <v>1</v>
      </c>
      <c r="AC20" s="165">
        <f t="shared" si="19"/>
        <v>1.932367149758454</v>
      </c>
      <c r="AD20" s="165">
        <f t="shared" si="20"/>
        <v>5.3097345132743365</v>
      </c>
      <c r="AE20" s="162"/>
      <c r="AF20" s="162">
        <f t="shared" si="10"/>
        <v>1</v>
      </c>
      <c r="AG20" s="167" t="str">
        <f t="shared" si="11"/>
        <v>N/A</v>
      </c>
      <c r="AH20" s="165">
        <f t="shared" si="12"/>
        <v>1.932367149758454</v>
      </c>
      <c r="AI20" s="165">
        <f t="shared" si="13"/>
        <v>1.1087879222527461</v>
      </c>
      <c r="AJ20" s="165">
        <f t="shared" si="14"/>
        <v>3.3469757643056339</v>
      </c>
      <c r="AK20" s="167">
        <f t="shared" si="15"/>
        <v>2</v>
      </c>
    </row>
    <row r="21" spans="1:37" x14ac:dyDescent="0.2">
      <c r="A21" s="62" t="s">
        <v>44</v>
      </c>
      <c r="B21" s="62" t="s">
        <v>66</v>
      </c>
      <c r="C21" s="62" t="s">
        <v>200</v>
      </c>
      <c r="D21" s="62"/>
      <c r="E21" s="62">
        <f t="shared" si="2"/>
        <v>23</v>
      </c>
      <c r="F21" s="128" t="s">
        <v>79</v>
      </c>
      <c r="G21" s="129">
        <v>5.2005943536404153</v>
      </c>
      <c r="H21" s="129">
        <v>3.7628815564173563</v>
      </c>
      <c r="I21" s="129">
        <v>7.1468311773967059</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5</v>
      </c>
      <c r="N21" s="61">
        <f t="shared" si="3"/>
        <v>1.932367149758454</v>
      </c>
      <c r="O21" s="61">
        <f t="shared" si="16"/>
        <v>4.2568542568542567</v>
      </c>
      <c r="P21" s="129">
        <f t="shared" si="4"/>
        <v>4.616928738708598</v>
      </c>
      <c r="Q21" s="129">
        <f t="shared" si="5"/>
        <v>4.2016739582341058</v>
      </c>
      <c r="R21" s="129">
        <f t="shared" si="6"/>
        <v>5.0710510435300868</v>
      </c>
      <c r="S21" s="61">
        <f t="shared" si="7"/>
        <v>4.9590755897929704</v>
      </c>
      <c r="T21" s="61">
        <f t="shared" si="1"/>
        <v>6.3100137174211248</v>
      </c>
      <c r="U21" s="61">
        <f t="shared" si="17"/>
        <v>4.8105436573311362</v>
      </c>
      <c r="V21" s="61"/>
      <c r="Y21" s="162" t="s">
        <v>52</v>
      </c>
      <c r="Z21" s="162" t="s">
        <v>72</v>
      </c>
      <c r="AA21" s="162" t="s">
        <v>201</v>
      </c>
      <c r="AB21" s="162">
        <f t="shared" si="21"/>
        <v>9</v>
      </c>
      <c r="AC21" s="165">
        <f t="shared" si="19"/>
        <v>1.932367149758454</v>
      </c>
      <c r="AD21" s="165">
        <f t="shared" si="20"/>
        <v>5.3097345132743365</v>
      </c>
      <c r="AE21" s="162"/>
      <c r="AF21" s="162">
        <f t="shared" si="10"/>
        <v>25</v>
      </c>
      <c r="AG21" s="167" t="str">
        <f t="shared" si="11"/>
        <v>N/A</v>
      </c>
      <c r="AH21" s="165">
        <f t="shared" si="12"/>
        <v>5.3097345132743365</v>
      </c>
      <c r="AI21" s="165">
        <f t="shared" si="13"/>
        <v>3.5937755874933504</v>
      </c>
      <c r="AJ21" s="165">
        <f t="shared" si="14"/>
        <v>7.7789194180932375</v>
      </c>
      <c r="AK21" s="167">
        <f t="shared" si="15"/>
        <v>5</v>
      </c>
    </row>
    <row r="22" spans="1:37" x14ac:dyDescent="0.2">
      <c r="A22" s="62" t="s">
        <v>45</v>
      </c>
      <c r="B22" s="62" t="s">
        <v>67</v>
      </c>
      <c r="C22" s="62" t="s">
        <v>163</v>
      </c>
      <c r="D22" s="62"/>
      <c r="E22" s="62">
        <f t="shared" si="2"/>
        <v>16</v>
      </c>
      <c r="F22" s="128" t="s">
        <v>79</v>
      </c>
      <c r="G22" s="129">
        <v>4.7676523838261922</v>
      </c>
      <c r="H22" s="129">
        <v>3.8421713454982171</v>
      </c>
      <c r="I22" s="129">
        <v>5.9023745869962747</v>
      </c>
      <c r="J22" s="129"/>
      <c r="K22" s="129"/>
      <c r="L22" s="129"/>
      <c r="M22" s="60">
        <f t="shared" si="0"/>
        <v>5</v>
      </c>
      <c r="N22" s="61">
        <f t="shared" si="3"/>
        <v>1.932367149758454</v>
      </c>
      <c r="O22" s="61">
        <f t="shared" si="16"/>
        <v>4.2568542568542567</v>
      </c>
      <c r="P22" s="129">
        <f t="shared" si="4"/>
        <v>4.616928738708598</v>
      </c>
      <c r="Q22" s="129">
        <f t="shared" si="5"/>
        <v>4.2016739582341058</v>
      </c>
      <c r="R22" s="129">
        <f t="shared" si="6"/>
        <v>5.0710510435300868</v>
      </c>
      <c r="S22" s="61">
        <f t="shared" si="7"/>
        <v>4.9590755897929704</v>
      </c>
      <c r="T22" s="61">
        <f t="shared" si="1"/>
        <v>6.3100137174211248</v>
      </c>
      <c r="U22" s="61">
        <f>VLOOKUP(C22,$C$43:$I$46,5,FALSE)</f>
        <v>4.8153618906942395</v>
      </c>
      <c r="V22" s="61"/>
      <c r="Y22" s="162" t="s">
        <v>54</v>
      </c>
      <c r="Z22" s="162" t="s">
        <v>73</v>
      </c>
      <c r="AA22" s="162" t="s">
        <v>201</v>
      </c>
      <c r="AB22" s="162">
        <f t="shared" si="21"/>
        <v>2</v>
      </c>
      <c r="AC22" s="165">
        <f t="shared" si="19"/>
        <v>1.932367149758454</v>
      </c>
      <c r="AD22" s="165">
        <f t="shared" si="20"/>
        <v>5.3097345132743365</v>
      </c>
      <c r="AE22" s="162"/>
      <c r="AF22" s="162">
        <f t="shared" si="10"/>
        <v>3</v>
      </c>
      <c r="AG22" s="167" t="str">
        <f t="shared" si="11"/>
        <v>N/A</v>
      </c>
      <c r="AH22" s="165">
        <f t="shared" si="12"/>
        <v>3.4178610804851157</v>
      </c>
      <c r="AI22" s="165">
        <f t="shared" si="13"/>
        <v>2.4181575020073427</v>
      </c>
      <c r="AJ22" s="165">
        <f t="shared" si="14"/>
        <v>4.8104834632317583</v>
      </c>
      <c r="AK22" s="167">
        <f t="shared" si="15"/>
        <v>5</v>
      </c>
    </row>
    <row r="23" spans="1:37" x14ac:dyDescent="0.2">
      <c r="A23" s="62" t="s">
        <v>46</v>
      </c>
      <c r="B23" s="62" t="s">
        <v>68</v>
      </c>
      <c r="C23" s="62" t="s">
        <v>163</v>
      </c>
      <c r="D23" s="62"/>
      <c r="E23" s="62">
        <f t="shared" si="2"/>
        <v>20</v>
      </c>
      <c r="F23" s="128" t="s">
        <v>79</v>
      </c>
      <c r="G23" s="129">
        <v>4.9590755897929704</v>
      </c>
      <c r="H23" s="129">
        <v>4.105736404830659</v>
      </c>
      <c r="I23" s="129">
        <v>5.978715629281572</v>
      </c>
      <c r="J23" s="129"/>
      <c r="K23" s="129"/>
      <c r="L23" s="129"/>
      <c r="M23" s="60">
        <f t="shared" si="0"/>
        <v>5</v>
      </c>
      <c r="N23" s="61">
        <f t="shared" si="3"/>
        <v>1.932367149758454</v>
      </c>
      <c r="O23" s="61">
        <f t="shared" si="16"/>
        <v>4.2568542568542567</v>
      </c>
      <c r="P23" s="129">
        <f t="shared" si="4"/>
        <v>4.616928738708598</v>
      </c>
      <c r="Q23" s="129">
        <f t="shared" si="5"/>
        <v>4.2016739582341058</v>
      </c>
      <c r="R23" s="129">
        <f t="shared" si="6"/>
        <v>5.0710510435300868</v>
      </c>
      <c r="S23" s="61">
        <f t="shared" si="7"/>
        <v>4.9590755897929704</v>
      </c>
      <c r="T23" s="61">
        <f t="shared" si="1"/>
        <v>6.3100137174211248</v>
      </c>
      <c r="U23" s="61">
        <f t="shared" si="17"/>
        <v>4.8153618906942395</v>
      </c>
      <c r="V23" s="61"/>
      <c r="Y23" s="163" t="s">
        <v>30</v>
      </c>
      <c r="Z23" s="163" t="s">
        <v>56</v>
      </c>
      <c r="AA23" s="163" t="s">
        <v>200</v>
      </c>
      <c r="AB23" s="163">
        <f>RANK(AH23,$AH$23:$AH$31,1)</f>
        <v>1</v>
      </c>
      <c r="AC23" s="166">
        <f>MIN($AH$23:$AH$31)</f>
        <v>3.7832310838445808</v>
      </c>
      <c r="AD23" s="166">
        <f>MAX($AH$23:$AH$31)</f>
        <v>6.3100137174211248</v>
      </c>
      <c r="AE23" s="163"/>
      <c r="AF23" s="163">
        <f t="shared" si="10"/>
        <v>4</v>
      </c>
      <c r="AG23" s="168" t="str">
        <f t="shared" si="11"/>
        <v>N/A</v>
      </c>
      <c r="AH23" s="166">
        <f t="shared" si="12"/>
        <v>3.7832310838445808</v>
      </c>
      <c r="AI23" s="166">
        <f t="shared" si="13"/>
        <v>2.7570379085164727</v>
      </c>
      <c r="AJ23" s="166">
        <f t="shared" si="14"/>
        <v>5.1710708631573965</v>
      </c>
      <c r="AK23" s="168">
        <f t="shared" si="15"/>
        <v>5</v>
      </c>
    </row>
    <row r="24" spans="1:37" x14ac:dyDescent="0.2">
      <c r="A24" s="62" t="s">
        <v>47</v>
      </c>
      <c r="B24" s="62" t="s">
        <v>69</v>
      </c>
      <c r="C24" s="62" t="s">
        <v>163</v>
      </c>
      <c r="D24" s="62"/>
      <c r="E24" s="62">
        <f t="shared" si="2"/>
        <v>2</v>
      </c>
      <c r="F24" s="128" t="s">
        <v>79</v>
      </c>
      <c r="G24" s="129">
        <v>3.0864197530864197</v>
      </c>
      <c r="H24" s="129">
        <v>1.6849606105077959</v>
      </c>
      <c r="I24" s="129">
        <v>5.5872919308444242</v>
      </c>
      <c r="J24" s="129"/>
      <c r="K24" s="129"/>
      <c r="L24" s="129"/>
      <c r="M24" s="60">
        <f t="shared" si="0"/>
        <v>5</v>
      </c>
      <c r="N24" s="61">
        <f t="shared" si="3"/>
        <v>1.932367149758454</v>
      </c>
      <c r="O24" s="61">
        <f t="shared" si="16"/>
        <v>4.2568542568542567</v>
      </c>
      <c r="P24" s="129">
        <f t="shared" si="4"/>
        <v>4.616928738708598</v>
      </c>
      <c r="Q24" s="129">
        <f t="shared" si="5"/>
        <v>4.2016739582341058</v>
      </c>
      <c r="R24" s="129">
        <f t="shared" si="6"/>
        <v>5.0710510435300868</v>
      </c>
      <c r="S24" s="61">
        <f t="shared" si="7"/>
        <v>4.9590755897929704</v>
      </c>
      <c r="T24" s="61">
        <f t="shared" si="1"/>
        <v>6.3100137174211248</v>
      </c>
      <c r="U24" s="61">
        <f t="shared" si="17"/>
        <v>4.8153618906942395</v>
      </c>
      <c r="V24" s="61"/>
      <c r="Y24" s="163" t="s">
        <v>31</v>
      </c>
      <c r="Z24" s="163" t="s">
        <v>57</v>
      </c>
      <c r="AA24" s="163" t="s">
        <v>200</v>
      </c>
      <c r="AB24" s="163">
        <f t="shared" ref="AB24:AB31" si="22">RANK(AH24,$AH$23:$AH$31,1)</f>
        <v>3</v>
      </c>
      <c r="AC24" s="166">
        <f t="shared" ref="AC24:AC31" si="23">MIN($AH$23:$AH$31)</f>
        <v>3.7832310838445808</v>
      </c>
      <c r="AD24" s="166">
        <f t="shared" ref="AD24:AD31" si="24">MAX($AH$23:$AH$31)</f>
        <v>6.3100137174211248</v>
      </c>
      <c r="AE24" s="163"/>
      <c r="AF24" s="163">
        <f t="shared" si="10"/>
        <v>8</v>
      </c>
      <c r="AG24" s="168" t="str">
        <f t="shared" si="11"/>
        <v>N/A</v>
      </c>
      <c r="AH24" s="166">
        <f t="shared" si="12"/>
        <v>4.2655786350148368</v>
      </c>
      <c r="AI24" s="166">
        <f t="shared" si="13"/>
        <v>3.5656211097025743</v>
      </c>
      <c r="AJ24" s="166">
        <f t="shared" si="14"/>
        <v>5.095682244118704</v>
      </c>
      <c r="AK24" s="168">
        <f t="shared" si="15"/>
        <v>5</v>
      </c>
    </row>
    <row r="25" spans="1:37" x14ac:dyDescent="0.2">
      <c r="A25" s="62" t="s">
        <v>48</v>
      </c>
      <c r="B25" s="62" t="s">
        <v>160</v>
      </c>
      <c r="C25" s="62" t="s">
        <v>201</v>
      </c>
      <c r="D25" s="62"/>
      <c r="E25" s="62">
        <f t="shared" si="2"/>
        <v>1</v>
      </c>
      <c r="F25" s="128" t="s">
        <v>79</v>
      </c>
      <c r="G25" s="129">
        <v>1.932367149758454</v>
      </c>
      <c r="H25" s="129">
        <v>1.1087879222527461</v>
      </c>
      <c r="I25" s="129">
        <v>3.3469757643056339</v>
      </c>
      <c r="J25" s="129"/>
      <c r="K25" s="129"/>
      <c r="L25" s="129"/>
      <c r="M25" s="60">
        <f t="shared" si="0"/>
        <v>2</v>
      </c>
      <c r="N25" s="61">
        <f t="shared" si="3"/>
        <v>1.932367149758454</v>
      </c>
      <c r="O25" s="61">
        <f t="shared" si="16"/>
        <v>4.2568542568542567</v>
      </c>
      <c r="P25" s="129">
        <f t="shared" si="4"/>
        <v>4.616928738708598</v>
      </c>
      <c r="Q25" s="129">
        <f t="shared" si="5"/>
        <v>4.2016739582341058</v>
      </c>
      <c r="R25" s="129">
        <f t="shared" si="6"/>
        <v>5.0710510435300868</v>
      </c>
      <c r="S25" s="61">
        <f t="shared" si="7"/>
        <v>4.9590755897929704</v>
      </c>
      <c r="T25" s="61">
        <f t="shared" si="1"/>
        <v>6.3100137174211248</v>
      </c>
      <c r="U25" s="61">
        <f t="shared" si="17"/>
        <v>4.1224970553592462</v>
      </c>
      <c r="V25" s="61"/>
      <c r="Y25" s="163" t="s">
        <v>34</v>
      </c>
      <c r="Z25" s="163" t="s">
        <v>59</v>
      </c>
      <c r="AA25" s="163" t="s">
        <v>200</v>
      </c>
      <c r="AB25" s="163">
        <f t="shared" si="22"/>
        <v>4</v>
      </c>
      <c r="AC25" s="166">
        <f t="shared" si="23"/>
        <v>3.7832310838445808</v>
      </c>
      <c r="AD25" s="166">
        <f t="shared" si="24"/>
        <v>6.3100137174211248</v>
      </c>
      <c r="AE25" s="163"/>
      <c r="AF25" s="163">
        <f t="shared" si="10"/>
        <v>11</v>
      </c>
      <c r="AG25" s="168" t="str">
        <f t="shared" si="11"/>
        <v>N/A</v>
      </c>
      <c r="AH25" s="166">
        <f t="shared" si="12"/>
        <v>4.5607476635514015</v>
      </c>
      <c r="AI25" s="166">
        <f t="shared" si="13"/>
        <v>3.8331722563718853</v>
      </c>
      <c r="AJ25" s="166">
        <f t="shared" si="14"/>
        <v>5.4186428521564602</v>
      </c>
      <c r="AK25" s="168">
        <f t="shared" si="15"/>
        <v>5</v>
      </c>
    </row>
    <row r="26" spans="1:37" x14ac:dyDescent="0.2">
      <c r="A26" s="62" t="s">
        <v>49</v>
      </c>
      <c r="B26" s="62" t="s">
        <v>70</v>
      </c>
      <c r="C26" s="62" t="s">
        <v>200</v>
      </c>
      <c r="D26" s="62"/>
      <c r="E26" s="62">
        <f t="shared" si="2"/>
        <v>14</v>
      </c>
      <c r="F26" s="128" t="s">
        <v>79</v>
      </c>
      <c r="G26" s="129">
        <v>4.6348314606741576</v>
      </c>
      <c r="H26" s="129">
        <v>3.6595872107734615</v>
      </c>
      <c r="I26" s="129">
        <v>5.8541762383485798</v>
      </c>
      <c r="J26" s="129"/>
      <c r="K26" s="129"/>
      <c r="L26" s="129"/>
      <c r="M26" s="60">
        <f t="shared" si="0"/>
        <v>5</v>
      </c>
      <c r="N26" s="61">
        <f t="shared" si="3"/>
        <v>1.932367149758454</v>
      </c>
      <c r="O26" s="61">
        <f t="shared" si="16"/>
        <v>4.2568542568542567</v>
      </c>
      <c r="P26" s="129">
        <f t="shared" si="4"/>
        <v>4.616928738708598</v>
      </c>
      <c r="Q26" s="129">
        <f t="shared" si="5"/>
        <v>4.2016739582341058</v>
      </c>
      <c r="R26" s="129">
        <f t="shared" si="6"/>
        <v>5.0710510435300868</v>
      </c>
      <c r="S26" s="61">
        <f t="shared" si="7"/>
        <v>4.9590755897929704</v>
      </c>
      <c r="T26" s="61">
        <f t="shared" si="1"/>
        <v>6.3100137174211248</v>
      </c>
      <c r="U26" s="61">
        <f t="shared" si="17"/>
        <v>4.8105436573311362</v>
      </c>
      <c r="V26" s="61"/>
      <c r="Y26" s="163" t="s">
        <v>39</v>
      </c>
      <c r="Z26" s="163" t="s">
        <v>158</v>
      </c>
      <c r="AA26" s="163" t="s">
        <v>200</v>
      </c>
      <c r="AB26" s="163">
        <f t="shared" si="22"/>
        <v>6</v>
      </c>
      <c r="AC26" s="166">
        <f t="shared" si="23"/>
        <v>3.7832310838445808</v>
      </c>
      <c r="AD26" s="166">
        <f t="shared" si="24"/>
        <v>6.3100137174211248</v>
      </c>
      <c r="AE26" s="163"/>
      <c r="AF26" s="163">
        <f t="shared" si="10"/>
        <v>15</v>
      </c>
      <c r="AG26" s="168" t="str">
        <f t="shared" si="11"/>
        <v>N/A</v>
      </c>
      <c r="AH26" s="166">
        <f t="shared" si="12"/>
        <v>4.6354992076069736</v>
      </c>
      <c r="AI26" s="166">
        <f t="shared" si="13"/>
        <v>3.8819194560989478</v>
      </c>
      <c r="AJ26" s="166">
        <f t="shared" si="14"/>
        <v>5.5269561674400984</v>
      </c>
      <c r="AK26" s="168">
        <f t="shared" si="15"/>
        <v>5</v>
      </c>
    </row>
    <row r="27" spans="1:37" x14ac:dyDescent="0.2">
      <c r="A27" s="62" t="s">
        <v>50</v>
      </c>
      <c r="B27" s="62" t="s">
        <v>161</v>
      </c>
      <c r="C27" s="62" t="s">
        <v>163</v>
      </c>
      <c r="D27" s="62"/>
      <c r="E27" s="62">
        <f t="shared" si="2"/>
        <v>12</v>
      </c>
      <c r="F27" s="128" t="s">
        <v>79</v>
      </c>
      <c r="G27" s="129">
        <v>4.5808124459809854</v>
      </c>
      <c r="H27" s="129">
        <v>3.5190765631994578</v>
      </c>
      <c r="I27" s="129">
        <v>5.9431508569241087</v>
      </c>
      <c r="J27" s="129"/>
      <c r="K27" s="129"/>
      <c r="L27" s="129"/>
      <c r="M27" s="60">
        <f t="shared" si="0"/>
        <v>5</v>
      </c>
      <c r="N27" s="61">
        <f t="shared" si="3"/>
        <v>1.932367149758454</v>
      </c>
      <c r="O27" s="61">
        <f t="shared" si="16"/>
        <v>4.2568542568542567</v>
      </c>
      <c r="P27" s="129">
        <f t="shared" si="4"/>
        <v>4.616928738708598</v>
      </c>
      <c r="Q27" s="129">
        <f t="shared" si="5"/>
        <v>4.2016739582341058</v>
      </c>
      <c r="R27" s="129">
        <f t="shared" si="6"/>
        <v>5.0710510435300868</v>
      </c>
      <c r="S27" s="61">
        <f t="shared" si="7"/>
        <v>4.9590755897929704</v>
      </c>
      <c r="T27" s="61">
        <f t="shared" si="1"/>
        <v>6.3100137174211248</v>
      </c>
      <c r="U27" s="61">
        <f t="shared" si="17"/>
        <v>4.8153618906942395</v>
      </c>
      <c r="V27" s="61"/>
      <c r="Y27" s="163" t="s">
        <v>40</v>
      </c>
      <c r="Z27" s="163" t="s">
        <v>63</v>
      </c>
      <c r="AA27" s="163" t="s">
        <v>200</v>
      </c>
      <c r="AB27" s="163">
        <f t="shared" si="22"/>
        <v>2</v>
      </c>
      <c r="AC27" s="166">
        <f t="shared" si="23"/>
        <v>3.7832310838445808</v>
      </c>
      <c r="AD27" s="166">
        <f t="shared" si="24"/>
        <v>6.3100137174211248</v>
      </c>
      <c r="AE27" s="163"/>
      <c r="AF27" s="163">
        <f t="shared" si="10"/>
        <v>5</v>
      </c>
      <c r="AG27" s="168" t="str">
        <f t="shared" si="11"/>
        <v>N/A</v>
      </c>
      <c r="AH27" s="166">
        <f t="shared" si="12"/>
        <v>3.9281705948372614</v>
      </c>
      <c r="AI27" s="166">
        <f t="shared" si="13"/>
        <v>2.8378535974952697</v>
      </c>
      <c r="AJ27" s="166">
        <f t="shared" si="14"/>
        <v>5.4140504792346258</v>
      </c>
      <c r="AK27" s="168">
        <f t="shared" si="15"/>
        <v>5</v>
      </c>
    </row>
    <row r="28" spans="1:37" x14ac:dyDescent="0.2">
      <c r="A28" s="62" t="s">
        <v>51</v>
      </c>
      <c r="B28" s="62" t="s">
        <v>71</v>
      </c>
      <c r="C28" s="62" t="s">
        <v>200</v>
      </c>
      <c r="D28" s="62"/>
      <c r="E28" s="62">
        <f t="shared" si="2"/>
        <v>24</v>
      </c>
      <c r="F28" s="128" t="s">
        <v>79</v>
      </c>
      <c r="G28" s="129">
        <v>5.201342281879195</v>
      </c>
      <c r="H28" s="129">
        <v>4.0785013265263137</v>
      </c>
      <c r="I28" s="129">
        <v>6.6120009869465663</v>
      </c>
      <c r="J28" s="129"/>
      <c r="K28" s="129"/>
      <c r="L28" s="129"/>
      <c r="M28" s="60">
        <f t="shared" si="0"/>
        <v>5</v>
      </c>
      <c r="N28" s="61">
        <f t="shared" si="3"/>
        <v>1.932367149758454</v>
      </c>
      <c r="O28" s="61">
        <f t="shared" si="16"/>
        <v>4.2568542568542567</v>
      </c>
      <c r="P28" s="129">
        <f t="shared" si="4"/>
        <v>4.616928738708598</v>
      </c>
      <c r="Q28" s="129">
        <f t="shared" si="5"/>
        <v>4.2016739582341058</v>
      </c>
      <c r="R28" s="129">
        <f t="shared" si="6"/>
        <v>5.0710510435300868</v>
      </c>
      <c r="S28" s="61">
        <f t="shared" si="7"/>
        <v>4.9590755897929704</v>
      </c>
      <c r="T28" s="61">
        <f t="shared" si="1"/>
        <v>6.3100137174211248</v>
      </c>
      <c r="U28" s="61">
        <f t="shared" si="17"/>
        <v>4.8105436573311362</v>
      </c>
      <c r="V28" s="61"/>
      <c r="Y28" s="163" t="s">
        <v>42</v>
      </c>
      <c r="Z28" s="163" t="s">
        <v>65</v>
      </c>
      <c r="AA28" s="163" t="s">
        <v>200</v>
      </c>
      <c r="AB28" s="163">
        <f t="shared" si="22"/>
        <v>9</v>
      </c>
      <c r="AC28" s="166">
        <f t="shared" si="23"/>
        <v>3.7832310838445808</v>
      </c>
      <c r="AD28" s="166">
        <f t="shared" si="24"/>
        <v>6.3100137174211248</v>
      </c>
      <c r="AE28" s="163"/>
      <c r="AF28" s="163">
        <f t="shared" si="10"/>
        <v>26</v>
      </c>
      <c r="AG28" s="168" t="str">
        <f t="shared" si="11"/>
        <v>N/A</v>
      </c>
      <c r="AH28" s="166">
        <f t="shared" si="12"/>
        <v>6.3100137174211248</v>
      </c>
      <c r="AI28" s="166">
        <f t="shared" si="13"/>
        <v>4.7638228445187298</v>
      </c>
      <c r="AJ28" s="166">
        <f t="shared" si="14"/>
        <v>8.3142389473079064</v>
      </c>
      <c r="AK28" s="168">
        <f t="shared" si="15"/>
        <v>5</v>
      </c>
    </row>
    <row r="29" spans="1:37" x14ac:dyDescent="0.2">
      <c r="A29" s="62" t="s">
        <v>52</v>
      </c>
      <c r="B29" s="62" t="s">
        <v>72</v>
      </c>
      <c r="C29" s="62" t="s">
        <v>201</v>
      </c>
      <c r="D29" s="62"/>
      <c r="E29" s="62">
        <f t="shared" si="2"/>
        <v>25</v>
      </c>
      <c r="F29" s="128" t="s">
        <v>79</v>
      </c>
      <c r="G29" s="129">
        <v>5.3097345132743365</v>
      </c>
      <c r="H29" s="129">
        <v>3.5937755874933504</v>
      </c>
      <c r="I29" s="129">
        <v>7.7789194180932375</v>
      </c>
      <c r="J29" s="129"/>
      <c r="K29" s="129"/>
      <c r="L29" s="129"/>
      <c r="M29" s="60">
        <f t="shared" si="0"/>
        <v>5</v>
      </c>
      <c r="N29" s="61">
        <f t="shared" si="3"/>
        <v>1.932367149758454</v>
      </c>
      <c r="O29" s="61">
        <f t="shared" si="16"/>
        <v>4.2568542568542567</v>
      </c>
      <c r="P29" s="129">
        <f t="shared" si="4"/>
        <v>4.616928738708598</v>
      </c>
      <c r="Q29" s="129">
        <f t="shared" si="5"/>
        <v>4.2016739582341058</v>
      </c>
      <c r="R29" s="129">
        <f t="shared" si="6"/>
        <v>5.0710510435300868</v>
      </c>
      <c r="S29" s="61">
        <f t="shared" si="7"/>
        <v>4.9590755897929704</v>
      </c>
      <c r="T29" s="61">
        <f t="shared" si="1"/>
        <v>6.3100137174211248</v>
      </c>
      <c r="U29" s="61">
        <f t="shared" si="17"/>
        <v>4.1224970553592462</v>
      </c>
      <c r="V29" s="61"/>
      <c r="Y29" s="163" t="s">
        <v>44</v>
      </c>
      <c r="Z29" s="163" t="s">
        <v>66</v>
      </c>
      <c r="AA29" s="163" t="s">
        <v>200</v>
      </c>
      <c r="AB29" s="163">
        <f t="shared" si="22"/>
        <v>7</v>
      </c>
      <c r="AC29" s="166">
        <f t="shared" si="23"/>
        <v>3.7832310838445808</v>
      </c>
      <c r="AD29" s="166">
        <f t="shared" si="24"/>
        <v>6.3100137174211248</v>
      </c>
      <c r="AE29" s="163"/>
      <c r="AF29" s="163">
        <f t="shared" si="10"/>
        <v>23</v>
      </c>
      <c r="AG29" s="168" t="str">
        <f t="shared" si="11"/>
        <v>N/A</v>
      </c>
      <c r="AH29" s="166">
        <f t="shared" si="12"/>
        <v>5.2005943536404153</v>
      </c>
      <c r="AI29" s="166">
        <f t="shared" si="13"/>
        <v>3.7628815564173563</v>
      </c>
      <c r="AJ29" s="166">
        <f t="shared" si="14"/>
        <v>7.1468311773967059</v>
      </c>
      <c r="AK29" s="168">
        <f t="shared" si="15"/>
        <v>5</v>
      </c>
    </row>
    <row r="30" spans="1:37" x14ac:dyDescent="0.2">
      <c r="A30" s="62" t="s">
        <v>53</v>
      </c>
      <c r="B30" s="62" t="s">
        <v>162</v>
      </c>
      <c r="C30" s="62" t="s">
        <v>163</v>
      </c>
      <c r="D30" s="62"/>
      <c r="E30" s="62">
        <f t="shared" si="2"/>
        <v>17</v>
      </c>
      <c r="F30" s="128" t="s">
        <v>79</v>
      </c>
      <c r="G30" s="129">
        <v>4.796939376103591</v>
      </c>
      <c r="H30" s="129">
        <v>4.128049484728626</v>
      </c>
      <c r="I30" s="129">
        <v>5.5679185024167612</v>
      </c>
      <c r="J30" s="129"/>
      <c r="K30" s="129"/>
      <c r="L30" s="129"/>
      <c r="M30" s="60">
        <f t="shared" si="0"/>
        <v>5</v>
      </c>
      <c r="N30" s="61">
        <f t="shared" si="3"/>
        <v>1.932367149758454</v>
      </c>
      <c r="O30" s="61">
        <f t="shared" si="16"/>
        <v>4.2568542568542567</v>
      </c>
      <c r="P30" s="129">
        <f>$G$32</f>
        <v>4.616928738708598</v>
      </c>
      <c r="Q30" s="129">
        <f t="shared" si="5"/>
        <v>4.2016739582341058</v>
      </c>
      <c r="R30" s="129">
        <f t="shared" si="6"/>
        <v>5.0710510435300868</v>
      </c>
      <c r="S30" s="61">
        <f t="shared" si="7"/>
        <v>4.9590755897929704</v>
      </c>
      <c r="T30" s="61">
        <f t="shared" si="1"/>
        <v>6.3100137174211248</v>
      </c>
      <c r="U30" s="61">
        <f t="shared" si="17"/>
        <v>4.8153618906942395</v>
      </c>
      <c r="V30" s="61"/>
      <c r="Y30" s="163" t="s">
        <v>49</v>
      </c>
      <c r="Z30" s="163" t="s">
        <v>70</v>
      </c>
      <c r="AA30" s="163" t="s">
        <v>200</v>
      </c>
      <c r="AB30" s="163">
        <f t="shared" si="22"/>
        <v>5</v>
      </c>
      <c r="AC30" s="166">
        <f t="shared" si="23"/>
        <v>3.7832310838445808</v>
      </c>
      <c r="AD30" s="166">
        <f t="shared" si="24"/>
        <v>6.3100137174211248</v>
      </c>
      <c r="AE30" s="163"/>
      <c r="AF30" s="163">
        <f t="shared" si="10"/>
        <v>14</v>
      </c>
      <c r="AG30" s="168" t="str">
        <f t="shared" si="11"/>
        <v>N/A</v>
      </c>
      <c r="AH30" s="166">
        <f t="shared" si="12"/>
        <v>4.6348314606741576</v>
      </c>
      <c r="AI30" s="166">
        <f t="shared" si="13"/>
        <v>3.6595872107734615</v>
      </c>
      <c r="AJ30" s="166">
        <f t="shared" si="14"/>
        <v>5.8541762383485798</v>
      </c>
      <c r="AK30" s="168">
        <f t="shared" si="15"/>
        <v>5</v>
      </c>
    </row>
    <row r="31" spans="1:37" x14ac:dyDescent="0.2">
      <c r="A31" s="62" t="s">
        <v>54</v>
      </c>
      <c r="B31" s="62" t="s">
        <v>73</v>
      </c>
      <c r="C31" s="62" t="s">
        <v>201</v>
      </c>
      <c r="D31" s="62"/>
      <c r="E31" s="62">
        <f t="shared" si="2"/>
        <v>3</v>
      </c>
      <c r="F31" s="128" t="s">
        <v>79</v>
      </c>
      <c r="G31" s="129">
        <v>3.4178610804851157</v>
      </c>
      <c r="H31" s="129">
        <v>2.4181575020073427</v>
      </c>
      <c r="I31" s="129">
        <v>4.8104834632317583</v>
      </c>
      <c r="J31" s="129"/>
      <c r="K31" s="129"/>
      <c r="L31" s="129"/>
      <c r="M31" s="60">
        <f t="shared" si="0"/>
        <v>5</v>
      </c>
      <c r="N31" s="61">
        <f t="shared" si="3"/>
        <v>1.932367149758454</v>
      </c>
      <c r="O31" s="61">
        <f t="shared" si="16"/>
        <v>4.2568542568542567</v>
      </c>
      <c r="P31" s="129">
        <f t="shared" si="4"/>
        <v>4.616928738708598</v>
      </c>
      <c r="Q31" s="129">
        <f t="shared" si="5"/>
        <v>4.2016739582341058</v>
      </c>
      <c r="R31" s="129">
        <f t="shared" si="6"/>
        <v>5.0710510435300868</v>
      </c>
      <c r="S31" s="61">
        <f t="shared" si="7"/>
        <v>4.9590755897929704</v>
      </c>
      <c r="T31" s="61">
        <f t="shared" si="1"/>
        <v>6.3100137174211248</v>
      </c>
      <c r="U31" s="61">
        <f t="shared" si="17"/>
        <v>4.1224970553592462</v>
      </c>
      <c r="V31" s="61"/>
      <c r="Y31" s="163" t="s">
        <v>51</v>
      </c>
      <c r="Z31" s="163" t="s">
        <v>71</v>
      </c>
      <c r="AA31" s="163" t="s">
        <v>200</v>
      </c>
      <c r="AB31" s="163">
        <f t="shared" si="22"/>
        <v>8</v>
      </c>
      <c r="AC31" s="166">
        <f t="shared" si="23"/>
        <v>3.7832310838445808</v>
      </c>
      <c r="AD31" s="166">
        <f t="shared" si="24"/>
        <v>6.3100137174211248</v>
      </c>
      <c r="AE31" s="163"/>
      <c r="AF31" s="163">
        <f t="shared" si="10"/>
        <v>24</v>
      </c>
      <c r="AG31" s="168" t="str">
        <f t="shared" si="11"/>
        <v>N/A</v>
      </c>
      <c r="AH31" s="166">
        <f t="shared" si="12"/>
        <v>5.201342281879195</v>
      </c>
      <c r="AI31" s="166">
        <f t="shared" si="13"/>
        <v>4.0785013265263137</v>
      </c>
      <c r="AJ31" s="166">
        <f t="shared" si="14"/>
        <v>6.6120009869465663</v>
      </c>
      <c r="AK31" s="168">
        <f t="shared" si="15"/>
        <v>5</v>
      </c>
    </row>
    <row r="32" spans="1:37" x14ac:dyDescent="0.2">
      <c r="A32" s="62"/>
      <c r="B32" s="62" t="s">
        <v>171</v>
      </c>
      <c r="C32" s="62"/>
      <c r="D32" s="62"/>
      <c r="E32" s="62"/>
      <c r="F32" s="128">
        <v>414</v>
      </c>
      <c r="G32" s="129">
        <v>4.616928738708598</v>
      </c>
      <c r="H32" s="129">
        <v>4.2016739582341058</v>
      </c>
      <c r="I32" s="129">
        <v>5.0710510435300868</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163</v>
      </c>
      <c r="G44" s="254">
        <v>4.8153618906942395</v>
      </c>
      <c r="H44" s="254">
        <v>4.1439546717501834</v>
      </c>
      <c r="I44" s="254">
        <v>5.5892082049657388</v>
      </c>
      <c r="J44" s="254">
        <f>VLOOKUP($C44,$AA$6:$AD$13,3,FALSE)</f>
        <v>3.0864197530864197</v>
      </c>
      <c r="K44" s="254">
        <f>VLOOKUP($C44,$AA$6:$AD$13,4,FALSE)</f>
        <v>5.1577366049073614</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5</v>
      </c>
      <c r="N44" s="61">
        <f>MIN($G$6:$G$31)</f>
        <v>1.932367149758454</v>
      </c>
      <c r="O44" s="61">
        <f>VLOOKUP(7,$E$5:$G$39,3,FALSE)</f>
        <v>4.2568542568542567</v>
      </c>
      <c r="P44" s="254">
        <f>$G$32</f>
        <v>4.616928738708598</v>
      </c>
      <c r="Q44" s="129">
        <f>$H$32</f>
        <v>4.2016739582341058</v>
      </c>
      <c r="R44" s="129">
        <f>$I$32</f>
        <v>5.0710510435300868</v>
      </c>
      <c r="S44" s="61">
        <f>VLOOKUP(20,$E$5:$G$39,3,FALSE)</f>
        <v>4.9590755897929704</v>
      </c>
      <c r="T44" s="61">
        <f>MAX($G$6:$G$31)</f>
        <v>6.3100137174211248</v>
      </c>
    </row>
    <row r="45" spans="1:22" x14ac:dyDescent="0.2">
      <c r="C45" s="62" t="s">
        <v>201</v>
      </c>
      <c r="D45" s="62"/>
      <c r="E45" s="62"/>
      <c r="F45" s="128">
        <v>105</v>
      </c>
      <c r="G45" s="254">
        <v>4.1224970553592462</v>
      </c>
      <c r="H45" s="254">
        <v>3.4169833825079232</v>
      </c>
      <c r="I45" s="254">
        <v>4.9661898672932372</v>
      </c>
      <c r="J45" s="254">
        <f>VLOOKUP($C45,$AA$14:$AD$22,3,FALSE)</f>
        <v>1.932367149758454</v>
      </c>
      <c r="K45" s="254">
        <f>VLOOKUP($C45,$AA$14:$AD$22,4,FALSE)</f>
        <v>5.3097345132743365</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5</v>
      </c>
      <c r="N45" s="61">
        <f>MIN($G$6:$G$31)</f>
        <v>1.932367149758454</v>
      </c>
      <c r="O45" s="61">
        <f>VLOOKUP(7,$E$5:$G$39,3,FALSE)</f>
        <v>4.2568542568542567</v>
      </c>
      <c r="P45" s="254">
        <f>$G$32</f>
        <v>4.616928738708598</v>
      </c>
      <c r="Q45" s="129">
        <f t="shared" ref="Q45:Q46" si="25">$H$32</f>
        <v>4.2016739582341058</v>
      </c>
      <c r="R45" s="129">
        <f t="shared" ref="R45:R46" si="26">$I$32</f>
        <v>5.0710510435300868</v>
      </c>
      <c r="S45" s="61">
        <f>VLOOKUP(20,$E$5:$G$39,3,FALSE)</f>
        <v>4.9590755897929704</v>
      </c>
      <c r="T45" s="61">
        <f t="shared" ref="T45:T46" si="27">MAX($G$6:$G$31)</f>
        <v>6.3100137174211248</v>
      </c>
    </row>
    <row r="46" spans="1:22" x14ac:dyDescent="0.2">
      <c r="C46" s="62" t="s">
        <v>200</v>
      </c>
      <c r="D46" s="62"/>
      <c r="E46" s="62"/>
      <c r="F46" s="128">
        <v>146</v>
      </c>
      <c r="G46" s="254">
        <v>4.8105436573311362</v>
      </c>
      <c r="H46" s="254">
        <v>4.104700602860321</v>
      </c>
      <c r="I46" s="254">
        <v>5.6306364599525409</v>
      </c>
      <c r="J46" s="254">
        <f>VLOOKUP($C46,$AA$23:$AD$31,3,FALSE)</f>
        <v>3.7832310838445808</v>
      </c>
      <c r="K46" s="254">
        <f>VLOOKUP($C46,$AA$23:$AD$31,4,FALSE)</f>
        <v>6.3100137174211248</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5</v>
      </c>
      <c r="N46" s="61">
        <f>MIN($G$6:$G$31)</f>
        <v>1.932367149758454</v>
      </c>
      <c r="O46" s="61">
        <f>VLOOKUP(7,$E$5:$G$39,3,FALSE)</f>
        <v>4.2568542568542567</v>
      </c>
      <c r="P46" s="254">
        <f t="shared" ref="P46" si="28">$G$32</f>
        <v>4.616928738708598</v>
      </c>
      <c r="Q46" s="129">
        <f t="shared" si="25"/>
        <v>4.2016739582341058</v>
      </c>
      <c r="R46" s="129">
        <f t="shared" si="26"/>
        <v>5.0710510435300868</v>
      </c>
      <c r="S46" s="61">
        <f>VLOOKUP(20,$E$5:$G$39,3,FALSE)</f>
        <v>4.9590755897929704</v>
      </c>
      <c r="T46" s="61">
        <f t="shared" si="27"/>
        <v>6.3100137174211248</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K2:N2" xr:uid="{00000000-0002-0000-3400-000000000000}">
      <formula1>"High = Worst,Low = Worst"</formula1>
    </dataValidation>
    <dataValidation type="list" allowBlank="1" showInputMessage="1" showErrorMessage="1" sqref="C2:D2" xr:uid="{00000000-0002-0000-3400-000001000000}">
      <formula1>"Better / Worse,Higher / Lower,Significance not measured"</formula1>
    </dataValidation>
  </dataValidations>
  <pageMargins left="0.75" right="0.75" top="1" bottom="1" header="0.5" footer="0.5"/>
  <pageSetup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3">
    <tabColor theme="6" tint="0.39997558519241921"/>
  </sheetPr>
  <dimension ref="A1:AK55"/>
  <sheetViews>
    <sheetView workbookViewId="0">
      <selection activeCell="F6" sqref="F6:F31"/>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8" width="7.33203125" style="21" customWidth="1"/>
    <col min="9" max="9" width="6.886718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5.554687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11</v>
      </c>
      <c r="F6" s="128">
        <v>284</v>
      </c>
      <c r="G6" s="129">
        <v>159.10364145658264</v>
      </c>
      <c r="H6" s="129">
        <v>141.13511207433402</v>
      </c>
      <c r="I6" s="129">
        <v>178.72577445707705</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5</v>
      </c>
      <c r="N6" s="61">
        <f>MIN($G$6:$G$32)</f>
        <v>115.07936507936508</v>
      </c>
      <c r="O6" s="61">
        <f>VLOOKUP(7,$E$5:$G$39,3,FALSE)</f>
        <v>153.10492505353318</v>
      </c>
      <c r="P6" s="129">
        <f>$G$32</f>
        <v>164.94697031982241</v>
      </c>
      <c r="Q6" s="129">
        <f>$H$32</f>
        <v>161.3576149217844</v>
      </c>
      <c r="R6" s="129">
        <f>$I$32</f>
        <v>168.59603999218825</v>
      </c>
      <c r="S6" s="61">
        <f>VLOOKUP(20,$E$5:$G$39,3,FALSE)</f>
        <v>179.57746478873241</v>
      </c>
      <c r="T6" s="61">
        <f t="shared" ref="T6:T31" si="1">MAX($G$6:$G$31)</f>
        <v>231.45400593471811</v>
      </c>
      <c r="U6" s="61">
        <f>VLOOKUP(C6,$C$43:$I$46,5,FALSE)</f>
        <v>165.46610169491524</v>
      </c>
      <c r="V6" s="61"/>
      <c r="Y6" s="159" t="s">
        <v>33</v>
      </c>
      <c r="Z6" s="159" t="s">
        <v>58</v>
      </c>
      <c r="AA6" s="159" t="s">
        <v>163</v>
      </c>
      <c r="AB6" s="159">
        <f>RANK(AH6,$AH$6:$AH$13,1)</f>
        <v>2</v>
      </c>
      <c r="AC6" s="164">
        <f>MIN($AH$6:$AH$13)</f>
        <v>121.414913957935</v>
      </c>
      <c r="AD6" s="164">
        <f>MAX($AH$6:$AH$13)</f>
        <v>189.84509466437177</v>
      </c>
      <c r="AE6" s="159"/>
      <c r="AF6" s="159">
        <f>VLOOKUP($Y6,$A$6:$I$31,5,FALSE)</f>
        <v>4</v>
      </c>
      <c r="AG6" s="160">
        <f>VLOOKUP($Y6,$A$6:$I$31,6,FALSE)</f>
        <v>401</v>
      </c>
      <c r="AH6" s="161">
        <f>VLOOKUP($Y6,$A$6:$I$31,7,FALSE)</f>
        <v>128.8974606235937</v>
      </c>
      <c r="AI6" s="161">
        <f>VLOOKUP($Y6,$A$6:$I$31,8,FALSE)</f>
        <v>116.58838446107974</v>
      </c>
      <c r="AJ6" s="161">
        <f>VLOOKUP($Y6,$A$6:$I$31,9,FALSE)</f>
        <v>142.15243805673828</v>
      </c>
      <c r="AK6" s="160">
        <f>VLOOKUP($Y6,$A$6:$M$31,13,FALSE)</f>
        <v>2</v>
      </c>
    </row>
    <row r="7" spans="1:37" x14ac:dyDescent="0.2">
      <c r="A7" s="62" t="s">
        <v>30</v>
      </c>
      <c r="B7" s="62" t="s">
        <v>56</v>
      </c>
      <c r="C7" s="62" t="s">
        <v>200</v>
      </c>
      <c r="D7" s="62"/>
      <c r="E7" s="62">
        <f t="shared" ref="E7:E31" si="2">RANK(G7,$G$6:$G$31,1)</f>
        <v>12</v>
      </c>
      <c r="F7" s="128">
        <v>337</v>
      </c>
      <c r="G7" s="129">
        <v>160.0189933523267</v>
      </c>
      <c r="H7" s="129">
        <v>143.38804192481257</v>
      </c>
      <c r="I7" s="129">
        <v>178.04929820407006</v>
      </c>
      <c r="J7" s="129"/>
      <c r="K7" s="129"/>
      <c r="L7" s="129"/>
      <c r="M7" s="60">
        <f t="shared" si="0"/>
        <v>5</v>
      </c>
      <c r="N7" s="61">
        <f t="shared" ref="N7:N31" si="3">MIN($G$6:$G$32)</f>
        <v>115.07936507936508</v>
      </c>
      <c r="O7" s="61">
        <f>VLOOKUP(7,$E$5:$G$39,3,FALSE)</f>
        <v>153.10492505353318</v>
      </c>
      <c r="P7" s="129">
        <f t="shared" ref="P7:P31" si="4">$G$32</f>
        <v>164.94697031982241</v>
      </c>
      <c r="Q7" s="129">
        <f t="shared" ref="Q7:Q31" si="5">$H$32</f>
        <v>161.3576149217844</v>
      </c>
      <c r="R7" s="129">
        <f t="shared" ref="R7:R31" si="6">$I$32</f>
        <v>168.59603999218825</v>
      </c>
      <c r="S7" s="61">
        <f t="shared" ref="S7:S31" si="7">VLOOKUP(20,$E$5:$G$39,3,FALSE)</f>
        <v>179.57746478873241</v>
      </c>
      <c r="T7" s="61">
        <f t="shared" si="1"/>
        <v>231.45400593471811</v>
      </c>
      <c r="U7" s="61">
        <f>VLOOKUP(C7,$C$43:$I$46,5,FALSE)</f>
        <v>168.89643020296285</v>
      </c>
      <c r="V7" s="61"/>
      <c r="Y7" s="159" t="s">
        <v>35</v>
      </c>
      <c r="Z7" s="159" t="s">
        <v>60</v>
      </c>
      <c r="AA7" s="159" t="s">
        <v>163</v>
      </c>
      <c r="AB7" s="159">
        <f t="shared" ref="AB7:AB12" si="8">RANK(AH7,$AH$6:$AH$13,1)</f>
        <v>3</v>
      </c>
      <c r="AC7" s="164">
        <f>MIN($AH$6:$AH$13)</f>
        <v>121.414913957935</v>
      </c>
      <c r="AD7" s="164">
        <f t="shared" ref="AD7:AD13" si="9">MAX($AH$6:$AH$13)</f>
        <v>189.84509466437177</v>
      </c>
      <c r="AE7" s="159"/>
      <c r="AF7" s="159">
        <f t="shared" ref="AF7:AF31" si="10">VLOOKUP($Y7,$A$6:$I$31,5,FALSE)</f>
        <v>5</v>
      </c>
      <c r="AG7" s="160">
        <f t="shared" ref="AG7:AG31" si="11">VLOOKUP($Y7,$A$6:$I$31,6,FALSE)</f>
        <v>347</v>
      </c>
      <c r="AH7" s="161">
        <f t="shared" ref="AH7:AH31" si="12">VLOOKUP($Y7,$A$6:$I$31,7,FALSE)</f>
        <v>132.59457393962555</v>
      </c>
      <c r="AI7" s="161">
        <f t="shared" ref="AI7:AI31" si="13">VLOOKUP($Y7,$A$6:$I$31,8,FALSE)</f>
        <v>119.00847300020958</v>
      </c>
      <c r="AJ7" s="161">
        <f t="shared" ref="AJ7:AJ31" si="14">VLOOKUP($Y7,$A$6:$I$31,9,FALSE)</f>
        <v>147.30649932822516</v>
      </c>
      <c r="AK7" s="160">
        <f t="shared" ref="AK7:AK31" si="15">VLOOKUP($Y7,$A$6:$M$31,13,FALSE)</f>
        <v>2</v>
      </c>
    </row>
    <row r="8" spans="1:37" x14ac:dyDescent="0.2">
      <c r="A8" s="62" t="s">
        <v>31</v>
      </c>
      <c r="B8" s="62" t="s">
        <v>57</v>
      </c>
      <c r="C8" s="62" t="s">
        <v>200</v>
      </c>
      <c r="D8" s="62"/>
      <c r="E8" s="62">
        <f t="shared" si="2"/>
        <v>17</v>
      </c>
      <c r="F8" s="128">
        <v>334</v>
      </c>
      <c r="G8" s="129">
        <v>173.05699481865287</v>
      </c>
      <c r="H8" s="129">
        <v>154.99262111678075</v>
      </c>
      <c r="I8" s="129">
        <v>192.64845223165813</v>
      </c>
      <c r="J8" s="129"/>
      <c r="K8" s="129"/>
      <c r="L8" s="129"/>
      <c r="M8" s="60">
        <f t="shared" si="0"/>
        <v>5</v>
      </c>
      <c r="N8" s="61">
        <f t="shared" si="3"/>
        <v>115.07936507936508</v>
      </c>
      <c r="O8" s="61">
        <f t="shared" ref="O8:O31" si="16">VLOOKUP(7,$E$5:$G$39,3,FALSE)</f>
        <v>153.10492505353318</v>
      </c>
      <c r="P8" s="129">
        <f t="shared" si="4"/>
        <v>164.94697031982241</v>
      </c>
      <c r="Q8" s="129">
        <f t="shared" si="5"/>
        <v>161.3576149217844</v>
      </c>
      <c r="R8" s="129">
        <f t="shared" si="6"/>
        <v>168.59603999218825</v>
      </c>
      <c r="S8" s="61">
        <f t="shared" si="7"/>
        <v>179.57746478873241</v>
      </c>
      <c r="T8" s="61">
        <f t="shared" si="1"/>
        <v>231.45400593471811</v>
      </c>
      <c r="U8" s="61">
        <f t="shared" ref="U8:U31" si="17">VLOOKUP(C8,$C$43:$I$46,5,FALSE)</f>
        <v>168.89643020296285</v>
      </c>
      <c r="V8" s="61"/>
      <c r="Y8" s="159" t="s">
        <v>41</v>
      </c>
      <c r="Z8" s="159" t="s">
        <v>64</v>
      </c>
      <c r="AA8" s="159" t="s">
        <v>163</v>
      </c>
      <c r="AB8" s="159">
        <f t="shared" si="8"/>
        <v>6</v>
      </c>
      <c r="AC8" s="164">
        <f t="shared" ref="AC8:AC13" si="18">MIN($AH$6:$AH$13)</f>
        <v>121.414913957935</v>
      </c>
      <c r="AD8" s="164">
        <f>MAX($AH$6:$AH$13)</f>
        <v>189.84509466437177</v>
      </c>
      <c r="AE8" s="159"/>
      <c r="AF8" s="159">
        <f t="shared" si="10"/>
        <v>20</v>
      </c>
      <c r="AG8" s="160">
        <f t="shared" si="11"/>
        <v>357</v>
      </c>
      <c r="AH8" s="161">
        <f t="shared" si="12"/>
        <v>179.57746478873241</v>
      </c>
      <c r="AI8" s="161">
        <f t="shared" si="13"/>
        <v>161.42993889091875</v>
      </c>
      <c r="AJ8" s="161">
        <f t="shared" si="14"/>
        <v>199.20665998205638</v>
      </c>
      <c r="AK8" s="160">
        <f t="shared" si="15"/>
        <v>5</v>
      </c>
    </row>
    <row r="9" spans="1:37" x14ac:dyDescent="0.2">
      <c r="A9" s="62" t="s">
        <v>32</v>
      </c>
      <c r="B9" s="62" t="s">
        <v>156</v>
      </c>
      <c r="C9" s="62" t="s">
        <v>201</v>
      </c>
      <c r="D9" s="62"/>
      <c r="E9" s="62">
        <f t="shared" si="2"/>
        <v>24</v>
      </c>
      <c r="F9" s="128">
        <v>686</v>
      </c>
      <c r="G9" s="129">
        <v>189.13702784670528</v>
      </c>
      <c r="H9" s="129">
        <v>175.24631503593292</v>
      </c>
      <c r="I9" s="129">
        <v>203.83595843843378</v>
      </c>
      <c r="J9" s="129"/>
      <c r="K9" s="129"/>
      <c r="L9" s="129"/>
      <c r="M9" s="60">
        <f t="shared" si="0"/>
        <v>1</v>
      </c>
      <c r="N9" s="61">
        <f t="shared" si="3"/>
        <v>115.07936507936508</v>
      </c>
      <c r="O9" s="61">
        <f t="shared" si="16"/>
        <v>153.10492505353318</v>
      </c>
      <c r="P9" s="129">
        <f t="shared" si="4"/>
        <v>164.94697031982241</v>
      </c>
      <c r="Q9" s="129">
        <f t="shared" si="5"/>
        <v>161.3576149217844</v>
      </c>
      <c r="R9" s="129">
        <f t="shared" si="6"/>
        <v>168.59603999218825</v>
      </c>
      <c r="S9" s="61">
        <f t="shared" si="7"/>
        <v>179.57746478873241</v>
      </c>
      <c r="T9" s="61">
        <f t="shared" si="1"/>
        <v>231.45400593471811</v>
      </c>
      <c r="U9" s="61">
        <f t="shared" si="17"/>
        <v>165.46610169491524</v>
      </c>
      <c r="V9" s="61"/>
      <c r="X9" s="63"/>
      <c r="Y9" s="159" t="s">
        <v>45</v>
      </c>
      <c r="Z9" s="159" t="s">
        <v>67</v>
      </c>
      <c r="AA9" s="159" t="s">
        <v>163</v>
      </c>
      <c r="AB9" s="159">
        <f t="shared" si="8"/>
        <v>4</v>
      </c>
      <c r="AC9" s="164">
        <f t="shared" si="18"/>
        <v>121.414913957935</v>
      </c>
      <c r="AD9" s="164">
        <f t="shared" si="9"/>
        <v>189.84509466437177</v>
      </c>
      <c r="AE9" s="159"/>
      <c r="AF9" s="159">
        <f t="shared" si="10"/>
        <v>9</v>
      </c>
      <c r="AG9" s="160">
        <f t="shared" si="11"/>
        <v>257</v>
      </c>
      <c r="AH9" s="161">
        <f t="shared" si="12"/>
        <v>157.95943454210203</v>
      </c>
      <c r="AI9" s="161">
        <f t="shared" si="13"/>
        <v>139.23534035328422</v>
      </c>
      <c r="AJ9" s="161">
        <f t="shared" si="14"/>
        <v>178.49949530645162</v>
      </c>
      <c r="AK9" s="160">
        <f t="shared" si="15"/>
        <v>5</v>
      </c>
    </row>
    <row r="10" spans="1:37" x14ac:dyDescent="0.2">
      <c r="A10" s="62" t="s">
        <v>33</v>
      </c>
      <c r="B10" s="62" t="s">
        <v>58</v>
      </c>
      <c r="C10" s="62" t="s">
        <v>163</v>
      </c>
      <c r="D10" s="62"/>
      <c r="E10" s="62">
        <f t="shared" si="2"/>
        <v>4</v>
      </c>
      <c r="F10" s="128">
        <v>401</v>
      </c>
      <c r="G10" s="129">
        <v>128.8974606235937</v>
      </c>
      <c r="H10" s="129">
        <v>116.58838446107974</v>
      </c>
      <c r="I10" s="129">
        <v>142.15243805673828</v>
      </c>
      <c r="J10" s="129"/>
      <c r="K10" s="129"/>
      <c r="L10" s="129"/>
      <c r="M10" s="60">
        <f t="shared" si="0"/>
        <v>2</v>
      </c>
      <c r="N10" s="61">
        <f t="shared" si="3"/>
        <v>115.07936507936508</v>
      </c>
      <c r="O10" s="61">
        <f t="shared" si="16"/>
        <v>153.10492505353318</v>
      </c>
      <c r="P10" s="129">
        <f t="shared" si="4"/>
        <v>164.94697031982241</v>
      </c>
      <c r="Q10" s="129">
        <f t="shared" si="5"/>
        <v>161.3576149217844</v>
      </c>
      <c r="R10" s="129">
        <f t="shared" si="6"/>
        <v>168.59603999218825</v>
      </c>
      <c r="S10" s="61">
        <f t="shared" si="7"/>
        <v>179.57746478873241</v>
      </c>
      <c r="T10" s="61">
        <f t="shared" si="1"/>
        <v>231.45400593471811</v>
      </c>
      <c r="U10" s="61">
        <f t="shared" si="17"/>
        <v>161.40643747717669</v>
      </c>
      <c r="V10" s="61"/>
      <c r="Y10" s="159" t="s">
        <v>46</v>
      </c>
      <c r="Z10" s="159" t="s">
        <v>68</v>
      </c>
      <c r="AA10" s="159" t="s">
        <v>163</v>
      </c>
      <c r="AB10" s="159">
        <f t="shared" si="8"/>
        <v>5</v>
      </c>
      <c r="AC10" s="164">
        <f t="shared" si="18"/>
        <v>121.414913957935</v>
      </c>
      <c r="AD10" s="164">
        <f t="shared" si="9"/>
        <v>189.84509466437177</v>
      </c>
      <c r="AE10" s="159"/>
      <c r="AF10" s="159">
        <f t="shared" si="10"/>
        <v>13</v>
      </c>
      <c r="AG10" s="160">
        <f t="shared" si="11"/>
        <v>303</v>
      </c>
      <c r="AH10" s="161">
        <f t="shared" si="12"/>
        <v>160.99893730074388</v>
      </c>
      <c r="AI10" s="161">
        <f t="shared" si="13"/>
        <v>143.37880714269741</v>
      </c>
      <c r="AJ10" s="161">
        <f t="shared" si="14"/>
        <v>180.18648470635983</v>
      </c>
      <c r="AK10" s="160">
        <f t="shared" si="15"/>
        <v>5</v>
      </c>
    </row>
    <row r="11" spans="1:37" x14ac:dyDescent="0.2">
      <c r="A11" s="62" t="s">
        <v>34</v>
      </c>
      <c r="B11" s="62" t="s">
        <v>59</v>
      </c>
      <c r="C11" s="62" t="s">
        <v>200</v>
      </c>
      <c r="D11" s="62"/>
      <c r="E11" s="62">
        <f t="shared" si="2"/>
        <v>14</v>
      </c>
      <c r="F11" s="128">
        <v>531</v>
      </c>
      <c r="G11" s="129">
        <v>162.38532110091745</v>
      </c>
      <c r="H11" s="129">
        <v>148.86527385613709</v>
      </c>
      <c r="I11" s="129">
        <v>176.80335728846399</v>
      </c>
      <c r="J11" s="129"/>
      <c r="K11" s="129"/>
      <c r="L11" s="129"/>
      <c r="M11" s="60">
        <f t="shared" si="0"/>
        <v>5</v>
      </c>
      <c r="N11" s="61">
        <f t="shared" si="3"/>
        <v>115.07936507936508</v>
      </c>
      <c r="O11" s="61">
        <f t="shared" si="16"/>
        <v>153.10492505353318</v>
      </c>
      <c r="P11" s="129">
        <f t="shared" si="4"/>
        <v>164.94697031982241</v>
      </c>
      <c r="Q11" s="129">
        <f t="shared" si="5"/>
        <v>161.3576149217844</v>
      </c>
      <c r="R11" s="129">
        <f t="shared" si="6"/>
        <v>168.59603999218825</v>
      </c>
      <c r="S11" s="61">
        <f t="shared" si="7"/>
        <v>179.57746478873241</v>
      </c>
      <c r="T11" s="61">
        <f t="shared" si="1"/>
        <v>231.45400593471811</v>
      </c>
      <c r="U11" s="61">
        <f t="shared" si="17"/>
        <v>168.89643020296285</v>
      </c>
      <c r="V11" s="61"/>
      <c r="Y11" s="159" t="s">
        <v>47</v>
      </c>
      <c r="Z11" s="159" t="s">
        <v>69</v>
      </c>
      <c r="AA11" s="159" t="s">
        <v>163</v>
      </c>
      <c r="AB11" s="159">
        <f t="shared" si="8"/>
        <v>7</v>
      </c>
      <c r="AC11" s="164">
        <f t="shared" si="18"/>
        <v>121.414913957935</v>
      </c>
      <c r="AD11" s="164">
        <f t="shared" si="9"/>
        <v>189.84509466437177</v>
      </c>
      <c r="AE11" s="159"/>
      <c r="AF11" s="159">
        <f t="shared" si="10"/>
        <v>21</v>
      </c>
      <c r="AG11" s="160">
        <f t="shared" si="11"/>
        <v>199</v>
      </c>
      <c r="AH11" s="161">
        <f t="shared" si="12"/>
        <v>182.90441176470588</v>
      </c>
      <c r="AI11" s="161">
        <f t="shared" si="13"/>
        <v>158.37226887168211</v>
      </c>
      <c r="AJ11" s="161">
        <f t="shared" si="14"/>
        <v>210.15958824385467</v>
      </c>
      <c r="AK11" s="160">
        <f t="shared" si="15"/>
        <v>5</v>
      </c>
    </row>
    <row r="12" spans="1:37" x14ac:dyDescent="0.2">
      <c r="A12" s="62" t="s">
        <v>35</v>
      </c>
      <c r="B12" s="62" t="s">
        <v>60</v>
      </c>
      <c r="C12" s="62" t="s">
        <v>163</v>
      </c>
      <c r="D12" s="62"/>
      <c r="E12" s="62">
        <f t="shared" si="2"/>
        <v>5</v>
      </c>
      <c r="F12" s="128">
        <v>347</v>
      </c>
      <c r="G12" s="129">
        <v>132.59457393962555</v>
      </c>
      <c r="H12" s="129">
        <v>119.00847300020958</v>
      </c>
      <c r="I12" s="129">
        <v>147.30649932822516</v>
      </c>
      <c r="J12" s="129"/>
      <c r="K12" s="129"/>
      <c r="L12" s="129"/>
      <c r="M12" s="60">
        <f t="shared" si="0"/>
        <v>2</v>
      </c>
      <c r="N12" s="61">
        <f t="shared" si="3"/>
        <v>115.07936507936508</v>
      </c>
      <c r="O12" s="61">
        <f t="shared" si="16"/>
        <v>153.10492505353318</v>
      </c>
      <c r="P12" s="129">
        <f t="shared" si="4"/>
        <v>164.94697031982241</v>
      </c>
      <c r="Q12" s="129">
        <f t="shared" si="5"/>
        <v>161.3576149217844</v>
      </c>
      <c r="R12" s="129">
        <f t="shared" si="6"/>
        <v>168.59603999218825</v>
      </c>
      <c r="S12" s="61">
        <f t="shared" si="7"/>
        <v>179.57746478873241</v>
      </c>
      <c r="T12" s="61">
        <f t="shared" si="1"/>
        <v>231.45400593471811</v>
      </c>
      <c r="U12" s="61">
        <f t="shared" si="17"/>
        <v>161.40643747717669</v>
      </c>
      <c r="V12" s="61"/>
      <c r="Y12" s="159" t="s">
        <v>50</v>
      </c>
      <c r="Z12" s="159" t="s">
        <v>161</v>
      </c>
      <c r="AA12" s="159" t="s">
        <v>163</v>
      </c>
      <c r="AB12" s="159">
        <f t="shared" si="8"/>
        <v>1</v>
      </c>
      <c r="AC12" s="164">
        <f t="shared" si="18"/>
        <v>121.414913957935</v>
      </c>
      <c r="AD12" s="164">
        <f t="shared" si="9"/>
        <v>189.84509466437177</v>
      </c>
      <c r="AE12" s="159"/>
      <c r="AF12" s="159">
        <f t="shared" si="10"/>
        <v>2</v>
      </c>
      <c r="AG12" s="160">
        <f t="shared" si="11"/>
        <v>127</v>
      </c>
      <c r="AH12" s="161">
        <f t="shared" si="12"/>
        <v>121.414913957935</v>
      </c>
      <c r="AI12" s="161">
        <f t="shared" si="13"/>
        <v>101.21657651246095</v>
      </c>
      <c r="AJ12" s="161">
        <f t="shared" si="14"/>
        <v>144.46171978538521</v>
      </c>
      <c r="AK12" s="160">
        <f t="shared" si="15"/>
        <v>2</v>
      </c>
    </row>
    <row r="13" spans="1:37" x14ac:dyDescent="0.2">
      <c r="A13" s="62" t="s">
        <v>36</v>
      </c>
      <c r="B13" s="62" t="s">
        <v>61</v>
      </c>
      <c r="C13" s="62" t="s">
        <v>201</v>
      </c>
      <c r="D13" s="62"/>
      <c r="E13" s="62">
        <f t="shared" si="2"/>
        <v>15</v>
      </c>
      <c r="F13" s="128">
        <v>131</v>
      </c>
      <c r="G13" s="129">
        <v>163.54556803995007</v>
      </c>
      <c r="H13" s="129">
        <v>136.73809038923181</v>
      </c>
      <c r="I13" s="129">
        <v>194.07116743816741</v>
      </c>
      <c r="J13" s="129"/>
      <c r="K13" s="129"/>
      <c r="L13" s="129"/>
      <c r="M13" s="60">
        <f t="shared" si="0"/>
        <v>5</v>
      </c>
      <c r="N13" s="61">
        <f t="shared" si="3"/>
        <v>115.07936507936508</v>
      </c>
      <c r="O13" s="61">
        <f t="shared" si="16"/>
        <v>153.10492505353318</v>
      </c>
      <c r="P13" s="129">
        <f t="shared" si="4"/>
        <v>164.94697031982241</v>
      </c>
      <c r="Q13" s="129">
        <f t="shared" si="5"/>
        <v>161.3576149217844</v>
      </c>
      <c r="R13" s="129">
        <f t="shared" si="6"/>
        <v>168.59603999218825</v>
      </c>
      <c r="S13" s="61">
        <f t="shared" si="7"/>
        <v>179.57746478873241</v>
      </c>
      <c r="T13" s="61">
        <f t="shared" si="1"/>
        <v>231.45400593471811</v>
      </c>
      <c r="U13" s="61">
        <f t="shared" si="17"/>
        <v>165.46610169491524</v>
      </c>
      <c r="V13" s="61"/>
      <c r="Y13" s="159" t="s">
        <v>53</v>
      </c>
      <c r="Z13" s="159" t="s">
        <v>162</v>
      </c>
      <c r="AA13" s="159" t="s">
        <v>163</v>
      </c>
      <c r="AB13" s="159">
        <f>RANK(AH13,$AH$6:$AH$13,1)</f>
        <v>8</v>
      </c>
      <c r="AC13" s="164">
        <f t="shared" si="18"/>
        <v>121.414913957935</v>
      </c>
      <c r="AD13" s="164">
        <f t="shared" si="9"/>
        <v>189.84509466437177</v>
      </c>
      <c r="AE13" s="159"/>
      <c r="AF13" s="159">
        <f t="shared" si="10"/>
        <v>25</v>
      </c>
      <c r="AG13" s="160">
        <f t="shared" si="11"/>
        <v>1103</v>
      </c>
      <c r="AH13" s="161">
        <f t="shared" si="12"/>
        <v>189.84509466437177</v>
      </c>
      <c r="AI13" s="161">
        <f t="shared" si="13"/>
        <v>178.80525664574765</v>
      </c>
      <c r="AJ13" s="161">
        <f t="shared" si="14"/>
        <v>201.38813714966494</v>
      </c>
      <c r="AK13" s="160">
        <f t="shared" si="15"/>
        <v>1</v>
      </c>
    </row>
    <row r="14" spans="1:37" x14ac:dyDescent="0.2">
      <c r="A14" s="62" t="s">
        <v>37</v>
      </c>
      <c r="B14" s="62" t="s">
        <v>157</v>
      </c>
      <c r="C14" s="62" t="s">
        <v>201</v>
      </c>
      <c r="D14" s="62"/>
      <c r="E14" s="62">
        <f t="shared" si="2"/>
        <v>16</v>
      </c>
      <c r="F14" s="128">
        <v>542</v>
      </c>
      <c r="G14" s="129">
        <v>165.44566544566544</v>
      </c>
      <c r="H14" s="129">
        <v>151.80829506008308</v>
      </c>
      <c r="I14" s="129">
        <v>179.9792502756913</v>
      </c>
      <c r="J14" s="129"/>
      <c r="K14" s="129"/>
      <c r="L14" s="129"/>
      <c r="M14" s="60">
        <f t="shared" si="0"/>
        <v>5</v>
      </c>
      <c r="N14" s="61">
        <f t="shared" si="3"/>
        <v>115.07936507936508</v>
      </c>
      <c r="O14" s="61">
        <f t="shared" si="16"/>
        <v>153.10492505353318</v>
      </c>
      <c r="P14" s="129">
        <f t="shared" si="4"/>
        <v>164.94697031982241</v>
      </c>
      <c r="Q14" s="129">
        <f t="shared" si="5"/>
        <v>161.3576149217844</v>
      </c>
      <c r="R14" s="129">
        <f t="shared" si="6"/>
        <v>168.59603999218825</v>
      </c>
      <c r="S14" s="61">
        <f t="shared" si="7"/>
        <v>179.57746478873241</v>
      </c>
      <c r="T14" s="61">
        <f t="shared" si="1"/>
        <v>231.45400593471811</v>
      </c>
      <c r="U14" s="61">
        <f t="shared" si="17"/>
        <v>165.46610169491524</v>
      </c>
      <c r="V14" s="61"/>
      <c r="Y14" s="162" t="s">
        <v>29</v>
      </c>
      <c r="Z14" s="162" t="s">
        <v>55</v>
      </c>
      <c r="AA14" s="162" t="s">
        <v>201</v>
      </c>
      <c r="AB14" s="162">
        <f>RANK(AH14,$AH$14:$AH$22,1)</f>
        <v>5</v>
      </c>
      <c r="AC14" s="165">
        <f t="shared" ref="AC14:AC22" si="19">MIN($AH$14:$AH$22)</f>
        <v>128.08177991581479</v>
      </c>
      <c r="AD14" s="165">
        <f>MAX($AH$14:$AH$22)</f>
        <v>189.13702784670528</v>
      </c>
      <c r="AE14" s="162"/>
      <c r="AF14" s="162">
        <f t="shared" si="10"/>
        <v>11</v>
      </c>
      <c r="AG14" s="167">
        <f t="shared" si="11"/>
        <v>284</v>
      </c>
      <c r="AH14" s="165">
        <f t="shared" si="12"/>
        <v>159.10364145658264</v>
      </c>
      <c r="AI14" s="165">
        <f t="shared" si="13"/>
        <v>141.13511207433402</v>
      </c>
      <c r="AJ14" s="165">
        <f t="shared" si="14"/>
        <v>178.72577445707705</v>
      </c>
      <c r="AK14" s="167">
        <f t="shared" si="15"/>
        <v>5</v>
      </c>
    </row>
    <row r="15" spans="1:37" x14ac:dyDescent="0.2">
      <c r="A15" s="62" t="s">
        <v>38</v>
      </c>
      <c r="B15" s="62" t="s">
        <v>62</v>
      </c>
      <c r="C15" s="62" t="s">
        <v>201</v>
      </c>
      <c r="D15" s="62"/>
      <c r="E15" s="62">
        <f t="shared" si="2"/>
        <v>22</v>
      </c>
      <c r="F15" s="128">
        <v>198</v>
      </c>
      <c r="G15" s="129">
        <v>183.16373728029603</v>
      </c>
      <c r="H15" s="129">
        <v>158.53710488808588</v>
      </c>
      <c r="I15" s="129">
        <v>210.53119296784081</v>
      </c>
      <c r="J15" s="129"/>
      <c r="K15" s="129"/>
      <c r="L15" s="129"/>
      <c r="M15" s="60">
        <f t="shared" si="0"/>
        <v>5</v>
      </c>
      <c r="N15" s="61">
        <f t="shared" si="3"/>
        <v>115.07936507936508</v>
      </c>
      <c r="O15" s="61">
        <f t="shared" si="16"/>
        <v>153.10492505353318</v>
      </c>
      <c r="P15" s="129">
        <f t="shared" si="4"/>
        <v>164.94697031982241</v>
      </c>
      <c r="Q15" s="129">
        <f t="shared" si="5"/>
        <v>161.3576149217844</v>
      </c>
      <c r="R15" s="129">
        <f t="shared" si="6"/>
        <v>168.59603999218825</v>
      </c>
      <c r="S15" s="61">
        <f t="shared" si="7"/>
        <v>179.57746478873241</v>
      </c>
      <c r="T15" s="61">
        <f t="shared" si="1"/>
        <v>231.45400593471811</v>
      </c>
      <c r="U15" s="61">
        <f t="shared" si="17"/>
        <v>165.46610169491524</v>
      </c>
      <c r="V15" s="61"/>
      <c r="Y15" s="162" t="s">
        <v>32</v>
      </c>
      <c r="Z15" s="162" t="s">
        <v>156</v>
      </c>
      <c r="AA15" s="162" t="s">
        <v>201</v>
      </c>
      <c r="AB15" s="162">
        <f>RANK(AH15,$AH$14:$AH$22,1)</f>
        <v>9</v>
      </c>
      <c r="AC15" s="165">
        <f t="shared" si="19"/>
        <v>128.08177991581479</v>
      </c>
      <c r="AD15" s="165">
        <f t="shared" ref="AD15:AD22" si="20">MAX($AH$14:$AH$22)</f>
        <v>189.13702784670528</v>
      </c>
      <c r="AE15" s="162"/>
      <c r="AF15" s="162">
        <f t="shared" si="10"/>
        <v>24</v>
      </c>
      <c r="AG15" s="167">
        <f t="shared" si="11"/>
        <v>686</v>
      </c>
      <c r="AH15" s="165">
        <f t="shared" si="12"/>
        <v>189.13702784670528</v>
      </c>
      <c r="AI15" s="165">
        <f t="shared" si="13"/>
        <v>175.24631503593292</v>
      </c>
      <c r="AJ15" s="165">
        <f t="shared" si="14"/>
        <v>203.83595843843378</v>
      </c>
      <c r="AK15" s="167">
        <f t="shared" si="15"/>
        <v>1</v>
      </c>
    </row>
    <row r="16" spans="1:37" x14ac:dyDescent="0.2">
      <c r="A16" s="62" t="s">
        <v>39</v>
      </c>
      <c r="B16" s="62" t="s">
        <v>158</v>
      </c>
      <c r="C16" s="62" t="s">
        <v>200</v>
      </c>
      <c r="D16" s="62"/>
      <c r="E16" s="62">
        <f t="shared" si="2"/>
        <v>10</v>
      </c>
      <c r="F16" s="128">
        <v>337</v>
      </c>
      <c r="G16" s="129">
        <v>158.06754221388366</v>
      </c>
      <c r="H16" s="129">
        <v>141.63940726719292</v>
      </c>
      <c r="I16" s="129">
        <v>175.87796529914237</v>
      </c>
      <c r="J16" s="129"/>
      <c r="K16" s="129"/>
      <c r="L16" s="129"/>
      <c r="M16" s="60">
        <f t="shared" si="0"/>
        <v>5</v>
      </c>
      <c r="N16" s="61">
        <f t="shared" si="3"/>
        <v>115.07936507936508</v>
      </c>
      <c r="O16" s="61">
        <f t="shared" si="16"/>
        <v>153.10492505353318</v>
      </c>
      <c r="P16" s="129">
        <f t="shared" si="4"/>
        <v>164.94697031982241</v>
      </c>
      <c r="Q16" s="129">
        <f t="shared" si="5"/>
        <v>161.3576149217844</v>
      </c>
      <c r="R16" s="129">
        <f t="shared" si="6"/>
        <v>168.59603999218825</v>
      </c>
      <c r="S16" s="61">
        <f t="shared" si="7"/>
        <v>179.57746478873241</v>
      </c>
      <c r="T16" s="61">
        <f t="shared" si="1"/>
        <v>231.45400593471811</v>
      </c>
      <c r="U16" s="61">
        <f t="shared" si="17"/>
        <v>168.89643020296285</v>
      </c>
      <c r="V16" s="61"/>
      <c r="Y16" s="162" t="s">
        <v>36</v>
      </c>
      <c r="Z16" s="162" t="s">
        <v>61</v>
      </c>
      <c r="AA16" s="162" t="s">
        <v>201</v>
      </c>
      <c r="AB16" s="162">
        <f>RANK(AH16,$AH$14:$AH$22,1)</f>
        <v>6</v>
      </c>
      <c r="AC16" s="165">
        <f t="shared" si="19"/>
        <v>128.08177991581479</v>
      </c>
      <c r="AD16" s="165">
        <f t="shared" si="20"/>
        <v>189.13702784670528</v>
      </c>
      <c r="AE16" s="162"/>
      <c r="AF16" s="162">
        <f t="shared" si="10"/>
        <v>15</v>
      </c>
      <c r="AG16" s="167">
        <f t="shared" si="11"/>
        <v>131</v>
      </c>
      <c r="AH16" s="165">
        <f t="shared" si="12"/>
        <v>163.54556803995007</v>
      </c>
      <c r="AI16" s="165">
        <f t="shared" si="13"/>
        <v>136.73809038923181</v>
      </c>
      <c r="AJ16" s="165">
        <f t="shared" si="14"/>
        <v>194.07116743816741</v>
      </c>
      <c r="AK16" s="167">
        <f t="shared" si="15"/>
        <v>5</v>
      </c>
    </row>
    <row r="17" spans="1:37" x14ac:dyDescent="0.2">
      <c r="A17" s="62" t="s">
        <v>40</v>
      </c>
      <c r="B17" s="62" t="s">
        <v>63</v>
      </c>
      <c r="C17" s="62" t="s">
        <v>200</v>
      </c>
      <c r="D17" s="62"/>
      <c r="E17" s="62">
        <f t="shared" si="2"/>
        <v>23</v>
      </c>
      <c r="F17" s="128">
        <v>318</v>
      </c>
      <c r="G17" s="129">
        <v>185.85622443015782</v>
      </c>
      <c r="H17" s="129">
        <v>165.9873991545897</v>
      </c>
      <c r="I17" s="129">
        <v>207.44835204231427</v>
      </c>
      <c r="J17" s="129"/>
      <c r="K17" s="129"/>
      <c r="L17" s="129"/>
      <c r="M17" s="60">
        <f t="shared" si="0"/>
        <v>5</v>
      </c>
      <c r="N17" s="61">
        <f t="shared" si="3"/>
        <v>115.07936507936508</v>
      </c>
      <c r="O17" s="61">
        <f t="shared" si="16"/>
        <v>153.10492505353318</v>
      </c>
      <c r="P17" s="129">
        <f t="shared" si="4"/>
        <v>164.94697031982241</v>
      </c>
      <c r="Q17" s="129">
        <f t="shared" si="5"/>
        <v>161.3576149217844</v>
      </c>
      <c r="R17" s="129">
        <f t="shared" si="6"/>
        <v>168.59603999218825</v>
      </c>
      <c r="S17" s="61">
        <f t="shared" si="7"/>
        <v>179.57746478873241</v>
      </c>
      <c r="T17" s="61">
        <f t="shared" si="1"/>
        <v>231.45400593471811</v>
      </c>
      <c r="U17" s="61">
        <f t="shared" si="17"/>
        <v>168.89643020296285</v>
      </c>
      <c r="V17" s="61"/>
      <c r="Y17" s="162" t="s">
        <v>37</v>
      </c>
      <c r="Z17" s="162" t="s">
        <v>157</v>
      </c>
      <c r="AA17" s="162" t="s">
        <v>201</v>
      </c>
      <c r="AB17" s="162">
        <f t="shared" ref="AB17:AB22" si="21">RANK(AH17,$AH$14:$AH$22,1)</f>
        <v>7</v>
      </c>
      <c r="AC17" s="165">
        <f t="shared" si="19"/>
        <v>128.08177991581479</v>
      </c>
      <c r="AD17" s="165">
        <f>MAX($AH$14:$AH$22)</f>
        <v>189.13702784670528</v>
      </c>
      <c r="AE17" s="162"/>
      <c r="AF17" s="162">
        <f t="shared" si="10"/>
        <v>16</v>
      </c>
      <c r="AG17" s="167">
        <f t="shared" si="11"/>
        <v>542</v>
      </c>
      <c r="AH17" s="165">
        <f t="shared" si="12"/>
        <v>165.44566544566544</v>
      </c>
      <c r="AI17" s="165">
        <f t="shared" si="13"/>
        <v>151.80829506008308</v>
      </c>
      <c r="AJ17" s="165">
        <f t="shared" si="14"/>
        <v>179.9792502756913</v>
      </c>
      <c r="AK17" s="167">
        <f t="shared" si="15"/>
        <v>5</v>
      </c>
    </row>
    <row r="18" spans="1:37" x14ac:dyDescent="0.2">
      <c r="A18" s="62" t="s">
        <v>41</v>
      </c>
      <c r="B18" s="62" t="s">
        <v>64</v>
      </c>
      <c r="C18" s="62" t="s">
        <v>163</v>
      </c>
      <c r="D18" s="62"/>
      <c r="E18" s="62">
        <f t="shared" si="2"/>
        <v>20</v>
      </c>
      <c r="F18" s="128">
        <v>357</v>
      </c>
      <c r="G18" s="129">
        <v>179.57746478873241</v>
      </c>
      <c r="H18" s="129">
        <v>161.42993889091875</v>
      </c>
      <c r="I18" s="129">
        <v>199.20665998205638</v>
      </c>
      <c r="J18" s="129"/>
      <c r="K18" s="129"/>
      <c r="L18" s="129"/>
      <c r="M18" s="60">
        <f t="shared" si="0"/>
        <v>5</v>
      </c>
      <c r="N18" s="61">
        <f t="shared" si="3"/>
        <v>115.07936507936508</v>
      </c>
      <c r="O18" s="61">
        <f t="shared" si="16"/>
        <v>153.10492505353318</v>
      </c>
      <c r="P18" s="129">
        <f t="shared" si="4"/>
        <v>164.94697031982241</v>
      </c>
      <c r="Q18" s="129">
        <f t="shared" si="5"/>
        <v>161.3576149217844</v>
      </c>
      <c r="R18" s="129">
        <f t="shared" si="6"/>
        <v>168.59603999218825</v>
      </c>
      <c r="S18" s="61">
        <f t="shared" si="7"/>
        <v>179.57746478873241</v>
      </c>
      <c r="T18" s="61">
        <f t="shared" si="1"/>
        <v>231.45400593471811</v>
      </c>
      <c r="U18" s="61">
        <f t="shared" si="17"/>
        <v>161.40643747717669</v>
      </c>
      <c r="V18" s="61"/>
      <c r="Y18" s="162" t="s">
        <v>38</v>
      </c>
      <c r="Z18" s="162" t="s">
        <v>62</v>
      </c>
      <c r="AA18" s="162" t="s">
        <v>201</v>
      </c>
      <c r="AB18" s="162">
        <f t="shared" si="21"/>
        <v>8</v>
      </c>
      <c r="AC18" s="165">
        <f t="shared" si="19"/>
        <v>128.08177991581479</v>
      </c>
      <c r="AD18" s="165">
        <f t="shared" si="20"/>
        <v>189.13702784670528</v>
      </c>
      <c r="AE18" s="162"/>
      <c r="AF18" s="162">
        <f t="shared" si="10"/>
        <v>22</v>
      </c>
      <c r="AG18" s="167">
        <f t="shared" si="11"/>
        <v>198</v>
      </c>
      <c r="AH18" s="165">
        <f t="shared" si="12"/>
        <v>183.16373728029603</v>
      </c>
      <c r="AI18" s="165">
        <f t="shared" si="13"/>
        <v>158.53710488808588</v>
      </c>
      <c r="AJ18" s="165">
        <f t="shared" si="14"/>
        <v>210.53119296784081</v>
      </c>
      <c r="AK18" s="167">
        <f t="shared" si="15"/>
        <v>5</v>
      </c>
    </row>
    <row r="19" spans="1:37" x14ac:dyDescent="0.2">
      <c r="A19" s="62" t="s">
        <v>42</v>
      </c>
      <c r="B19" s="62" t="s">
        <v>65</v>
      </c>
      <c r="C19" s="62" t="s">
        <v>200</v>
      </c>
      <c r="D19" s="62"/>
      <c r="E19" s="62">
        <f t="shared" si="2"/>
        <v>1</v>
      </c>
      <c r="F19" s="128">
        <v>116</v>
      </c>
      <c r="G19" s="129">
        <v>115.07936507936508</v>
      </c>
      <c r="H19" s="129">
        <v>95.090591770947796</v>
      </c>
      <c r="I19" s="129">
        <v>138.02781577761633</v>
      </c>
      <c r="J19" s="129"/>
      <c r="K19" s="129"/>
      <c r="L19" s="129"/>
      <c r="M19" s="60">
        <f t="shared" si="0"/>
        <v>2</v>
      </c>
      <c r="N19" s="61">
        <f t="shared" si="3"/>
        <v>115.07936507936508</v>
      </c>
      <c r="O19" s="61">
        <f t="shared" si="16"/>
        <v>153.10492505353318</v>
      </c>
      <c r="P19" s="129">
        <f t="shared" si="4"/>
        <v>164.94697031982241</v>
      </c>
      <c r="Q19" s="129">
        <f t="shared" si="5"/>
        <v>161.3576149217844</v>
      </c>
      <c r="R19" s="129">
        <f t="shared" si="6"/>
        <v>168.59603999218825</v>
      </c>
      <c r="S19" s="61">
        <f t="shared" si="7"/>
        <v>179.57746478873241</v>
      </c>
      <c r="T19" s="61">
        <f t="shared" si="1"/>
        <v>231.45400593471811</v>
      </c>
      <c r="U19" s="61">
        <f t="shared" si="17"/>
        <v>168.89643020296285</v>
      </c>
      <c r="V19" s="61"/>
      <c r="Y19" s="162" t="s">
        <v>43</v>
      </c>
      <c r="Z19" s="162" t="s">
        <v>159</v>
      </c>
      <c r="AA19" s="162" t="s">
        <v>201</v>
      </c>
      <c r="AB19" s="162">
        <f t="shared" si="21"/>
        <v>1</v>
      </c>
      <c r="AC19" s="165">
        <f t="shared" si="19"/>
        <v>128.08177991581479</v>
      </c>
      <c r="AD19" s="165">
        <f t="shared" si="20"/>
        <v>189.13702784670528</v>
      </c>
      <c r="AE19" s="162"/>
      <c r="AF19" s="162">
        <f t="shared" si="10"/>
        <v>3</v>
      </c>
      <c r="AG19" s="167">
        <f t="shared" si="11"/>
        <v>213</v>
      </c>
      <c r="AH19" s="165">
        <f t="shared" si="12"/>
        <v>128.08177991581479</v>
      </c>
      <c r="AI19" s="165">
        <f t="shared" si="13"/>
        <v>111.45679778794607</v>
      </c>
      <c r="AJ19" s="165">
        <f t="shared" si="14"/>
        <v>146.48692660167291</v>
      </c>
      <c r="AK19" s="167">
        <f t="shared" si="15"/>
        <v>2</v>
      </c>
    </row>
    <row r="20" spans="1:37" x14ac:dyDescent="0.2">
      <c r="A20" s="62" t="s">
        <v>43</v>
      </c>
      <c r="B20" s="62" t="s">
        <v>159</v>
      </c>
      <c r="C20" s="62" t="s">
        <v>201</v>
      </c>
      <c r="D20" s="62"/>
      <c r="E20" s="62">
        <f t="shared" si="2"/>
        <v>3</v>
      </c>
      <c r="F20" s="128">
        <v>213</v>
      </c>
      <c r="G20" s="129">
        <v>128.08177991581479</v>
      </c>
      <c r="H20" s="129">
        <v>111.45679778794607</v>
      </c>
      <c r="I20" s="129">
        <v>146.48692660167291</v>
      </c>
      <c r="J20" s="129"/>
      <c r="K20" s="129"/>
      <c r="L20" s="129"/>
      <c r="M20" s="60">
        <f t="shared" si="0"/>
        <v>2</v>
      </c>
      <c r="N20" s="61">
        <f t="shared" si="3"/>
        <v>115.07936507936508</v>
      </c>
      <c r="O20" s="61">
        <f t="shared" si="16"/>
        <v>153.10492505353318</v>
      </c>
      <c r="P20" s="129">
        <f t="shared" si="4"/>
        <v>164.94697031982241</v>
      </c>
      <c r="Q20" s="129">
        <f t="shared" si="5"/>
        <v>161.3576149217844</v>
      </c>
      <c r="R20" s="129">
        <f t="shared" si="6"/>
        <v>168.59603999218825</v>
      </c>
      <c r="S20" s="61">
        <f t="shared" si="7"/>
        <v>179.57746478873241</v>
      </c>
      <c r="T20" s="61">
        <f t="shared" si="1"/>
        <v>231.45400593471811</v>
      </c>
      <c r="U20" s="61">
        <f t="shared" si="17"/>
        <v>165.46610169491524</v>
      </c>
      <c r="V20" s="61"/>
      <c r="Y20" s="162" t="s">
        <v>48</v>
      </c>
      <c r="Z20" s="162" t="s">
        <v>160</v>
      </c>
      <c r="AA20" s="162" t="s">
        <v>201</v>
      </c>
      <c r="AB20" s="162">
        <f t="shared" si="21"/>
        <v>3</v>
      </c>
      <c r="AC20" s="165">
        <f t="shared" si="19"/>
        <v>128.08177991581479</v>
      </c>
      <c r="AD20" s="165">
        <f t="shared" si="20"/>
        <v>189.13702784670528</v>
      </c>
      <c r="AE20" s="162"/>
      <c r="AF20" s="162">
        <f t="shared" si="10"/>
        <v>7</v>
      </c>
      <c r="AG20" s="167">
        <f t="shared" si="11"/>
        <v>143</v>
      </c>
      <c r="AH20" s="165">
        <f t="shared" si="12"/>
        <v>153.10492505353318</v>
      </c>
      <c r="AI20" s="165">
        <f t="shared" si="13"/>
        <v>129.03827150797531</v>
      </c>
      <c r="AJ20" s="165">
        <f t="shared" si="14"/>
        <v>180.35647351376417</v>
      </c>
      <c r="AK20" s="167">
        <f t="shared" si="15"/>
        <v>5</v>
      </c>
    </row>
    <row r="21" spans="1:37" x14ac:dyDescent="0.2">
      <c r="A21" s="62" t="s">
        <v>44</v>
      </c>
      <c r="B21" s="62" t="s">
        <v>66</v>
      </c>
      <c r="C21" s="62" t="s">
        <v>200</v>
      </c>
      <c r="D21" s="62"/>
      <c r="E21" s="62">
        <f t="shared" si="2"/>
        <v>19</v>
      </c>
      <c r="F21" s="128">
        <v>133</v>
      </c>
      <c r="G21" s="129">
        <v>179.24528301886792</v>
      </c>
      <c r="H21" s="129">
        <v>150.07617969243341</v>
      </c>
      <c r="I21" s="129">
        <v>212.42731867440966</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5</v>
      </c>
      <c r="N21" s="61">
        <f t="shared" si="3"/>
        <v>115.07936507936508</v>
      </c>
      <c r="O21" s="61">
        <f t="shared" si="16"/>
        <v>153.10492505353318</v>
      </c>
      <c r="P21" s="129">
        <f t="shared" si="4"/>
        <v>164.94697031982241</v>
      </c>
      <c r="Q21" s="129">
        <f t="shared" si="5"/>
        <v>161.3576149217844</v>
      </c>
      <c r="R21" s="129">
        <f t="shared" si="6"/>
        <v>168.59603999218825</v>
      </c>
      <c r="S21" s="61">
        <f t="shared" si="7"/>
        <v>179.57746478873241</v>
      </c>
      <c r="T21" s="61">
        <f t="shared" si="1"/>
        <v>231.45400593471811</v>
      </c>
      <c r="U21" s="61">
        <f t="shared" si="17"/>
        <v>168.89643020296285</v>
      </c>
      <c r="V21" s="61"/>
      <c r="Y21" s="162" t="s">
        <v>52</v>
      </c>
      <c r="Z21" s="162" t="s">
        <v>72</v>
      </c>
      <c r="AA21" s="162" t="s">
        <v>201</v>
      </c>
      <c r="AB21" s="162">
        <f t="shared" si="21"/>
        <v>2</v>
      </c>
      <c r="AC21" s="165">
        <f t="shared" si="19"/>
        <v>128.08177991581479</v>
      </c>
      <c r="AD21" s="165">
        <f t="shared" si="20"/>
        <v>189.13702784670528</v>
      </c>
      <c r="AE21" s="162"/>
      <c r="AF21" s="162">
        <f t="shared" si="10"/>
        <v>6</v>
      </c>
      <c r="AG21" s="167">
        <f t="shared" si="11"/>
        <v>64</v>
      </c>
      <c r="AH21" s="165">
        <f t="shared" si="12"/>
        <v>132.78008298755188</v>
      </c>
      <c r="AI21" s="165">
        <f t="shared" si="13"/>
        <v>102.25173342111422</v>
      </c>
      <c r="AJ21" s="165">
        <f t="shared" si="14"/>
        <v>169.55991574885422</v>
      </c>
      <c r="AK21" s="167">
        <f t="shared" si="15"/>
        <v>5</v>
      </c>
    </row>
    <row r="22" spans="1:37" x14ac:dyDescent="0.2">
      <c r="A22" s="62" t="s">
        <v>45</v>
      </c>
      <c r="B22" s="62" t="s">
        <v>67</v>
      </c>
      <c r="C22" s="62" t="s">
        <v>163</v>
      </c>
      <c r="D22" s="62"/>
      <c r="E22" s="62">
        <f t="shared" si="2"/>
        <v>9</v>
      </c>
      <c r="F22" s="128">
        <v>257</v>
      </c>
      <c r="G22" s="129">
        <v>157.95943454210203</v>
      </c>
      <c r="H22" s="129">
        <v>139.23534035328422</v>
      </c>
      <c r="I22" s="129">
        <v>178.49949530645162</v>
      </c>
      <c r="J22" s="129"/>
      <c r="K22" s="129"/>
      <c r="L22" s="129"/>
      <c r="M22" s="60">
        <f t="shared" si="0"/>
        <v>5</v>
      </c>
      <c r="N22" s="61">
        <f t="shared" si="3"/>
        <v>115.07936507936508</v>
      </c>
      <c r="O22" s="61">
        <f t="shared" si="16"/>
        <v>153.10492505353318</v>
      </c>
      <c r="P22" s="129">
        <f t="shared" si="4"/>
        <v>164.94697031982241</v>
      </c>
      <c r="Q22" s="129">
        <f t="shared" si="5"/>
        <v>161.3576149217844</v>
      </c>
      <c r="R22" s="129">
        <f t="shared" si="6"/>
        <v>168.59603999218825</v>
      </c>
      <c r="S22" s="61">
        <f t="shared" si="7"/>
        <v>179.57746478873241</v>
      </c>
      <c r="T22" s="61">
        <f t="shared" si="1"/>
        <v>231.45400593471811</v>
      </c>
      <c r="U22" s="61">
        <f>VLOOKUP(C22,$C$43:$I$46,5,FALSE)</f>
        <v>161.40643747717669</v>
      </c>
      <c r="V22" s="61"/>
      <c r="Y22" s="162" t="s">
        <v>54</v>
      </c>
      <c r="Z22" s="162" t="s">
        <v>73</v>
      </c>
      <c r="AA22" s="162" t="s">
        <v>201</v>
      </c>
      <c r="AB22" s="162">
        <f t="shared" si="21"/>
        <v>4</v>
      </c>
      <c r="AC22" s="165">
        <f t="shared" si="19"/>
        <v>128.08177991581479</v>
      </c>
      <c r="AD22" s="165">
        <f t="shared" si="20"/>
        <v>189.13702784670528</v>
      </c>
      <c r="AE22" s="162"/>
      <c r="AF22" s="162">
        <f t="shared" si="10"/>
        <v>8</v>
      </c>
      <c r="AG22" s="167">
        <f t="shared" si="11"/>
        <v>80</v>
      </c>
      <c r="AH22" s="165">
        <f t="shared" si="12"/>
        <v>156.55577299412914</v>
      </c>
      <c r="AI22" s="165">
        <f t="shared" si="13"/>
        <v>124.13477733622457</v>
      </c>
      <c r="AJ22" s="165">
        <f t="shared" si="14"/>
        <v>194.84961330513184</v>
      </c>
      <c r="AK22" s="167">
        <f t="shared" si="15"/>
        <v>5</v>
      </c>
    </row>
    <row r="23" spans="1:37" x14ac:dyDescent="0.2">
      <c r="A23" s="62" t="s">
        <v>46</v>
      </c>
      <c r="B23" s="62" t="s">
        <v>68</v>
      </c>
      <c r="C23" s="62" t="s">
        <v>163</v>
      </c>
      <c r="D23" s="62"/>
      <c r="E23" s="62">
        <f t="shared" si="2"/>
        <v>13</v>
      </c>
      <c r="F23" s="128">
        <v>303</v>
      </c>
      <c r="G23" s="129">
        <v>160.99893730074388</v>
      </c>
      <c r="H23" s="129">
        <v>143.37880714269741</v>
      </c>
      <c r="I23" s="129">
        <v>180.18648470635983</v>
      </c>
      <c r="J23" s="129"/>
      <c r="K23" s="129"/>
      <c r="L23" s="129"/>
      <c r="M23" s="60">
        <f t="shared" si="0"/>
        <v>5</v>
      </c>
      <c r="N23" s="61">
        <f t="shared" si="3"/>
        <v>115.07936507936508</v>
      </c>
      <c r="O23" s="61">
        <f t="shared" si="16"/>
        <v>153.10492505353318</v>
      </c>
      <c r="P23" s="129">
        <f t="shared" si="4"/>
        <v>164.94697031982241</v>
      </c>
      <c r="Q23" s="129">
        <f t="shared" si="5"/>
        <v>161.3576149217844</v>
      </c>
      <c r="R23" s="129">
        <f t="shared" si="6"/>
        <v>168.59603999218825</v>
      </c>
      <c r="S23" s="61">
        <f t="shared" si="7"/>
        <v>179.57746478873241</v>
      </c>
      <c r="T23" s="61">
        <f t="shared" si="1"/>
        <v>231.45400593471811</v>
      </c>
      <c r="U23" s="61">
        <f t="shared" si="17"/>
        <v>161.40643747717669</v>
      </c>
      <c r="V23" s="61"/>
      <c r="Y23" s="163" t="s">
        <v>30</v>
      </c>
      <c r="Z23" s="163" t="s">
        <v>56</v>
      </c>
      <c r="AA23" s="163" t="s">
        <v>200</v>
      </c>
      <c r="AB23" s="163">
        <f>RANK(AH23,$AH$23:$AH$31,1)</f>
        <v>3</v>
      </c>
      <c r="AC23" s="166">
        <f>MIN($AH$23:$AH$31)</f>
        <v>115.07936507936508</v>
      </c>
      <c r="AD23" s="166">
        <f>MAX($AH$23:$AH$31)</f>
        <v>231.45400593471811</v>
      </c>
      <c r="AE23" s="163"/>
      <c r="AF23" s="163">
        <f t="shared" si="10"/>
        <v>12</v>
      </c>
      <c r="AG23" s="168">
        <f t="shared" si="11"/>
        <v>337</v>
      </c>
      <c r="AH23" s="166">
        <f t="shared" si="12"/>
        <v>160.0189933523267</v>
      </c>
      <c r="AI23" s="166">
        <f t="shared" si="13"/>
        <v>143.38804192481257</v>
      </c>
      <c r="AJ23" s="166">
        <f t="shared" si="14"/>
        <v>178.04929820407006</v>
      </c>
      <c r="AK23" s="168">
        <f t="shared" si="15"/>
        <v>5</v>
      </c>
    </row>
    <row r="24" spans="1:37" x14ac:dyDescent="0.2">
      <c r="A24" s="62" t="s">
        <v>47</v>
      </c>
      <c r="B24" s="62" t="s">
        <v>69</v>
      </c>
      <c r="C24" s="62" t="s">
        <v>163</v>
      </c>
      <c r="D24" s="62"/>
      <c r="E24" s="62">
        <f t="shared" si="2"/>
        <v>21</v>
      </c>
      <c r="F24" s="128">
        <v>199</v>
      </c>
      <c r="G24" s="129">
        <v>182.90441176470588</v>
      </c>
      <c r="H24" s="129">
        <v>158.37226887168211</v>
      </c>
      <c r="I24" s="129">
        <v>210.15958824385467</v>
      </c>
      <c r="J24" s="129"/>
      <c r="K24" s="129"/>
      <c r="L24" s="129"/>
      <c r="M24" s="60">
        <f t="shared" si="0"/>
        <v>5</v>
      </c>
      <c r="N24" s="61">
        <f t="shared" si="3"/>
        <v>115.07936507936508</v>
      </c>
      <c r="O24" s="61">
        <f t="shared" si="16"/>
        <v>153.10492505353318</v>
      </c>
      <c r="P24" s="129">
        <f t="shared" si="4"/>
        <v>164.94697031982241</v>
      </c>
      <c r="Q24" s="129">
        <f t="shared" si="5"/>
        <v>161.3576149217844</v>
      </c>
      <c r="R24" s="129">
        <f t="shared" si="6"/>
        <v>168.59603999218825</v>
      </c>
      <c r="S24" s="61">
        <f t="shared" si="7"/>
        <v>179.57746478873241</v>
      </c>
      <c r="T24" s="61">
        <f t="shared" si="1"/>
        <v>231.45400593471811</v>
      </c>
      <c r="U24" s="61">
        <f t="shared" si="17"/>
        <v>161.40643747717669</v>
      </c>
      <c r="V24" s="61"/>
      <c r="Y24" s="163" t="s">
        <v>31</v>
      </c>
      <c r="Z24" s="163" t="s">
        <v>57</v>
      </c>
      <c r="AA24" s="163" t="s">
        <v>200</v>
      </c>
      <c r="AB24" s="163">
        <f t="shared" ref="AB24:AB31" si="22">RANK(AH24,$AH$23:$AH$31,1)</f>
        <v>5</v>
      </c>
      <c r="AC24" s="166">
        <f t="shared" ref="AC24:AC31" si="23">MIN($AH$23:$AH$31)</f>
        <v>115.07936507936508</v>
      </c>
      <c r="AD24" s="166">
        <f t="shared" ref="AD24:AD31" si="24">MAX($AH$23:$AH$31)</f>
        <v>231.45400593471811</v>
      </c>
      <c r="AE24" s="163"/>
      <c r="AF24" s="163">
        <f t="shared" si="10"/>
        <v>17</v>
      </c>
      <c r="AG24" s="168">
        <f t="shared" si="11"/>
        <v>334</v>
      </c>
      <c r="AH24" s="166">
        <f t="shared" si="12"/>
        <v>173.05699481865287</v>
      </c>
      <c r="AI24" s="166">
        <f t="shared" si="13"/>
        <v>154.99262111678075</v>
      </c>
      <c r="AJ24" s="166">
        <f t="shared" si="14"/>
        <v>192.64845223165813</v>
      </c>
      <c r="AK24" s="168">
        <f t="shared" si="15"/>
        <v>5</v>
      </c>
    </row>
    <row r="25" spans="1:37" x14ac:dyDescent="0.2">
      <c r="A25" s="62" t="s">
        <v>48</v>
      </c>
      <c r="B25" s="62" t="s">
        <v>160</v>
      </c>
      <c r="C25" s="62" t="s">
        <v>201</v>
      </c>
      <c r="D25" s="62"/>
      <c r="E25" s="62">
        <f t="shared" si="2"/>
        <v>7</v>
      </c>
      <c r="F25" s="128">
        <v>143</v>
      </c>
      <c r="G25" s="129">
        <v>153.10492505353318</v>
      </c>
      <c r="H25" s="129">
        <v>129.03827150797531</v>
      </c>
      <c r="I25" s="129">
        <v>180.35647351376417</v>
      </c>
      <c r="J25" s="129"/>
      <c r="K25" s="129"/>
      <c r="L25" s="129"/>
      <c r="M25" s="60">
        <f t="shared" si="0"/>
        <v>5</v>
      </c>
      <c r="N25" s="61">
        <f t="shared" si="3"/>
        <v>115.07936507936508</v>
      </c>
      <c r="O25" s="61">
        <f t="shared" si="16"/>
        <v>153.10492505353318</v>
      </c>
      <c r="P25" s="129">
        <f t="shared" si="4"/>
        <v>164.94697031982241</v>
      </c>
      <c r="Q25" s="129">
        <f t="shared" si="5"/>
        <v>161.3576149217844</v>
      </c>
      <c r="R25" s="129">
        <f t="shared" si="6"/>
        <v>168.59603999218825</v>
      </c>
      <c r="S25" s="61">
        <f t="shared" si="7"/>
        <v>179.57746478873241</v>
      </c>
      <c r="T25" s="61">
        <f t="shared" si="1"/>
        <v>231.45400593471811</v>
      </c>
      <c r="U25" s="61">
        <f t="shared" si="17"/>
        <v>165.46610169491524</v>
      </c>
      <c r="V25" s="61"/>
      <c r="Y25" s="163" t="s">
        <v>34</v>
      </c>
      <c r="Z25" s="163" t="s">
        <v>59</v>
      </c>
      <c r="AA25" s="163" t="s">
        <v>200</v>
      </c>
      <c r="AB25" s="163">
        <f t="shared" si="22"/>
        <v>4</v>
      </c>
      <c r="AC25" s="166">
        <f t="shared" si="23"/>
        <v>115.07936507936508</v>
      </c>
      <c r="AD25" s="166">
        <f t="shared" si="24"/>
        <v>231.45400593471811</v>
      </c>
      <c r="AE25" s="163"/>
      <c r="AF25" s="163">
        <f t="shared" si="10"/>
        <v>14</v>
      </c>
      <c r="AG25" s="168">
        <f t="shared" si="11"/>
        <v>531</v>
      </c>
      <c r="AH25" s="166">
        <f t="shared" si="12"/>
        <v>162.38532110091745</v>
      </c>
      <c r="AI25" s="166">
        <f t="shared" si="13"/>
        <v>148.86527385613709</v>
      </c>
      <c r="AJ25" s="166">
        <f t="shared" si="14"/>
        <v>176.80335728846399</v>
      </c>
      <c r="AK25" s="168">
        <f t="shared" si="15"/>
        <v>5</v>
      </c>
    </row>
    <row r="26" spans="1:37" x14ac:dyDescent="0.2">
      <c r="A26" s="62" t="s">
        <v>49</v>
      </c>
      <c r="B26" s="62" t="s">
        <v>70</v>
      </c>
      <c r="C26" s="62" t="s">
        <v>200</v>
      </c>
      <c r="D26" s="62"/>
      <c r="E26" s="62">
        <f t="shared" si="2"/>
        <v>18</v>
      </c>
      <c r="F26" s="128">
        <v>248</v>
      </c>
      <c r="G26" s="129">
        <v>175.51309271054492</v>
      </c>
      <c r="H26" s="129">
        <v>154.34616318401785</v>
      </c>
      <c r="I26" s="129">
        <v>198.77177390980697</v>
      </c>
      <c r="J26" s="129"/>
      <c r="K26" s="129"/>
      <c r="L26" s="129"/>
      <c r="M26" s="60">
        <f t="shared" si="0"/>
        <v>5</v>
      </c>
      <c r="N26" s="61">
        <f t="shared" si="3"/>
        <v>115.07936507936508</v>
      </c>
      <c r="O26" s="61">
        <f t="shared" si="16"/>
        <v>153.10492505353318</v>
      </c>
      <c r="P26" s="129">
        <f t="shared" si="4"/>
        <v>164.94697031982241</v>
      </c>
      <c r="Q26" s="129">
        <f t="shared" si="5"/>
        <v>161.3576149217844</v>
      </c>
      <c r="R26" s="129">
        <f t="shared" si="6"/>
        <v>168.59603999218825</v>
      </c>
      <c r="S26" s="61">
        <f t="shared" si="7"/>
        <v>179.57746478873241</v>
      </c>
      <c r="T26" s="61">
        <f t="shared" si="1"/>
        <v>231.45400593471811</v>
      </c>
      <c r="U26" s="61">
        <f t="shared" si="17"/>
        <v>168.89643020296285</v>
      </c>
      <c r="V26" s="61"/>
      <c r="Y26" s="163" t="s">
        <v>39</v>
      </c>
      <c r="Z26" s="163" t="s">
        <v>158</v>
      </c>
      <c r="AA26" s="163" t="s">
        <v>200</v>
      </c>
      <c r="AB26" s="163">
        <f t="shared" si="22"/>
        <v>2</v>
      </c>
      <c r="AC26" s="166">
        <f t="shared" si="23"/>
        <v>115.07936507936508</v>
      </c>
      <c r="AD26" s="166">
        <f t="shared" si="24"/>
        <v>231.45400593471811</v>
      </c>
      <c r="AE26" s="163"/>
      <c r="AF26" s="163">
        <f t="shared" si="10"/>
        <v>10</v>
      </c>
      <c r="AG26" s="168">
        <f t="shared" si="11"/>
        <v>337</v>
      </c>
      <c r="AH26" s="166">
        <f t="shared" si="12"/>
        <v>158.06754221388366</v>
      </c>
      <c r="AI26" s="166">
        <f t="shared" si="13"/>
        <v>141.63940726719292</v>
      </c>
      <c r="AJ26" s="166">
        <f t="shared" si="14"/>
        <v>175.87796529914237</v>
      </c>
      <c r="AK26" s="168">
        <f t="shared" si="15"/>
        <v>5</v>
      </c>
    </row>
    <row r="27" spans="1:37" x14ac:dyDescent="0.2">
      <c r="A27" s="62" t="s">
        <v>50</v>
      </c>
      <c r="B27" s="62" t="s">
        <v>161</v>
      </c>
      <c r="C27" s="62" t="s">
        <v>163</v>
      </c>
      <c r="D27" s="62"/>
      <c r="E27" s="62">
        <f t="shared" si="2"/>
        <v>2</v>
      </c>
      <c r="F27" s="128">
        <v>127</v>
      </c>
      <c r="G27" s="129">
        <v>121.414913957935</v>
      </c>
      <c r="H27" s="129">
        <v>101.21657651246095</v>
      </c>
      <c r="I27" s="129">
        <v>144.46171978538521</v>
      </c>
      <c r="J27" s="129"/>
      <c r="K27" s="129"/>
      <c r="L27" s="129"/>
      <c r="M27" s="60">
        <f t="shared" si="0"/>
        <v>2</v>
      </c>
      <c r="N27" s="61">
        <f t="shared" si="3"/>
        <v>115.07936507936508</v>
      </c>
      <c r="O27" s="61">
        <f t="shared" si="16"/>
        <v>153.10492505353318</v>
      </c>
      <c r="P27" s="129">
        <f t="shared" si="4"/>
        <v>164.94697031982241</v>
      </c>
      <c r="Q27" s="129">
        <f t="shared" si="5"/>
        <v>161.3576149217844</v>
      </c>
      <c r="R27" s="129">
        <f t="shared" si="6"/>
        <v>168.59603999218825</v>
      </c>
      <c r="S27" s="61">
        <f t="shared" si="7"/>
        <v>179.57746478873241</v>
      </c>
      <c r="T27" s="61">
        <f t="shared" si="1"/>
        <v>231.45400593471811</v>
      </c>
      <c r="U27" s="61">
        <f t="shared" si="17"/>
        <v>161.40643747717669</v>
      </c>
      <c r="V27" s="61"/>
      <c r="Y27" s="163" t="s">
        <v>40</v>
      </c>
      <c r="Z27" s="163" t="s">
        <v>63</v>
      </c>
      <c r="AA27" s="163" t="s">
        <v>200</v>
      </c>
      <c r="AB27" s="163">
        <f t="shared" si="22"/>
        <v>8</v>
      </c>
      <c r="AC27" s="166">
        <f t="shared" si="23"/>
        <v>115.07936507936508</v>
      </c>
      <c r="AD27" s="166">
        <f t="shared" si="24"/>
        <v>231.45400593471811</v>
      </c>
      <c r="AE27" s="163"/>
      <c r="AF27" s="163">
        <f t="shared" si="10"/>
        <v>23</v>
      </c>
      <c r="AG27" s="168">
        <f t="shared" si="11"/>
        <v>318</v>
      </c>
      <c r="AH27" s="166">
        <f t="shared" si="12"/>
        <v>185.85622443015782</v>
      </c>
      <c r="AI27" s="166">
        <f t="shared" si="13"/>
        <v>165.9873991545897</v>
      </c>
      <c r="AJ27" s="166">
        <f t="shared" si="14"/>
        <v>207.44835204231427</v>
      </c>
      <c r="AK27" s="168">
        <f t="shared" si="15"/>
        <v>5</v>
      </c>
    </row>
    <row r="28" spans="1:37" x14ac:dyDescent="0.2">
      <c r="A28" s="62" t="s">
        <v>51</v>
      </c>
      <c r="B28" s="62" t="s">
        <v>71</v>
      </c>
      <c r="C28" s="62" t="s">
        <v>200</v>
      </c>
      <c r="D28" s="62"/>
      <c r="E28" s="62">
        <f t="shared" si="2"/>
        <v>26</v>
      </c>
      <c r="F28" s="128">
        <v>234</v>
      </c>
      <c r="G28" s="129">
        <v>231.45400593471811</v>
      </c>
      <c r="H28" s="129">
        <v>202.74506016943329</v>
      </c>
      <c r="I28" s="129">
        <v>263.08819914518898</v>
      </c>
      <c r="J28" s="129"/>
      <c r="K28" s="129"/>
      <c r="L28" s="129"/>
      <c r="M28" s="60">
        <f t="shared" si="0"/>
        <v>1</v>
      </c>
      <c r="N28" s="61">
        <f t="shared" si="3"/>
        <v>115.07936507936508</v>
      </c>
      <c r="O28" s="61">
        <f t="shared" si="16"/>
        <v>153.10492505353318</v>
      </c>
      <c r="P28" s="129">
        <f t="shared" si="4"/>
        <v>164.94697031982241</v>
      </c>
      <c r="Q28" s="129">
        <f t="shared" si="5"/>
        <v>161.3576149217844</v>
      </c>
      <c r="R28" s="129">
        <f t="shared" si="6"/>
        <v>168.59603999218825</v>
      </c>
      <c r="S28" s="61">
        <f t="shared" si="7"/>
        <v>179.57746478873241</v>
      </c>
      <c r="T28" s="61">
        <f t="shared" si="1"/>
        <v>231.45400593471811</v>
      </c>
      <c r="U28" s="61">
        <f t="shared" si="17"/>
        <v>168.89643020296285</v>
      </c>
      <c r="V28" s="61"/>
      <c r="Y28" s="163" t="s">
        <v>42</v>
      </c>
      <c r="Z28" s="163" t="s">
        <v>65</v>
      </c>
      <c r="AA28" s="163" t="s">
        <v>200</v>
      </c>
      <c r="AB28" s="163">
        <f t="shared" si="22"/>
        <v>1</v>
      </c>
      <c r="AC28" s="166">
        <f t="shared" si="23"/>
        <v>115.07936507936508</v>
      </c>
      <c r="AD28" s="166">
        <f t="shared" si="24"/>
        <v>231.45400593471811</v>
      </c>
      <c r="AE28" s="163"/>
      <c r="AF28" s="163">
        <f t="shared" si="10"/>
        <v>1</v>
      </c>
      <c r="AG28" s="168">
        <f t="shared" si="11"/>
        <v>116</v>
      </c>
      <c r="AH28" s="166">
        <f t="shared" si="12"/>
        <v>115.07936507936508</v>
      </c>
      <c r="AI28" s="166">
        <f t="shared" si="13"/>
        <v>95.090591770947796</v>
      </c>
      <c r="AJ28" s="166">
        <f t="shared" si="14"/>
        <v>138.02781577761633</v>
      </c>
      <c r="AK28" s="168">
        <f t="shared" si="15"/>
        <v>2</v>
      </c>
    </row>
    <row r="29" spans="1:37" x14ac:dyDescent="0.2">
      <c r="A29" s="62" t="s">
        <v>52</v>
      </c>
      <c r="B29" s="62" t="s">
        <v>72</v>
      </c>
      <c r="C29" s="62" t="s">
        <v>201</v>
      </c>
      <c r="D29" s="62"/>
      <c r="E29" s="62">
        <f t="shared" si="2"/>
        <v>6</v>
      </c>
      <c r="F29" s="128">
        <v>64</v>
      </c>
      <c r="G29" s="129">
        <v>132.78008298755188</v>
      </c>
      <c r="H29" s="129">
        <v>102.25173342111422</v>
      </c>
      <c r="I29" s="129">
        <v>169.55991574885422</v>
      </c>
      <c r="J29" s="129"/>
      <c r="K29" s="129"/>
      <c r="L29" s="129"/>
      <c r="M29" s="60">
        <f t="shared" si="0"/>
        <v>5</v>
      </c>
      <c r="N29" s="61">
        <f t="shared" si="3"/>
        <v>115.07936507936508</v>
      </c>
      <c r="O29" s="61">
        <f t="shared" si="16"/>
        <v>153.10492505353318</v>
      </c>
      <c r="P29" s="129">
        <f t="shared" si="4"/>
        <v>164.94697031982241</v>
      </c>
      <c r="Q29" s="129">
        <f t="shared" si="5"/>
        <v>161.3576149217844</v>
      </c>
      <c r="R29" s="129">
        <f t="shared" si="6"/>
        <v>168.59603999218825</v>
      </c>
      <c r="S29" s="61">
        <f t="shared" si="7"/>
        <v>179.57746478873241</v>
      </c>
      <c r="T29" s="61">
        <f t="shared" si="1"/>
        <v>231.45400593471811</v>
      </c>
      <c r="U29" s="61">
        <f t="shared" si="17"/>
        <v>165.46610169491524</v>
      </c>
      <c r="V29" s="61"/>
      <c r="Y29" s="163" t="s">
        <v>44</v>
      </c>
      <c r="Z29" s="163" t="s">
        <v>66</v>
      </c>
      <c r="AA29" s="163" t="s">
        <v>200</v>
      </c>
      <c r="AB29" s="163">
        <f t="shared" si="22"/>
        <v>7</v>
      </c>
      <c r="AC29" s="166">
        <f t="shared" si="23"/>
        <v>115.07936507936508</v>
      </c>
      <c r="AD29" s="166">
        <f t="shared" si="24"/>
        <v>231.45400593471811</v>
      </c>
      <c r="AE29" s="163"/>
      <c r="AF29" s="163">
        <f t="shared" si="10"/>
        <v>19</v>
      </c>
      <c r="AG29" s="168">
        <f t="shared" si="11"/>
        <v>133</v>
      </c>
      <c r="AH29" s="166">
        <f t="shared" si="12"/>
        <v>179.24528301886792</v>
      </c>
      <c r="AI29" s="166">
        <f t="shared" si="13"/>
        <v>150.07617969243341</v>
      </c>
      <c r="AJ29" s="166">
        <f t="shared" si="14"/>
        <v>212.42731867440966</v>
      </c>
      <c r="AK29" s="168">
        <f t="shared" si="15"/>
        <v>5</v>
      </c>
    </row>
    <row r="30" spans="1:37" x14ac:dyDescent="0.2">
      <c r="A30" s="62" t="s">
        <v>53</v>
      </c>
      <c r="B30" s="62" t="s">
        <v>162</v>
      </c>
      <c r="C30" s="62" t="s">
        <v>163</v>
      </c>
      <c r="D30" s="62"/>
      <c r="E30" s="62">
        <f t="shared" si="2"/>
        <v>25</v>
      </c>
      <c r="F30" s="128">
        <v>1103</v>
      </c>
      <c r="G30" s="129">
        <v>189.84509466437177</v>
      </c>
      <c r="H30" s="129">
        <v>178.80525664574765</v>
      </c>
      <c r="I30" s="129">
        <v>201.38813714966494</v>
      </c>
      <c r="J30" s="129"/>
      <c r="K30" s="129"/>
      <c r="L30" s="129"/>
      <c r="M30" s="60">
        <f t="shared" si="0"/>
        <v>1</v>
      </c>
      <c r="N30" s="61">
        <f t="shared" si="3"/>
        <v>115.07936507936508</v>
      </c>
      <c r="O30" s="61">
        <f t="shared" si="16"/>
        <v>153.10492505353318</v>
      </c>
      <c r="P30" s="129">
        <f>$G$32</f>
        <v>164.94697031982241</v>
      </c>
      <c r="Q30" s="129">
        <f t="shared" si="5"/>
        <v>161.3576149217844</v>
      </c>
      <c r="R30" s="129">
        <f t="shared" si="6"/>
        <v>168.59603999218825</v>
      </c>
      <c r="S30" s="61">
        <f t="shared" si="7"/>
        <v>179.57746478873241</v>
      </c>
      <c r="T30" s="61">
        <f t="shared" si="1"/>
        <v>231.45400593471811</v>
      </c>
      <c r="U30" s="61">
        <f t="shared" si="17"/>
        <v>161.40643747717669</v>
      </c>
      <c r="V30" s="61"/>
      <c r="Y30" s="163" t="s">
        <v>49</v>
      </c>
      <c r="Z30" s="163" t="s">
        <v>70</v>
      </c>
      <c r="AA30" s="163" t="s">
        <v>200</v>
      </c>
      <c r="AB30" s="163">
        <f t="shared" si="22"/>
        <v>6</v>
      </c>
      <c r="AC30" s="166">
        <f t="shared" si="23"/>
        <v>115.07936507936508</v>
      </c>
      <c r="AD30" s="166">
        <f t="shared" si="24"/>
        <v>231.45400593471811</v>
      </c>
      <c r="AE30" s="163"/>
      <c r="AF30" s="163">
        <f t="shared" si="10"/>
        <v>18</v>
      </c>
      <c r="AG30" s="168">
        <f t="shared" si="11"/>
        <v>248</v>
      </c>
      <c r="AH30" s="166">
        <f t="shared" si="12"/>
        <v>175.51309271054492</v>
      </c>
      <c r="AI30" s="166">
        <f t="shared" si="13"/>
        <v>154.34616318401785</v>
      </c>
      <c r="AJ30" s="166">
        <f t="shared" si="14"/>
        <v>198.77177390980697</v>
      </c>
      <c r="AK30" s="168">
        <f t="shared" si="15"/>
        <v>5</v>
      </c>
    </row>
    <row r="31" spans="1:37" x14ac:dyDescent="0.2">
      <c r="A31" s="62" t="s">
        <v>54</v>
      </c>
      <c r="B31" s="62" t="s">
        <v>73</v>
      </c>
      <c r="C31" s="62" t="s">
        <v>201</v>
      </c>
      <c r="D31" s="62"/>
      <c r="E31" s="62">
        <f t="shared" si="2"/>
        <v>8</v>
      </c>
      <c r="F31" s="128">
        <v>80</v>
      </c>
      <c r="G31" s="129">
        <v>156.55577299412914</v>
      </c>
      <c r="H31" s="129">
        <v>124.13477733622457</v>
      </c>
      <c r="I31" s="129">
        <v>194.84961330513184</v>
      </c>
      <c r="J31" s="129"/>
      <c r="K31" s="129"/>
      <c r="L31" s="129"/>
      <c r="M31" s="60">
        <f t="shared" si="0"/>
        <v>5</v>
      </c>
      <c r="N31" s="61">
        <f t="shared" si="3"/>
        <v>115.07936507936508</v>
      </c>
      <c r="O31" s="61">
        <f t="shared" si="16"/>
        <v>153.10492505353318</v>
      </c>
      <c r="P31" s="129">
        <f t="shared" si="4"/>
        <v>164.94697031982241</v>
      </c>
      <c r="Q31" s="129">
        <f t="shared" si="5"/>
        <v>161.3576149217844</v>
      </c>
      <c r="R31" s="129">
        <f t="shared" si="6"/>
        <v>168.59603999218825</v>
      </c>
      <c r="S31" s="61">
        <f t="shared" si="7"/>
        <v>179.57746478873241</v>
      </c>
      <c r="T31" s="61">
        <f t="shared" si="1"/>
        <v>231.45400593471811</v>
      </c>
      <c r="U31" s="61">
        <f t="shared" si="17"/>
        <v>165.46610169491524</v>
      </c>
      <c r="V31" s="61"/>
      <c r="Y31" s="163" t="s">
        <v>51</v>
      </c>
      <c r="Z31" s="163" t="s">
        <v>71</v>
      </c>
      <c r="AA31" s="163" t="s">
        <v>200</v>
      </c>
      <c r="AB31" s="163">
        <f t="shared" si="22"/>
        <v>9</v>
      </c>
      <c r="AC31" s="166">
        <f t="shared" si="23"/>
        <v>115.07936507936508</v>
      </c>
      <c r="AD31" s="166">
        <f t="shared" si="24"/>
        <v>231.45400593471811</v>
      </c>
      <c r="AE31" s="163"/>
      <c r="AF31" s="163">
        <f t="shared" si="10"/>
        <v>26</v>
      </c>
      <c r="AG31" s="168">
        <f t="shared" si="11"/>
        <v>234</v>
      </c>
      <c r="AH31" s="166">
        <f t="shared" si="12"/>
        <v>231.45400593471811</v>
      </c>
      <c r="AI31" s="166">
        <f t="shared" si="13"/>
        <v>202.74506016943329</v>
      </c>
      <c r="AJ31" s="166">
        <f t="shared" si="14"/>
        <v>263.08819914518898</v>
      </c>
      <c r="AK31" s="168">
        <f t="shared" si="15"/>
        <v>1</v>
      </c>
    </row>
    <row r="32" spans="1:37" x14ac:dyDescent="0.2">
      <c r="A32" s="62"/>
      <c r="B32" s="62" t="s">
        <v>171</v>
      </c>
      <c r="C32" s="62"/>
      <c r="D32" s="62"/>
      <c r="E32" s="62"/>
      <c r="F32" s="128">
        <v>8025</v>
      </c>
      <c r="G32" s="129">
        <v>164.94697031982241</v>
      </c>
      <c r="H32" s="129">
        <v>161.3576149217844</v>
      </c>
      <c r="I32" s="129">
        <v>168.59603999218825</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3094</v>
      </c>
      <c r="G44" s="344">
        <v>161.40643747717669</v>
      </c>
      <c r="H44" s="344">
        <v>155.76865859674683</v>
      </c>
      <c r="I44" s="344">
        <v>167.19612073181005</v>
      </c>
      <c r="J44" s="344">
        <f>VLOOKUP($C44,$AA$6:$AD$13,3,FALSE)</f>
        <v>121.414913957935</v>
      </c>
      <c r="K44" s="344">
        <f>VLOOKUP($C44,$AA$6:$AD$13,4,FALSE)</f>
        <v>189.84509466437177</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5</v>
      </c>
      <c r="N44" s="61">
        <f>MIN($G$6:$G$31)</f>
        <v>115.07936507936508</v>
      </c>
      <c r="O44" s="61">
        <f>VLOOKUP(7,$E$5:$G$39,3,FALSE)</f>
        <v>153.10492505353318</v>
      </c>
      <c r="P44" s="344">
        <f>$G$32</f>
        <v>164.94697031982241</v>
      </c>
      <c r="Q44" s="129">
        <f>$H$32</f>
        <v>161.3576149217844</v>
      </c>
      <c r="R44" s="129">
        <f>$I$32</f>
        <v>168.59603999218825</v>
      </c>
      <c r="S44" s="61">
        <f>VLOOKUP(20,$E$5:$G$39,3,FALSE)</f>
        <v>179.57746478873241</v>
      </c>
      <c r="T44" s="61">
        <f>MAX($G$6:$G$31)</f>
        <v>231.45400593471811</v>
      </c>
    </row>
    <row r="45" spans="1:22" x14ac:dyDescent="0.2">
      <c r="C45" s="62" t="s">
        <v>201</v>
      </c>
      <c r="D45" s="62"/>
      <c r="E45" s="62"/>
      <c r="F45" s="128">
        <v>2343</v>
      </c>
      <c r="G45" s="344">
        <v>165.46610169491524</v>
      </c>
      <c r="H45" s="344">
        <v>158.83327539318299</v>
      </c>
      <c r="I45" s="344">
        <v>172.30475146115913</v>
      </c>
      <c r="J45" s="344">
        <f>VLOOKUP($C45,$AA$14:$AD$22,3,FALSE)</f>
        <v>128.08177991581479</v>
      </c>
      <c r="K45" s="344">
        <f>VLOOKUP($C45,$AA$14:$AD$22,4,FALSE)</f>
        <v>189.13702784670528</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5</v>
      </c>
      <c r="N45" s="61">
        <f>MIN($G$6:$G$31)</f>
        <v>115.07936507936508</v>
      </c>
      <c r="O45" s="61">
        <f>VLOOKUP(7,$E$5:$G$39,3,FALSE)</f>
        <v>153.10492505353318</v>
      </c>
      <c r="P45" s="344">
        <f>$G$32</f>
        <v>164.94697031982241</v>
      </c>
      <c r="Q45" s="129">
        <f t="shared" ref="Q45:Q46" si="25">$H$32</f>
        <v>161.3576149217844</v>
      </c>
      <c r="R45" s="129">
        <f t="shared" ref="R45:R46" si="26">$I$32</f>
        <v>168.59603999218825</v>
      </c>
      <c r="S45" s="61">
        <f>VLOOKUP(20,$E$5:$G$39,3,FALSE)</f>
        <v>179.57746478873241</v>
      </c>
      <c r="T45" s="61">
        <f t="shared" ref="T45:T46" si="27">MAX($G$6:$G$31)</f>
        <v>231.45400593471811</v>
      </c>
    </row>
    <row r="46" spans="1:22" x14ac:dyDescent="0.2">
      <c r="C46" s="62" t="s">
        <v>200</v>
      </c>
      <c r="D46" s="62"/>
      <c r="E46" s="62"/>
      <c r="F46" s="128">
        <v>2588</v>
      </c>
      <c r="G46" s="344">
        <v>168.89643020296285</v>
      </c>
      <c r="H46" s="344">
        <v>162.45135686269757</v>
      </c>
      <c r="I46" s="344">
        <v>175.53164169080091</v>
      </c>
      <c r="J46" s="344">
        <f>VLOOKUP($C46,$AA$23:$AD$31,3,FALSE)</f>
        <v>115.07936507936508</v>
      </c>
      <c r="K46" s="344">
        <f>VLOOKUP($C46,$AA$23:$AD$31,4,FALSE)</f>
        <v>231.45400593471811</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5</v>
      </c>
      <c r="N46" s="61">
        <f>MIN($G$6:$G$31)</f>
        <v>115.07936507936508</v>
      </c>
      <c r="O46" s="61">
        <f>VLOOKUP(7,$E$5:$G$39,3,FALSE)</f>
        <v>153.10492505353318</v>
      </c>
      <c r="P46" s="344">
        <f t="shared" ref="P46" si="28">$G$32</f>
        <v>164.94697031982241</v>
      </c>
      <c r="Q46" s="129">
        <f t="shared" si="25"/>
        <v>161.3576149217844</v>
      </c>
      <c r="R46" s="129">
        <f t="shared" si="26"/>
        <v>168.59603999218825</v>
      </c>
      <c r="S46" s="61">
        <f>VLOOKUP(20,$E$5:$G$39,3,FALSE)</f>
        <v>179.57746478873241</v>
      </c>
      <c r="T46" s="61">
        <f t="shared" si="27"/>
        <v>231.45400593471811</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C2:D2" xr:uid="{00000000-0002-0000-3500-000000000000}">
      <formula1>"Better / Worse,Higher / Lower,Significance not measured"</formula1>
    </dataValidation>
    <dataValidation type="list" allowBlank="1" showInputMessage="1" showErrorMessage="1" sqref="K2:N2" xr:uid="{00000000-0002-0000-3500-000001000000}">
      <formula1>"High = Worst,Low = Worst"</formula1>
    </dataValidation>
  </dataValidations>
  <pageMargins left="0.75" right="0.75" top="1" bottom="1" header="0.5" footer="0.5"/>
  <pageSetup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4">
    <tabColor theme="6" tint="0.39997558519241921"/>
  </sheetPr>
  <dimension ref="A1:AK55"/>
  <sheetViews>
    <sheetView workbookViewId="0">
      <selection activeCell="A29" sqref="A29:XFD31"/>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8" width="7.33203125" style="21" customWidth="1"/>
    <col min="9" max="9" width="6.886718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5.554687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22</v>
      </c>
      <c r="F6" s="128">
        <v>66</v>
      </c>
      <c r="G6" s="129">
        <v>134.11908148750254</v>
      </c>
      <c r="H6" s="129">
        <v>103.72277512206207</v>
      </c>
      <c r="I6" s="129">
        <v>170.63499243214102</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5</v>
      </c>
      <c r="N6" s="61">
        <f>MIN($G$6:$G$32)</f>
        <v>37.650602409638552</v>
      </c>
      <c r="O6" s="61">
        <f>VLOOKUP(7,$E$5:$G$39,3,FALSE)</f>
        <v>99.502487562189046</v>
      </c>
      <c r="P6" s="129">
        <f>$G$32</f>
        <v>112.7210564426429</v>
      </c>
      <c r="Q6" s="129">
        <f>$H$32</f>
        <v>107.10660922412798</v>
      </c>
      <c r="R6" s="129">
        <f>$I$32</f>
        <v>118.55343472947511</v>
      </c>
      <c r="S6" s="61">
        <f>VLOOKUP(20,$E$5:$G$39,3,FALSE)</f>
        <v>124.58942122550685</v>
      </c>
      <c r="T6" s="61">
        <f t="shared" ref="T6:T31" si="1">MAX($G$6:$G$31)</f>
        <v>159.37605968124788</v>
      </c>
      <c r="U6" s="61">
        <f>VLOOKUP(C6,$C$43:$I$46,5,FALSE)</f>
        <v>106.44976389988263</v>
      </c>
      <c r="V6" s="61"/>
      <c r="Y6" s="159" t="s">
        <v>33</v>
      </c>
      <c r="Z6" s="159" t="s">
        <v>58</v>
      </c>
      <c r="AA6" s="159" t="s">
        <v>163</v>
      </c>
      <c r="AB6" s="159">
        <f>RANK(AH6,$AH$6:$AH$13,1)</f>
        <v>7</v>
      </c>
      <c r="AC6" s="164">
        <f>MIN($AH$6:$AH$13)</f>
        <v>105.15603799185889</v>
      </c>
      <c r="AD6" s="164">
        <f>MAX($AH$6:$AH$13)</f>
        <v>140.4741000877963</v>
      </c>
      <c r="AE6" s="159"/>
      <c r="AF6" s="159">
        <f>VLOOKUP($Y6,$A$6:$I$31,5,FALSE)</f>
        <v>21</v>
      </c>
      <c r="AG6" s="160">
        <f>VLOOKUP($Y6,$A$6:$I$31,6,FALSE)</f>
        <v>108</v>
      </c>
      <c r="AH6" s="161">
        <f>VLOOKUP($Y6,$A$6:$I$31,7,FALSE)</f>
        <v>130.60829604547104</v>
      </c>
      <c r="AI6" s="161">
        <f>VLOOKUP($Y6,$A$6:$I$31,8,FALSE)</f>
        <v>107.13833744457121</v>
      </c>
      <c r="AJ6" s="161">
        <f>VLOOKUP($Y6,$A$6:$I$31,9,FALSE)</f>
        <v>157.68995651024528</v>
      </c>
      <c r="AK6" s="160">
        <f>VLOOKUP($Y6,$A$6:$M$31,13,FALSE)</f>
        <v>5</v>
      </c>
    </row>
    <row r="7" spans="1:37" x14ac:dyDescent="0.2">
      <c r="A7" s="62" t="s">
        <v>30</v>
      </c>
      <c r="B7" s="62" t="s">
        <v>56</v>
      </c>
      <c r="C7" s="62" t="s">
        <v>200</v>
      </c>
      <c r="D7" s="62"/>
      <c r="E7" s="62">
        <f t="shared" ref="E7:E31" si="2">RANK(G7,$G$6:$G$31,1)</f>
        <v>26</v>
      </c>
      <c r="F7" s="128">
        <v>94</v>
      </c>
      <c r="G7" s="129">
        <v>159.37605968124788</v>
      </c>
      <c r="H7" s="129">
        <v>128.78876275970694</v>
      </c>
      <c r="I7" s="129">
        <v>195.03791258016741</v>
      </c>
      <c r="J7" s="129"/>
      <c r="K7" s="129"/>
      <c r="L7" s="129"/>
      <c r="M7" s="60">
        <f t="shared" si="0"/>
        <v>1</v>
      </c>
      <c r="N7" s="61">
        <f t="shared" ref="N7:N31" si="3">MIN($G$6:$G$32)</f>
        <v>37.650602409638552</v>
      </c>
      <c r="O7" s="61">
        <f>VLOOKUP(7,$E$5:$G$39,3,FALSE)</f>
        <v>99.502487562189046</v>
      </c>
      <c r="P7" s="129">
        <f t="shared" ref="P7:P31" si="4">$G$32</f>
        <v>112.7210564426429</v>
      </c>
      <c r="Q7" s="129">
        <f t="shared" ref="Q7:Q31" si="5">$H$32</f>
        <v>107.10660922412798</v>
      </c>
      <c r="R7" s="129">
        <f t="shared" ref="R7:R31" si="6">$I$32</f>
        <v>118.55343472947511</v>
      </c>
      <c r="S7" s="61">
        <f t="shared" ref="S7:S31" si="7">VLOOKUP(20,$E$5:$G$39,3,FALSE)</f>
        <v>124.58942122550685</v>
      </c>
      <c r="T7" s="61">
        <f t="shared" si="1"/>
        <v>159.37605968124788</v>
      </c>
      <c r="U7" s="61">
        <f>VLOOKUP(C7,$C$43:$I$46,5,FALSE)</f>
        <v>112.88180610889775</v>
      </c>
      <c r="V7" s="61"/>
      <c r="Y7" s="159" t="s">
        <v>35</v>
      </c>
      <c r="Z7" s="159" t="s">
        <v>60</v>
      </c>
      <c r="AA7" s="159" t="s">
        <v>163</v>
      </c>
      <c r="AB7" s="159">
        <f t="shared" ref="AB7:AB12" si="8">RANK(AH7,$AH$6:$AH$13,1)</f>
        <v>6</v>
      </c>
      <c r="AC7" s="164">
        <f>MIN($AH$6:$AH$13)</f>
        <v>105.15603799185889</v>
      </c>
      <c r="AD7" s="164">
        <f t="shared" ref="AD7:AD13" si="9">MAX($AH$6:$AH$13)</f>
        <v>140.4741000877963</v>
      </c>
      <c r="AE7" s="159"/>
      <c r="AF7" s="159">
        <f t="shared" ref="AF7:AF31" si="10">VLOOKUP($Y7,$A$6:$I$31,5,FALSE)</f>
        <v>19</v>
      </c>
      <c r="AG7" s="160">
        <f t="shared" ref="AG7:AG31" si="11">VLOOKUP($Y7,$A$6:$I$31,6,FALSE)</f>
        <v>84</v>
      </c>
      <c r="AH7" s="161">
        <f t="shared" ref="AH7:AH31" si="12">VLOOKUP($Y7,$A$6:$I$31,7,FALSE)</f>
        <v>120.36108324974924</v>
      </c>
      <c r="AI7" s="161">
        <f t="shared" ref="AI7:AI31" si="13">VLOOKUP($Y7,$A$6:$I$31,8,FALSE)</f>
        <v>96.001716929071662</v>
      </c>
      <c r="AJ7" s="161">
        <f t="shared" ref="AJ7:AJ31" si="14">VLOOKUP($Y7,$A$6:$I$31,9,FALSE)</f>
        <v>149.01694377405718</v>
      </c>
      <c r="AK7" s="160">
        <f t="shared" ref="AK7:AK31" si="15">VLOOKUP($Y7,$A$6:$M$31,13,FALSE)</f>
        <v>5</v>
      </c>
    </row>
    <row r="8" spans="1:37" x14ac:dyDescent="0.2">
      <c r="A8" s="62" t="s">
        <v>31</v>
      </c>
      <c r="B8" s="62" t="s">
        <v>57</v>
      </c>
      <c r="C8" s="62" t="s">
        <v>200</v>
      </c>
      <c r="D8" s="62"/>
      <c r="E8" s="62">
        <f t="shared" si="2"/>
        <v>17</v>
      </c>
      <c r="F8" s="128">
        <v>70</v>
      </c>
      <c r="G8" s="129">
        <v>117.64705882352941</v>
      </c>
      <c r="H8" s="129">
        <v>91.707732633705959</v>
      </c>
      <c r="I8" s="129">
        <v>148.64212626669016</v>
      </c>
      <c r="J8" s="129"/>
      <c r="K8" s="129"/>
      <c r="L8" s="129"/>
      <c r="M8" s="60">
        <f t="shared" si="0"/>
        <v>5</v>
      </c>
      <c r="N8" s="61">
        <f t="shared" si="3"/>
        <v>37.650602409638552</v>
      </c>
      <c r="O8" s="61">
        <f t="shared" ref="O8:O31" si="16">VLOOKUP(7,$E$5:$G$39,3,FALSE)</f>
        <v>99.502487562189046</v>
      </c>
      <c r="P8" s="129">
        <f t="shared" si="4"/>
        <v>112.7210564426429</v>
      </c>
      <c r="Q8" s="129">
        <f t="shared" si="5"/>
        <v>107.10660922412798</v>
      </c>
      <c r="R8" s="129">
        <f t="shared" si="6"/>
        <v>118.55343472947511</v>
      </c>
      <c r="S8" s="61">
        <f t="shared" si="7"/>
        <v>124.58942122550685</v>
      </c>
      <c r="T8" s="61">
        <f t="shared" si="1"/>
        <v>159.37605968124788</v>
      </c>
      <c r="U8" s="61">
        <f t="shared" ref="U8:U31" si="17">VLOOKUP(C8,$C$43:$I$46,5,FALSE)</f>
        <v>112.88180610889775</v>
      </c>
      <c r="V8" s="61"/>
      <c r="Y8" s="159" t="s">
        <v>41</v>
      </c>
      <c r="Z8" s="159" t="s">
        <v>64</v>
      </c>
      <c r="AA8" s="159" t="s">
        <v>163</v>
      </c>
      <c r="AB8" s="159">
        <f t="shared" si="8"/>
        <v>4</v>
      </c>
      <c r="AC8" s="164">
        <f t="shared" ref="AC8:AC13" si="18">MIN($AH$6:$AH$13)</f>
        <v>105.15603799185889</v>
      </c>
      <c r="AD8" s="164">
        <f>MAX($AH$6:$AH$13)</f>
        <v>140.4741000877963</v>
      </c>
      <c r="AE8" s="159"/>
      <c r="AF8" s="159">
        <f t="shared" si="10"/>
        <v>16</v>
      </c>
      <c r="AG8" s="160">
        <f t="shared" si="11"/>
        <v>75</v>
      </c>
      <c r="AH8" s="161">
        <f t="shared" si="12"/>
        <v>115.15430677107324</v>
      </c>
      <c r="AI8" s="161">
        <f t="shared" si="13"/>
        <v>90.572730516768374</v>
      </c>
      <c r="AJ8" s="161">
        <f t="shared" si="14"/>
        <v>144.34884180048783</v>
      </c>
      <c r="AK8" s="160">
        <f t="shared" si="15"/>
        <v>5</v>
      </c>
    </row>
    <row r="9" spans="1:37" x14ac:dyDescent="0.2">
      <c r="A9" s="62" t="s">
        <v>32</v>
      </c>
      <c r="B9" s="62" t="s">
        <v>156</v>
      </c>
      <c r="C9" s="62" t="s">
        <v>201</v>
      </c>
      <c r="D9" s="62"/>
      <c r="E9" s="62">
        <f t="shared" si="2"/>
        <v>20</v>
      </c>
      <c r="F9" s="128">
        <v>110</v>
      </c>
      <c r="G9" s="129">
        <v>124.58942122550685</v>
      </c>
      <c r="H9" s="129">
        <v>102.39533283951553</v>
      </c>
      <c r="I9" s="129">
        <v>150.16519974555979</v>
      </c>
      <c r="J9" s="129"/>
      <c r="K9" s="129"/>
      <c r="L9" s="129"/>
      <c r="M9" s="60">
        <f t="shared" si="0"/>
        <v>5</v>
      </c>
      <c r="N9" s="61">
        <f t="shared" si="3"/>
        <v>37.650602409638552</v>
      </c>
      <c r="O9" s="61">
        <f t="shared" si="16"/>
        <v>99.502487562189046</v>
      </c>
      <c r="P9" s="129">
        <f t="shared" si="4"/>
        <v>112.7210564426429</v>
      </c>
      <c r="Q9" s="129">
        <f t="shared" si="5"/>
        <v>107.10660922412798</v>
      </c>
      <c r="R9" s="129">
        <f t="shared" si="6"/>
        <v>118.55343472947511</v>
      </c>
      <c r="S9" s="61">
        <f t="shared" si="7"/>
        <v>124.58942122550685</v>
      </c>
      <c r="T9" s="61">
        <f t="shared" si="1"/>
        <v>159.37605968124788</v>
      </c>
      <c r="U9" s="61">
        <f t="shared" si="17"/>
        <v>106.44976389988263</v>
      </c>
      <c r="V9" s="61"/>
      <c r="X9" s="63"/>
      <c r="Y9" s="159" t="s">
        <v>45</v>
      </c>
      <c r="Z9" s="159" t="s">
        <v>67</v>
      </c>
      <c r="AA9" s="159" t="s">
        <v>163</v>
      </c>
      <c r="AB9" s="159">
        <f t="shared" si="8"/>
        <v>8</v>
      </c>
      <c r="AC9" s="164">
        <f t="shared" si="18"/>
        <v>105.15603799185889</v>
      </c>
      <c r="AD9" s="164">
        <f t="shared" si="9"/>
        <v>140.4741000877963</v>
      </c>
      <c r="AE9" s="159"/>
      <c r="AF9" s="159">
        <f t="shared" si="10"/>
        <v>23</v>
      </c>
      <c r="AG9" s="160">
        <f t="shared" si="11"/>
        <v>64</v>
      </c>
      <c r="AH9" s="161">
        <f t="shared" si="12"/>
        <v>140.4741000877963</v>
      </c>
      <c r="AI9" s="161">
        <f t="shared" si="13"/>
        <v>108.17676801794788</v>
      </c>
      <c r="AJ9" s="161">
        <f t="shared" si="14"/>
        <v>179.38516108636466</v>
      </c>
      <c r="AK9" s="160">
        <f t="shared" si="15"/>
        <v>5</v>
      </c>
    </row>
    <row r="10" spans="1:37" x14ac:dyDescent="0.2">
      <c r="A10" s="62" t="s">
        <v>33</v>
      </c>
      <c r="B10" s="62" t="s">
        <v>58</v>
      </c>
      <c r="C10" s="62" t="s">
        <v>163</v>
      </c>
      <c r="D10" s="62"/>
      <c r="E10" s="62">
        <f t="shared" si="2"/>
        <v>21</v>
      </c>
      <c r="F10" s="128">
        <v>108</v>
      </c>
      <c r="G10" s="129">
        <v>130.60829604547104</v>
      </c>
      <c r="H10" s="129">
        <v>107.13833744457121</v>
      </c>
      <c r="I10" s="129">
        <v>157.68995651024528</v>
      </c>
      <c r="J10" s="129"/>
      <c r="K10" s="129"/>
      <c r="L10" s="129"/>
      <c r="M10" s="60">
        <f t="shared" si="0"/>
        <v>5</v>
      </c>
      <c r="N10" s="61">
        <f t="shared" si="3"/>
        <v>37.650602409638552</v>
      </c>
      <c r="O10" s="61">
        <f t="shared" si="16"/>
        <v>99.502487562189046</v>
      </c>
      <c r="P10" s="129">
        <f t="shared" si="4"/>
        <v>112.7210564426429</v>
      </c>
      <c r="Q10" s="129">
        <f t="shared" si="5"/>
        <v>107.10660922412798</v>
      </c>
      <c r="R10" s="129">
        <f t="shared" si="6"/>
        <v>118.55343472947511</v>
      </c>
      <c r="S10" s="61">
        <f t="shared" si="7"/>
        <v>124.58942122550685</v>
      </c>
      <c r="T10" s="61">
        <f t="shared" si="1"/>
        <v>159.37605968124788</v>
      </c>
      <c r="U10" s="61">
        <f t="shared" si="17"/>
        <v>116.8729495973755</v>
      </c>
      <c r="V10" s="61"/>
      <c r="Y10" s="159" t="s">
        <v>46</v>
      </c>
      <c r="Z10" s="159" t="s">
        <v>68</v>
      </c>
      <c r="AA10" s="159" t="s">
        <v>163</v>
      </c>
      <c r="AB10" s="159">
        <f t="shared" si="8"/>
        <v>3</v>
      </c>
      <c r="AC10" s="164">
        <f t="shared" si="18"/>
        <v>105.15603799185889</v>
      </c>
      <c r="AD10" s="164">
        <f t="shared" si="9"/>
        <v>140.4741000877963</v>
      </c>
      <c r="AE10" s="159"/>
      <c r="AF10" s="159">
        <f t="shared" si="10"/>
        <v>15</v>
      </c>
      <c r="AG10" s="160">
        <f t="shared" si="11"/>
        <v>64</v>
      </c>
      <c r="AH10" s="161">
        <f t="shared" si="12"/>
        <v>112.47803163444641</v>
      </c>
      <c r="AI10" s="161">
        <f t="shared" si="13"/>
        <v>86.617461351453528</v>
      </c>
      <c r="AJ10" s="161">
        <f t="shared" si="14"/>
        <v>143.63423443048811</v>
      </c>
      <c r="AK10" s="160">
        <f t="shared" si="15"/>
        <v>5</v>
      </c>
    </row>
    <row r="11" spans="1:37" x14ac:dyDescent="0.2">
      <c r="A11" s="62" t="s">
        <v>34</v>
      </c>
      <c r="B11" s="62" t="s">
        <v>59</v>
      </c>
      <c r="C11" s="62" t="s">
        <v>200</v>
      </c>
      <c r="D11" s="62"/>
      <c r="E11" s="62">
        <f t="shared" si="2"/>
        <v>8</v>
      </c>
      <c r="F11" s="128">
        <v>98</v>
      </c>
      <c r="G11" s="129">
        <v>102.13652944241792</v>
      </c>
      <c r="H11" s="129">
        <v>82.917382646120544</v>
      </c>
      <c r="I11" s="129">
        <v>124.47291474753258</v>
      </c>
      <c r="J11" s="129"/>
      <c r="K11" s="129"/>
      <c r="L11" s="129"/>
      <c r="M11" s="60">
        <f t="shared" si="0"/>
        <v>5</v>
      </c>
      <c r="N11" s="61">
        <f t="shared" si="3"/>
        <v>37.650602409638552</v>
      </c>
      <c r="O11" s="61">
        <f t="shared" si="16"/>
        <v>99.502487562189046</v>
      </c>
      <c r="P11" s="129">
        <f t="shared" si="4"/>
        <v>112.7210564426429</v>
      </c>
      <c r="Q11" s="129">
        <f t="shared" si="5"/>
        <v>107.10660922412798</v>
      </c>
      <c r="R11" s="129">
        <f t="shared" si="6"/>
        <v>118.55343472947511</v>
      </c>
      <c r="S11" s="61">
        <f t="shared" si="7"/>
        <v>124.58942122550685</v>
      </c>
      <c r="T11" s="61">
        <f t="shared" si="1"/>
        <v>159.37605968124788</v>
      </c>
      <c r="U11" s="61">
        <f t="shared" si="17"/>
        <v>112.88180610889775</v>
      </c>
      <c r="V11" s="61"/>
      <c r="Y11" s="159" t="s">
        <v>47</v>
      </c>
      <c r="Z11" s="159" t="s">
        <v>69</v>
      </c>
      <c r="AA11" s="159" t="s">
        <v>163</v>
      </c>
      <c r="AB11" s="159">
        <f t="shared" si="8"/>
        <v>5</v>
      </c>
      <c r="AC11" s="164">
        <f t="shared" si="18"/>
        <v>105.15603799185889</v>
      </c>
      <c r="AD11" s="164">
        <f t="shared" si="9"/>
        <v>140.4741000877963</v>
      </c>
      <c r="AE11" s="159"/>
      <c r="AF11" s="159">
        <f t="shared" si="10"/>
        <v>18</v>
      </c>
      <c r="AG11" s="160">
        <f t="shared" si="11"/>
        <v>36</v>
      </c>
      <c r="AH11" s="161">
        <f t="shared" si="12"/>
        <v>117.83960720130933</v>
      </c>
      <c r="AI11" s="161">
        <f t="shared" si="13"/>
        <v>82.52192419960366</v>
      </c>
      <c r="AJ11" s="161">
        <f t="shared" si="14"/>
        <v>163.14451965892806</v>
      </c>
      <c r="AK11" s="160">
        <f t="shared" si="15"/>
        <v>5</v>
      </c>
    </row>
    <row r="12" spans="1:37" x14ac:dyDescent="0.2">
      <c r="A12" s="62" t="s">
        <v>35</v>
      </c>
      <c r="B12" s="62" t="s">
        <v>60</v>
      </c>
      <c r="C12" s="62" t="s">
        <v>163</v>
      </c>
      <c r="D12" s="62"/>
      <c r="E12" s="62">
        <f t="shared" si="2"/>
        <v>19</v>
      </c>
      <c r="F12" s="128">
        <v>84</v>
      </c>
      <c r="G12" s="129">
        <v>120.36108324974924</v>
      </c>
      <c r="H12" s="129">
        <v>96.001716929071662</v>
      </c>
      <c r="I12" s="129">
        <v>149.01694377405718</v>
      </c>
      <c r="J12" s="129"/>
      <c r="K12" s="129"/>
      <c r="L12" s="129"/>
      <c r="M12" s="60">
        <f t="shared" si="0"/>
        <v>5</v>
      </c>
      <c r="N12" s="61">
        <f t="shared" si="3"/>
        <v>37.650602409638552</v>
      </c>
      <c r="O12" s="61">
        <f t="shared" si="16"/>
        <v>99.502487562189046</v>
      </c>
      <c r="P12" s="129">
        <f t="shared" si="4"/>
        <v>112.7210564426429</v>
      </c>
      <c r="Q12" s="129">
        <f t="shared" si="5"/>
        <v>107.10660922412798</v>
      </c>
      <c r="R12" s="129">
        <f t="shared" si="6"/>
        <v>118.55343472947511</v>
      </c>
      <c r="S12" s="61">
        <f t="shared" si="7"/>
        <v>124.58942122550685</v>
      </c>
      <c r="T12" s="61">
        <f t="shared" si="1"/>
        <v>159.37605968124788</v>
      </c>
      <c r="U12" s="61">
        <f t="shared" si="17"/>
        <v>116.8729495973755</v>
      </c>
      <c r="V12" s="61"/>
      <c r="Y12" s="159" t="s">
        <v>50</v>
      </c>
      <c r="Z12" s="159" t="s">
        <v>161</v>
      </c>
      <c r="AA12" s="159" t="s">
        <v>163</v>
      </c>
      <c r="AB12" s="159">
        <f t="shared" si="8"/>
        <v>1</v>
      </c>
      <c r="AC12" s="164">
        <f t="shared" si="18"/>
        <v>105.15603799185889</v>
      </c>
      <c r="AD12" s="164">
        <f t="shared" si="9"/>
        <v>140.4741000877963</v>
      </c>
      <c r="AE12" s="159"/>
      <c r="AF12" s="159">
        <f t="shared" si="10"/>
        <v>10</v>
      </c>
      <c r="AG12" s="160">
        <f t="shared" si="11"/>
        <v>31</v>
      </c>
      <c r="AH12" s="161">
        <f t="shared" si="12"/>
        <v>105.15603799185889</v>
      </c>
      <c r="AI12" s="161">
        <f t="shared" si="13"/>
        <v>71.435350939043573</v>
      </c>
      <c r="AJ12" s="161">
        <f t="shared" si="14"/>
        <v>149.26569804944188</v>
      </c>
      <c r="AK12" s="160">
        <f t="shared" si="15"/>
        <v>5</v>
      </c>
    </row>
    <row r="13" spans="1:37" x14ac:dyDescent="0.2">
      <c r="A13" s="62" t="s">
        <v>36</v>
      </c>
      <c r="B13" s="62" t="s">
        <v>61</v>
      </c>
      <c r="C13" s="62" t="s">
        <v>201</v>
      </c>
      <c r="D13" s="62"/>
      <c r="E13" s="62">
        <f t="shared" si="2"/>
        <v>2</v>
      </c>
      <c r="F13" s="128">
        <v>9</v>
      </c>
      <c r="G13" s="129">
        <v>46.632124352331601</v>
      </c>
      <c r="H13" s="129">
        <v>21.279197015612095</v>
      </c>
      <c r="I13" s="129">
        <v>88.527361080500953</v>
      </c>
      <c r="J13" s="129"/>
      <c r="K13" s="129"/>
      <c r="L13" s="129"/>
      <c r="M13" s="60">
        <f t="shared" si="0"/>
        <v>2</v>
      </c>
      <c r="N13" s="61">
        <f t="shared" si="3"/>
        <v>37.650602409638552</v>
      </c>
      <c r="O13" s="61">
        <f t="shared" si="16"/>
        <v>99.502487562189046</v>
      </c>
      <c r="P13" s="129">
        <f t="shared" si="4"/>
        <v>112.7210564426429</v>
      </c>
      <c r="Q13" s="129">
        <f t="shared" si="5"/>
        <v>107.10660922412798</v>
      </c>
      <c r="R13" s="129">
        <f t="shared" si="6"/>
        <v>118.55343472947511</v>
      </c>
      <c r="S13" s="61">
        <f t="shared" si="7"/>
        <v>124.58942122550685</v>
      </c>
      <c r="T13" s="61">
        <f t="shared" si="1"/>
        <v>159.37605968124788</v>
      </c>
      <c r="U13" s="61">
        <f t="shared" si="17"/>
        <v>106.44976389988263</v>
      </c>
      <c r="V13" s="61"/>
      <c r="Y13" s="159" t="s">
        <v>53</v>
      </c>
      <c r="Z13" s="159" t="s">
        <v>162</v>
      </c>
      <c r="AA13" s="159" t="s">
        <v>163</v>
      </c>
      <c r="AB13" s="159">
        <f>RANK(AH13,$AH$6:$AH$13,1)</f>
        <v>2</v>
      </c>
      <c r="AC13" s="164">
        <f t="shared" si="18"/>
        <v>105.15603799185889</v>
      </c>
      <c r="AD13" s="164">
        <f t="shared" si="9"/>
        <v>140.4741000877963</v>
      </c>
      <c r="AE13" s="159"/>
      <c r="AF13" s="159">
        <f t="shared" si="10"/>
        <v>11</v>
      </c>
      <c r="AG13" s="160">
        <f t="shared" si="11"/>
        <v>165</v>
      </c>
      <c r="AH13" s="161">
        <f t="shared" si="12"/>
        <v>105.51221383808672</v>
      </c>
      <c r="AI13" s="161">
        <f t="shared" si="13"/>
        <v>90.02590409745838</v>
      </c>
      <c r="AJ13" s="161">
        <f t="shared" si="14"/>
        <v>122.89726187053982</v>
      </c>
      <c r="AK13" s="160">
        <f t="shared" si="15"/>
        <v>5</v>
      </c>
    </row>
    <row r="14" spans="1:37" x14ac:dyDescent="0.2">
      <c r="A14" s="62" t="s">
        <v>37</v>
      </c>
      <c r="B14" s="62" t="s">
        <v>157</v>
      </c>
      <c r="C14" s="62" t="s">
        <v>201</v>
      </c>
      <c r="D14" s="62"/>
      <c r="E14" s="62">
        <f t="shared" si="2"/>
        <v>6</v>
      </c>
      <c r="F14" s="128">
        <v>78</v>
      </c>
      <c r="G14" s="129">
        <v>95.834869148544044</v>
      </c>
      <c r="H14" s="129">
        <v>75.750801004671104</v>
      </c>
      <c r="I14" s="129">
        <v>119.60777349165227</v>
      </c>
      <c r="J14" s="129"/>
      <c r="K14" s="129"/>
      <c r="L14" s="129"/>
      <c r="M14" s="60">
        <f t="shared" si="0"/>
        <v>5</v>
      </c>
      <c r="N14" s="61">
        <f t="shared" si="3"/>
        <v>37.650602409638552</v>
      </c>
      <c r="O14" s="61">
        <f t="shared" si="16"/>
        <v>99.502487562189046</v>
      </c>
      <c r="P14" s="129">
        <f t="shared" si="4"/>
        <v>112.7210564426429</v>
      </c>
      <c r="Q14" s="129">
        <f t="shared" si="5"/>
        <v>107.10660922412798</v>
      </c>
      <c r="R14" s="129">
        <f t="shared" si="6"/>
        <v>118.55343472947511</v>
      </c>
      <c r="S14" s="61">
        <f t="shared" si="7"/>
        <v>124.58942122550685</v>
      </c>
      <c r="T14" s="61">
        <f t="shared" si="1"/>
        <v>159.37605968124788</v>
      </c>
      <c r="U14" s="61">
        <f t="shared" si="17"/>
        <v>106.44976389988263</v>
      </c>
      <c r="V14" s="61"/>
      <c r="Y14" s="162" t="s">
        <v>29</v>
      </c>
      <c r="Z14" s="162" t="s">
        <v>55</v>
      </c>
      <c r="AA14" s="162" t="s">
        <v>201</v>
      </c>
      <c r="AB14" s="162">
        <f>RANK(AH14,$AH$14:$AH$22,1)</f>
        <v>8</v>
      </c>
      <c r="AC14" s="165">
        <f t="shared" ref="AC14:AC22" si="19">MIN($AH$14:$AH$22)</f>
        <v>37.650602409638552</v>
      </c>
      <c r="AD14" s="165">
        <f>MAX($AH$14:$AH$22)</f>
        <v>145.46810891458412</v>
      </c>
      <c r="AE14" s="162"/>
      <c r="AF14" s="162">
        <f t="shared" si="10"/>
        <v>22</v>
      </c>
      <c r="AG14" s="167">
        <f t="shared" si="11"/>
        <v>66</v>
      </c>
      <c r="AH14" s="165">
        <f t="shared" si="12"/>
        <v>134.11908148750254</v>
      </c>
      <c r="AI14" s="165">
        <f t="shared" si="13"/>
        <v>103.72277512206207</v>
      </c>
      <c r="AJ14" s="165">
        <f t="shared" si="14"/>
        <v>170.63499243214102</v>
      </c>
      <c r="AK14" s="167">
        <f t="shared" si="15"/>
        <v>5</v>
      </c>
    </row>
    <row r="15" spans="1:37" x14ac:dyDescent="0.2">
      <c r="A15" s="62" t="s">
        <v>38</v>
      </c>
      <c r="B15" s="62" t="s">
        <v>62</v>
      </c>
      <c r="C15" s="62" t="s">
        <v>201</v>
      </c>
      <c r="D15" s="62"/>
      <c r="E15" s="62">
        <f t="shared" si="2"/>
        <v>4</v>
      </c>
      <c r="F15" s="128">
        <v>26</v>
      </c>
      <c r="G15" s="129">
        <v>82.148499210110586</v>
      </c>
      <c r="H15" s="129">
        <v>53.648517553217367</v>
      </c>
      <c r="I15" s="129">
        <v>120.37138119583663</v>
      </c>
      <c r="J15" s="129"/>
      <c r="K15" s="129"/>
      <c r="L15" s="129"/>
      <c r="M15" s="60">
        <f t="shared" si="0"/>
        <v>5</v>
      </c>
      <c r="N15" s="61">
        <f t="shared" si="3"/>
        <v>37.650602409638552</v>
      </c>
      <c r="O15" s="61">
        <f t="shared" si="16"/>
        <v>99.502487562189046</v>
      </c>
      <c r="P15" s="129">
        <f t="shared" si="4"/>
        <v>112.7210564426429</v>
      </c>
      <c r="Q15" s="129">
        <f t="shared" si="5"/>
        <v>107.10660922412798</v>
      </c>
      <c r="R15" s="129">
        <f t="shared" si="6"/>
        <v>118.55343472947511</v>
      </c>
      <c r="S15" s="61">
        <f t="shared" si="7"/>
        <v>124.58942122550685</v>
      </c>
      <c r="T15" s="61">
        <f t="shared" si="1"/>
        <v>159.37605968124788</v>
      </c>
      <c r="U15" s="61">
        <f t="shared" si="17"/>
        <v>106.44976389988263</v>
      </c>
      <c r="V15" s="61"/>
      <c r="Y15" s="162" t="s">
        <v>32</v>
      </c>
      <c r="Z15" s="162" t="s">
        <v>156</v>
      </c>
      <c r="AA15" s="162" t="s">
        <v>201</v>
      </c>
      <c r="AB15" s="162">
        <f>RANK(AH15,$AH$14:$AH$22,1)</f>
        <v>7</v>
      </c>
      <c r="AC15" s="165">
        <f t="shared" si="19"/>
        <v>37.650602409638552</v>
      </c>
      <c r="AD15" s="165">
        <f t="shared" ref="AD15:AD22" si="20">MAX($AH$14:$AH$22)</f>
        <v>145.46810891458412</v>
      </c>
      <c r="AE15" s="162"/>
      <c r="AF15" s="162">
        <f t="shared" si="10"/>
        <v>20</v>
      </c>
      <c r="AG15" s="167">
        <f t="shared" si="11"/>
        <v>110</v>
      </c>
      <c r="AH15" s="165">
        <f t="shared" si="12"/>
        <v>124.58942122550685</v>
      </c>
      <c r="AI15" s="165">
        <f t="shared" si="13"/>
        <v>102.39533283951553</v>
      </c>
      <c r="AJ15" s="165">
        <f t="shared" si="14"/>
        <v>150.16519974555979</v>
      </c>
      <c r="AK15" s="167">
        <f t="shared" si="15"/>
        <v>5</v>
      </c>
    </row>
    <row r="16" spans="1:37" x14ac:dyDescent="0.2">
      <c r="A16" s="62" t="s">
        <v>39</v>
      </c>
      <c r="B16" s="62" t="s">
        <v>158</v>
      </c>
      <c r="C16" s="62" t="s">
        <v>200</v>
      </c>
      <c r="D16" s="62"/>
      <c r="E16" s="62">
        <f t="shared" si="2"/>
        <v>5</v>
      </c>
      <c r="F16" s="128">
        <v>53</v>
      </c>
      <c r="G16" s="129">
        <v>85.539057456423507</v>
      </c>
      <c r="H16" s="129">
        <v>64.070164787819323</v>
      </c>
      <c r="I16" s="129">
        <v>111.88940708202894</v>
      </c>
      <c r="J16" s="129"/>
      <c r="K16" s="129"/>
      <c r="L16" s="129"/>
      <c r="M16" s="60">
        <f t="shared" si="0"/>
        <v>5</v>
      </c>
      <c r="N16" s="61">
        <f t="shared" si="3"/>
        <v>37.650602409638552</v>
      </c>
      <c r="O16" s="61">
        <f t="shared" si="16"/>
        <v>99.502487562189046</v>
      </c>
      <c r="P16" s="129">
        <f t="shared" si="4"/>
        <v>112.7210564426429</v>
      </c>
      <c r="Q16" s="129">
        <f t="shared" si="5"/>
        <v>107.10660922412798</v>
      </c>
      <c r="R16" s="129">
        <f t="shared" si="6"/>
        <v>118.55343472947511</v>
      </c>
      <c r="S16" s="61">
        <f t="shared" si="7"/>
        <v>124.58942122550685</v>
      </c>
      <c r="T16" s="61">
        <f t="shared" si="1"/>
        <v>159.37605968124788</v>
      </c>
      <c r="U16" s="61">
        <f t="shared" si="17"/>
        <v>112.88180610889775</v>
      </c>
      <c r="V16" s="61"/>
      <c r="Y16" s="162" t="s">
        <v>36</v>
      </c>
      <c r="Z16" s="162" t="s">
        <v>61</v>
      </c>
      <c r="AA16" s="162" t="s">
        <v>201</v>
      </c>
      <c r="AB16" s="162">
        <f>RANK(AH16,$AH$14:$AH$22,1)</f>
        <v>2</v>
      </c>
      <c r="AC16" s="165">
        <f t="shared" si="19"/>
        <v>37.650602409638552</v>
      </c>
      <c r="AD16" s="165">
        <f t="shared" si="20"/>
        <v>145.46810891458412</v>
      </c>
      <c r="AE16" s="162"/>
      <c r="AF16" s="162">
        <f t="shared" si="10"/>
        <v>2</v>
      </c>
      <c r="AG16" s="167">
        <f t="shared" si="11"/>
        <v>9</v>
      </c>
      <c r="AH16" s="165">
        <f t="shared" si="12"/>
        <v>46.632124352331601</v>
      </c>
      <c r="AI16" s="165">
        <f t="shared" si="13"/>
        <v>21.279197015612095</v>
      </c>
      <c r="AJ16" s="165">
        <f t="shared" si="14"/>
        <v>88.527361080500953</v>
      </c>
      <c r="AK16" s="167">
        <f t="shared" si="15"/>
        <v>2</v>
      </c>
    </row>
    <row r="17" spans="1:37" x14ac:dyDescent="0.2">
      <c r="A17" s="62" t="s">
        <v>40</v>
      </c>
      <c r="B17" s="62" t="s">
        <v>63</v>
      </c>
      <c r="C17" s="62" t="s">
        <v>200</v>
      </c>
      <c r="D17" s="62"/>
      <c r="E17" s="62">
        <f t="shared" si="2"/>
        <v>12</v>
      </c>
      <c r="F17" s="128">
        <v>53</v>
      </c>
      <c r="G17" s="129">
        <v>105.83067092651757</v>
      </c>
      <c r="H17" s="129">
        <v>79.268917936367515</v>
      </c>
      <c r="I17" s="129">
        <v>138.431862276408</v>
      </c>
      <c r="J17" s="129"/>
      <c r="K17" s="129"/>
      <c r="L17" s="129"/>
      <c r="M17" s="60">
        <f t="shared" si="0"/>
        <v>5</v>
      </c>
      <c r="N17" s="61">
        <f t="shared" si="3"/>
        <v>37.650602409638552</v>
      </c>
      <c r="O17" s="61">
        <f t="shared" si="16"/>
        <v>99.502487562189046</v>
      </c>
      <c r="P17" s="129">
        <f t="shared" si="4"/>
        <v>112.7210564426429</v>
      </c>
      <c r="Q17" s="129">
        <f t="shared" si="5"/>
        <v>107.10660922412798</v>
      </c>
      <c r="R17" s="129">
        <f t="shared" si="6"/>
        <v>118.55343472947511</v>
      </c>
      <c r="S17" s="61">
        <f t="shared" si="7"/>
        <v>124.58942122550685</v>
      </c>
      <c r="T17" s="61">
        <f t="shared" si="1"/>
        <v>159.37605968124788</v>
      </c>
      <c r="U17" s="61">
        <f t="shared" si="17"/>
        <v>112.88180610889775</v>
      </c>
      <c r="V17" s="61"/>
      <c r="Y17" s="162" t="s">
        <v>37</v>
      </c>
      <c r="Z17" s="162" t="s">
        <v>157</v>
      </c>
      <c r="AA17" s="162" t="s">
        <v>201</v>
      </c>
      <c r="AB17" s="162">
        <f t="shared" ref="AB17:AB22" si="21">RANK(AH17,$AH$14:$AH$22,1)</f>
        <v>5</v>
      </c>
      <c r="AC17" s="165">
        <f t="shared" si="19"/>
        <v>37.650602409638552</v>
      </c>
      <c r="AD17" s="165">
        <f>MAX($AH$14:$AH$22)</f>
        <v>145.46810891458412</v>
      </c>
      <c r="AE17" s="162"/>
      <c r="AF17" s="162">
        <f t="shared" si="10"/>
        <v>6</v>
      </c>
      <c r="AG17" s="167">
        <f t="shared" si="11"/>
        <v>78</v>
      </c>
      <c r="AH17" s="165">
        <f t="shared" si="12"/>
        <v>95.834869148544044</v>
      </c>
      <c r="AI17" s="165">
        <f t="shared" si="13"/>
        <v>75.750801004671104</v>
      </c>
      <c r="AJ17" s="165">
        <f t="shared" si="14"/>
        <v>119.60777349165227</v>
      </c>
      <c r="AK17" s="167">
        <f t="shared" si="15"/>
        <v>5</v>
      </c>
    </row>
    <row r="18" spans="1:37" x14ac:dyDescent="0.2">
      <c r="A18" s="62" t="s">
        <v>41</v>
      </c>
      <c r="B18" s="62" t="s">
        <v>64</v>
      </c>
      <c r="C18" s="62" t="s">
        <v>163</v>
      </c>
      <c r="D18" s="62"/>
      <c r="E18" s="62">
        <f t="shared" si="2"/>
        <v>16</v>
      </c>
      <c r="F18" s="128">
        <v>75</v>
      </c>
      <c r="G18" s="129">
        <v>115.15430677107324</v>
      </c>
      <c r="H18" s="129">
        <v>90.572730516768374</v>
      </c>
      <c r="I18" s="129">
        <v>144.34884180048783</v>
      </c>
      <c r="J18" s="129"/>
      <c r="K18" s="129"/>
      <c r="L18" s="129"/>
      <c r="M18" s="60">
        <f t="shared" si="0"/>
        <v>5</v>
      </c>
      <c r="N18" s="61">
        <f t="shared" si="3"/>
        <v>37.650602409638552</v>
      </c>
      <c r="O18" s="61">
        <f t="shared" si="16"/>
        <v>99.502487562189046</v>
      </c>
      <c r="P18" s="129">
        <f t="shared" si="4"/>
        <v>112.7210564426429</v>
      </c>
      <c r="Q18" s="129">
        <f t="shared" si="5"/>
        <v>107.10660922412798</v>
      </c>
      <c r="R18" s="129">
        <f t="shared" si="6"/>
        <v>118.55343472947511</v>
      </c>
      <c r="S18" s="61">
        <f t="shared" si="7"/>
        <v>124.58942122550685</v>
      </c>
      <c r="T18" s="61">
        <f t="shared" si="1"/>
        <v>159.37605968124788</v>
      </c>
      <c r="U18" s="61">
        <f t="shared" si="17"/>
        <v>116.8729495973755</v>
      </c>
      <c r="V18" s="61"/>
      <c r="Y18" s="162" t="s">
        <v>38</v>
      </c>
      <c r="Z18" s="162" t="s">
        <v>62</v>
      </c>
      <c r="AA18" s="162" t="s">
        <v>201</v>
      </c>
      <c r="AB18" s="162">
        <f t="shared" si="21"/>
        <v>4</v>
      </c>
      <c r="AC18" s="165">
        <f t="shared" si="19"/>
        <v>37.650602409638552</v>
      </c>
      <c r="AD18" s="165">
        <f t="shared" si="20"/>
        <v>145.46810891458412</v>
      </c>
      <c r="AE18" s="162"/>
      <c r="AF18" s="162">
        <f t="shared" si="10"/>
        <v>4</v>
      </c>
      <c r="AG18" s="167">
        <f t="shared" si="11"/>
        <v>26</v>
      </c>
      <c r="AH18" s="165">
        <f t="shared" si="12"/>
        <v>82.148499210110586</v>
      </c>
      <c r="AI18" s="165">
        <f t="shared" si="13"/>
        <v>53.648517553217367</v>
      </c>
      <c r="AJ18" s="165">
        <f t="shared" si="14"/>
        <v>120.37138119583663</v>
      </c>
      <c r="AK18" s="167">
        <f t="shared" si="15"/>
        <v>5</v>
      </c>
    </row>
    <row r="19" spans="1:37" x14ac:dyDescent="0.2">
      <c r="A19" s="62" t="s">
        <v>42</v>
      </c>
      <c r="B19" s="62" t="s">
        <v>65</v>
      </c>
      <c r="C19" s="62" t="s">
        <v>200</v>
      </c>
      <c r="D19" s="62"/>
      <c r="E19" s="62">
        <f t="shared" si="2"/>
        <v>13</v>
      </c>
      <c r="F19" s="128">
        <v>26</v>
      </c>
      <c r="G19" s="129">
        <v>106.951871657754</v>
      </c>
      <c r="H19" s="129">
        <v>69.846794757685302</v>
      </c>
      <c r="I19" s="129">
        <v>156.71551685924433</v>
      </c>
      <c r="J19" s="129"/>
      <c r="K19" s="129"/>
      <c r="L19" s="129"/>
      <c r="M19" s="60">
        <f t="shared" si="0"/>
        <v>5</v>
      </c>
      <c r="N19" s="61">
        <f t="shared" si="3"/>
        <v>37.650602409638552</v>
      </c>
      <c r="O19" s="61">
        <f t="shared" si="16"/>
        <v>99.502487562189046</v>
      </c>
      <c r="P19" s="129">
        <f t="shared" si="4"/>
        <v>112.7210564426429</v>
      </c>
      <c r="Q19" s="129">
        <f t="shared" si="5"/>
        <v>107.10660922412798</v>
      </c>
      <c r="R19" s="129">
        <f t="shared" si="6"/>
        <v>118.55343472947511</v>
      </c>
      <c r="S19" s="61">
        <f t="shared" si="7"/>
        <v>124.58942122550685</v>
      </c>
      <c r="T19" s="61">
        <f t="shared" si="1"/>
        <v>159.37605968124788</v>
      </c>
      <c r="U19" s="61">
        <f t="shared" si="17"/>
        <v>112.88180610889775</v>
      </c>
      <c r="V19" s="61"/>
      <c r="Y19" s="162" t="s">
        <v>43</v>
      </c>
      <c r="Z19" s="162" t="s">
        <v>159</v>
      </c>
      <c r="AA19" s="162" t="s">
        <v>201</v>
      </c>
      <c r="AB19" s="162">
        <f t="shared" si="21"/>
        <v>6</v>
      </c>
      <c r="AC19" s="165">
        <f t="shared" si="19"/>
        <v>37.650602409638552</v>
      </c>
      <c r="AD19" s="165">
        <f t="shared" si="20"/>
        <v>145.46810891458412</v>
      </c>
      <c r="AE19" s="162"/>
      <c r="AF19" s="162">
        <f t="shared" si="10"/>
        <v>14</v>
      </c>
      <c r="AG19" s="167">
        <f t="shared" si="11"/>
        <v>50</v>
      </c>
      <c r="AH19" s="165">
        <f t="shared" si="12"/>
        <v>108.27197921177999</v>
      </c>
      <c r="AI19" s="165">
        <f t="shared" si="13"/>
        <v>80.355349521511883</v>
      </c>
      <c r="AJ19" s="165">
        <f t="shared" si="14"/>
        <v>142.7461167041094</v>
      </c>
      <c r="AK19" s="167">
        <f t="shared" si="15"/>
        <v>5</v>
      </c>
    </row>
    <row r="20" spans="1:37" x14ac:dyDescent="0.2">
      <c r="A20" s="62" t="s">
        <v>43</v>
      </c>
      <c r="B20" s="62" t="s">
        <v>159</v>
      </c>
      <c r="C20" s="62" t="s">
        <v>201</v>
      </c>
      <c r="D20" s="62"/>
      <c r="E20" s="62">
        <f t="shared" si="2"/>
        <v>14</v>
      </c>
      <c r="F20" s="128">
        <v>50</v>
      </c>
      <c r="G20" s="129">
        <v>108.27197921177999</v>
      </c>
      <c r="H20" s="129">
        <v>80.355349521511883</v>
      </c>
      <c r="I20" s="129">
        <v>142.7461167041094</v>
      </c>
      <c r="J20" s="129"/>
      <c r="K20" s="129"/>
      <c r="L20" s="129"/>
      <c r="M20" s="60">
        <f t="shared" si="0"/>
        <v>5</v>
      </c>
      <c r="N20" s="61">
        <f t="shared" si="3"/>
        <v>37.650602409638552</v>
      </c>
      <c r="O20" s="61">
        <f t="shared" si="16"/>
        <v>99.502487562189046</v>
      </c>
      <c r="P20" s="129">
        <f t="shared" si="4"/>
        <v>112.7210564426429</v>
      </c>
      <c r="Q20" s="129">
        <f t="shared" si="5"/>
        <v>107.10660922412798</v>
      </c>
      <c r="R20" s="129">
        <f t="shared" si="6"/>
        <v>118.55343472947511</v>
      </c>
      <c r="S20" s="61">
        <f t="shared" si="7"/>
        <v>124.58942122550685</v>
      </c>
      <c r="T20" s="61">
        <f t="shared" si="1"/>
        <v>159.37605968124788</v>
      </c>
      <c r="U20" s="61">
        <f t="shared" si="17"/>
        <v>106.44976389988263</v>
      </c>
      <c r="V20" s="61"/>
      <c r="Y20" s="162" t="s">
        <v>48</v>
      </c>
      <c r="Z20" s="162" t="s">
        <v>160</v>
      </c>
      <c r="AA20" s="162" t="s">
        <v>201</v>
      </c>
      <c r="AB20" s="162">
        <f t="shared" si="21"/>
        <v>9</v>
      </c>
      <c r="AC20" s="165">
        <f t="shared" si="19"/>
        <v>37.650602409638552</v>
      </c>
      <c r="AD20" s="165">
        <f t="shared" si="20"/>
        <v>145.46810891458412</v>
      </c>
      <c r="AE20" s="162"/>
      <c r="AF20" s="162">
        <f t="shared" si="10"/>
        <v>25</v>
      </c>
      <c r="AG20" s="167">
        <f t="shared" si="11"/>
        <v>39</v>
      </c>
      <c r="AH20" s="165">
        <f t="shared" si="12"/>
        <v>145.46810891458412</v>
      </c>
      <c r="AI20" s="165">
        <f t="shared" si="13"/>
        <v>103.42959255091628</v>
      </c>
      <c r="AJ20" s="165">
        <f t="shared" si="14"/>
        <v>198.8651336761252</v>
      </c>
      <c r="AK20" s="167">
        <f t="shared" si="15"/>
        <v>5</v>
      </c>
    </row>
    <row r="21" spans="1:37" x14ac:dyDescent="0.2">
      <c r="A21" s="62" t="s">
        <v>44</v>
      </c>
      <c r="B21" s="62" t="s">
        <v>66</v>
      </c>
      <c r="C21" s="62" t="s">
        <v>200</v>
      </c>
      <c r="D21" s="62"/>
      <c r="E21" s="62">
        <f t="shared" si="2"/>
        <v>9</v>
      </c>
      <c r="F21" s="128">
        <v>21</v>
      </c>
      <c r="G21" s="129">
        <v>104.21836228287842</v>
      </c>
      <c r="H21" s="129">
        <v>64.488320137849655</v>
      </c>
      <c r="I21" s="129">
        <v>159.31632892842111</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5</v>
      </c>
      <c r="N21" s="61">
        <f t="shared" si="3"/>
        <v>37.650602409638552</v>
      </c>
      <c r="O21" s="61">
        <f t="shared" si="16"/>
        <v>99.502487562189046</v>
      </c>
      <c r="P21" s="129">
        <f t="shared" si="4"/>
        <v>112.7210564426429</v>
      </c>
      <c r="Q21" s="129">
        <f t="shared" si="5"/>
        <v>107.10660922412798</v>
      </c>
      <c r="R21" s="129">
        <f t="shared" si="6"/>
        <v>118.55343472947511</v>
      </c>
      <c r="S21" s="61">
        <f t="shared" si="7"/>
        <v>124.58942122550685</v>
      </c>
      <c r="T21" s="61">
        <f t="shared" si="1"/>
        <v>159.37605968124788</v>
      </c>
      <c r="U21" s="61">
        <f t="shared" si="17"/>
        <v>112.88180610889775</v>
      </c>
      <c r="V21" s="61"/>
      <c r="Y21" s="162" t="s">
        <v>52</v>
      </c>
      <c r="Z21" s="162" t="s">
        <v>72</v>
      </c>
      <c r="AA21" s="162" t="s">
        <v>201</v>
      </c>
      <c r="AB21" s="162">
        <f t="shared" si="21"/>
        <v>3</v>
      </c>
      <c r="AC21" s="165">
        <f t="shared" si="19"/>
        <v>37.650602409638552</v>
      </c>
      <c r="AD21" s="165">
        <f t="shared" si="20"/>
        <v>145.46810891458412</v>
      </c>
      <c r="AE21" s="162"/>
      <c r="AF21" s="162">
        <f t="shared" si="10"/>
        <v>3</v>
      </c>
      <c r="AG21" s="167" t="str">
        <f t="shared" si="11"/>
        <v>N/A</v>
      </c>
      <c r="AH21" s="165">
        <f t="shared" si="12"/>
        <v>68.226120857699797</v>
      </c>
      <c r="AI21" s="165">
        <f t="shared" si="13"/>
        <v>27.333632408139042</v>
      </c>
      <c r="AJ21" s="165">
        <f t="shared" si="14"/>
        <v>140.57760779667686</v>
      </c>
      <c r="AK21" s="167">
        <f t="shared" si="15"/>
        <v>5</v>
      </c>
    </row>
    <row r="22" spans="1:37" x14ac:dyDescent="0.2">
      <c r="A22" s="62" t="s">
        <v>45</v>
      </c>
      <c r="B22" s="62" t="s">
        <v>67</v>
      </c>
      <c r="C22" s="62" t="s">
        <v>163</v>
      </c>
      <c r="D22" s="62"/>
      <c r="E22" s="62">
        <f t="shared" si="2"/>
        <v>23</v>
      </c>
      <c r="F22" s="128">
        <v>64</v>
      </c>
      <c r="G22" s="129">
        <v>140.4741000877963</v>
      </c>
      <c r="H22" s="129">
        <v>108.17676801794788</v>
      </c>
      <c r="I22" s="129">
        <v>179.38516108636466</v>
      </c>
      <c r="J22" s="129"/>
      <c r="K22" s="129"/>
      <c r="L22" s="129"/>
      <c r="M22" s="60">
        <f t="shared" si="0"/>
        <v>5</v>
      </c>
      <c r="N22" s="61">
        <f t="shared" si="3"/>
        <v>37.650602409638552</v>
      </c>
      <c r="O22" s="61">
        <f t="shared" si="16"/>
        <v>99.502487562189046</v>
      </c>
      <c r="P22" s="129">
        <f t="shared" si="4"/>
        <v>112.7210564426429</v>
      </c>
      <c r="Q22" s="129">
        <f t="shared" si="5"/>
        <v>107.10660922412798</v>
      </c>
      <c r="R22" s="129">
        <f t="shared" si="6"/>
        <v>118.55343472947511</v>
      </c>
      <c r="S22" s="61">
        <f t="shared" si="7"/>
        <v>124.58942122550685</v>
      </c>
      <c r="T22" s="61">
        <f t="shared" si="1"/>
        <v>159.37605968124788</v>
      </c>
      <c r="U22" s="61">
        <f>VLOOKUP(C22,$C$43:$I$46,5,FALSE)</f>
        <v>116.8729495973755</v>
      </c>
      <c r="V22" s="61"/>
      <c r="Y22" s="162" t="s">
        <v>54</v>
      </c>
      <c r="Z22" s="162" t="s">
        <v>73</v>
      </c>
      <c r="AA22" s="162" t="s">
        <v>201</v>
      </c>
      <c r="AB22" s="162">
        <f t="shared" si="21"/>
        <v>1</v>
      </c>
      <c r="AC22" s="165">
        <f t="shared" si="19"/>
        <v>37.650602409638552</v>
      </c>
      <c r="AD22" s="165">
        <f t="shared" si="20"/>
        <v>145.46810891458412</v>
      </c>
      <c r="AE22" s="162"/>
      <c r="AF22" s="162">
        <f t="shared" si="10"/>
        <v>1</v>
      </c>
      <c r="AG22" s="167" t="str">
        <f t="shared" si="11"/>
        <v>N/A</v>
      </c>
      <c r="AH22" s="165">
        <f t="shared" si="12"/>
        <v>37.650602409638552</v>
      </c>
      <c r="AI22" s="165">
        <f t="shared" si="13"/>
        <v>12.133642437855377</v>
      </c>
      <c r="AJ22" s="165">
        <f t="shared" si="14"/>
        <v>87.862681652097862</v>
      </c>
      <c r="AK22" s="167">
        <f t="shared" si="15"/>
        <v>2</v>
      </c>
    </row>
    <row r="23" spans="1:37" x14ac:dyDescent="0.2">
      <c r="A23" s="62" t="s">
        <v>46</v>
      </c>
      <c r="B23" s="62" t="s">
        <v>68</v>
      </c>
      <c r="C23" s="62" t="s">
        <v>163</v>
      </c>
      <c r="D23" s="62"/>
      <c r="E23" s="62">
        <f t="shared" si="2"/>
        <v>15</v>
      </c>
      <c r="F23" s="128">
        <v>64</v>
      </c>
      <c r="G23" s="129">
        <v>112.47803163444641</v>
      </c>
      <c r="H23" s="129">
        <v>86.617461351453528</v>
      </c>
      <c r="I23" s="129">
        <v>143.63423443048811</v>
      </c>
      <c r="J23" s="129"/>
      <c r="K23" s="129"/>
      <c r="L23" s="129"/>
      <c r="M23" s="60">
        <f t="shared" si="0"/>
        <v>5</v>
      </c>
      <c r="N23" s="61">
        <f t="shared" si="3"/>
        <v>37.650602409638552</v>
      </c>
      <c r="O23" s="61">
        <f t="shared" si="16"/>
        <v>99.502487562189046</v>
      </c>
      <c r="P23" s="129">
        <f t="shared" si="4"/>
        <v>112.7210564426429</v>
      </c>
      <c r="Q23" s="129">
        <f t="shared" si="5"/>
        <v>107.10660922412798</v>
      </c>
      <c r="R23" s="129">
        <f t="shared" si="6"/>
        <v>118.55343472947511</v>
      </c>
      <c r="S23" s="61">
        <f t="shared" si="7"/>
        <v>124.58942122550685</v>
      </c>
      <c r="T23" s="61">
        <f t="shared" si="1"/>
        <v>159.37605968124788</v>
      </c>
      <c r="U23" s="61">
        <f t="shared" si="17"/>
        <v>116.8729495973755</v>
      </c>
      <c r="V23" s="61"/>
      <c r="Y23" s="163" t="s">
        <v>30</v>
      </c>
      <c r="Z23" s="163" t="s">
        <v>56</v>
      </c>
      <c r="AA23" s="163" t="s">
        <v>200</v>
      </c>
      <c r="AB23" s="163">
        <f>RANK(AH23,$AH$23:$AH$31,1)</f>
        <v>9</v>
      </c>
      <c r="AC23" s="166">
        <f>MIN($AH$23:$AH$31)</f>
        <v>85.539057456423507</v>
      </c>
      <c r="AD23" s="166">
        <f>MAX($AH$23:$AH$31)</f>
        <v>159.37605968124788</v>
      </c>
      <c r="AE23" s="163"/>
      <c r="AF23" s="163">
        <f t="shared" si="10"/>
        <v>26</v>
      </c>
      <c r="AG23" s="168">
        <f t="shared" si="11"/>
        <v>94</v>
      </c>
      <c r="AH23" s="166">
        <f t="shared" si="12"/>
        <v>159.37605968124788</v>
      </c>
      <c r="AI23" s="166">
        <f t="shared" si="13"/>
        <v>128.78876275970694</v>
      </c>
      <c r="AJ23" s="166">
        <f t="shared" si="14"/>
        <v>195.03791258016741</v>
      </c>
      <c r="AK23" s="168">
        <f t="shared" si="15"/>
        <v>1</v>
      </c>
    </row>
    <row r="24" spans="1:37" x14ac:dyDescent="0.2">
      <c r="A24" s="62" t="s">
        <v>47</v>
      </c>
      <c r="B24" s="62" t="s">
        <v>69</v>
      </c>
      <c r="C24" s="62" t="s">
        <v>163</v>
      </c>
      <c r="D24" s="62"/>
      <c r="E24" s="62">
        <f t="shared" si="2"/>
        <v>18</v>
      </c>
      <c r="F24" s="128">
        <v>36</v>
      </c>
      <c r="G24" s="129">
        <v>117.83960720130933</v>
      </c>
      <c r="H24" s="129">
        <v>82.52192419960366</v>
      </c>
      <c r="I24" s="129">
        <v>163.14451965892806</v>
      </c>
      <c r="J24" s="129"/>
      <c r="K24" s="129"/>
      <c r="L24" s="129"/>
      <c r="M24" s="60">
        <f t="shared" si="0"/>
        <v>5</v>
      </c>
      <c r="N24" s="61">
        <f t="shared" si="3"/>
        <v>37.650602409638552</v>
      </c>
      <c r="O24" s="61">
        <f t="shared" si="16"/>
        <v>99.502487562189046</v>
      </c>
      <c r="P24" s="129">
        <f t="shared" si="4"/>
        <v>112.7210564426429</v>
      </c>
      <c r="Q24" s="129">
        <f t="shared" si="5"/>
        <v>107.10660922412798</v>
      </c>
      <c r="R24" s="129">
        <f t="shared" si="6"/>
        <v>118.55343472947511</v>
      </c>
      <c r="S24" s="61">
        <f t="shared" si="7"/>
        <v>124.58942122550685</v>
      </c>
      <c r="T24" s="61">
        <f t="shared" si="1"/>
        <v>159.37605968124788</v>
      </c>
      <c r="U24" s="61">
        <f t="shared" si="17"/>
        <v>116.8729495973755</v>
      </c>
      <c r="V24" s="61"/>
      <c r="Y24" s="163" t="s">
        <v>31</v>
      </c>
      <c r="Z24" s="163" t="s">
        <v>57</v>
      </c>
      <c r="AA24" s="163" t="s">
        <v>200</v>
      </c>
      <c r="AB24" s="163">
        <f t="shared" ref="AB24:AB31" si="22">RANK(AH24,$AH$23:$AH$31,1)</f>
        <v>7</v>
      </c>
      <c r="AC24" s="166">
        <f t="shared" ref="AC24:AC31" si="23">MIN($AH$23:$AH$31)</f>
        <v>85.539057456423507</v>
      </c>
      <c r="AD24" s="166">
        <f t="shared" ref="AD24:AD31" si="24">MAX($AH$23:$AH$31)</f>
        <v>159.37605968124788</v>
      </c>
      <c r="AE24" s="163"/>
      <c r="AF24" s="163">
        <f t="shared" si="10"/>
        <v>17</v>
      </c>
      <c r="AG24" s="168">
        <f t="shared" si="11"/>
        <v>70</v>
      </c>
      <c r="AH24" s="166">
        <f t="shared" si="12"/>
        <v>117.64705882352941</v>
      </c>
      <c r="AI24" s="166">
        <f t="shared" si="13"/>
        <v>91.707732633705959</v>
      </c>
      <c r="AJ24" s="166">
        <f t="shared" si="14"/>
        <v>148.64212626669016</v>
      </c>
      <c r="AK24" s="168">
        <f t="shared" si="15"/>
        <v>5</v>
      </c>
    </row>
    <row r="25" spans="1:37" x14ac:dyDescent="0.2">
      <c r="A25" s="62" t="s">
        <v>48</v>
      </c>
      <c r="B25" s="62" t="s">
        <v>160</v>
      </c>
      <c r="C25" s="62" t="s">
        <v>201</v>
      </c>
      <c r="D25" s="62"/>
      <c r="E25" s="62">
        <f t="shared" si="2"/>
        <v>25</v>
      </c>
      <c r="F25" s="128">
        <v>39</v>
      </c>
      <c r="G25" s="129">
        <v>145.46810891458412</v>
      </c>
      <c r="H25" s="129">
        <v>103.42959255091628</v>
      </c>
      <c r="I25" s="129">
        <v>198.8651336761252</v>
      </c>
      <c r="J25" s="129"/>
      <c r="K25" s="129"/>
      <c r="L25" s="129"/>
      <c r="M25" s="60">
        <f t="shared" si="0"/>
        <v>5</v>
      </c>
      <c r="N25" s="61">
        <f t="shared" si="3"/>
        <v>37.650602409638552</v>
      </c>
      <c r="O25" s="61">
        <f t="shared" si="16"/>
        <v>99.502487562189046</v>
      </c>
      <c r="P25" s="129">
        <f t="shared" si="4"/>
        <v>112.7210564426429</v>
      </c>
      <c r="Q25" s="129">
        <f t="shared" si="5"/>
        <v>107.10660922412798</v>
      </c>
      <c r="R25" s="129">
        <f t="shared" si="6"/>
        <v>118.55343472947511</v>
      </c>
      <c r="S25" s="61">
        <f t="shared" si="7"/>
        <v>124.58942122550685</v>
      </c>
      <c r="T25" s="61">
        <f t="shared" si="1"/>
        <v>159.37605968124788</v>
      </c>
      <c r="U25" s="61">
        <f t="shared" si="17"/>
        <v>106.44976389988263</v>
      </c>
      <c r="V25" s="61"/>
      <c r="Y25" s="163" t="s">
        <v>34</v>
      </c>
      <c r="Z25" s="163" t="s">
        <v>59</v>
      </c>
      <c r="AA25" s="163" t="s">
        <v>200</v>
      </c>
      <c r="AB25" s="163">
        <f t="shared" si="22"/>
        <v>3</v>
      </c>
      <c r="AC25" s="166">
        <f t="shared" si="23"/>
        <v>85.539057456423507</v>
      </c>
      <c r="AD25" s="166">
        <f t="shared" si="24"/>
        <v>159.37605968124788</v>
      </c>
      <c r="AE25" s="163"/>
      <c r="AF25" s="163">
        <f t="shared" si="10"/>
        <v>8</v>
      </c>
      <c r="AG25" s="168">
        <f t="shared" si="11"/>
        <v>98</v>
      </c>
      <c r="AH25" s="166">
        <f t="shared" si="12"/>
        <v>102.13652944241792</v>
      </c>
      <c r="AI25" s="166">
        <f t="shared" si="13"/>
        <v>82.917382646120544</v>
      </c>
      <c r="AJ25" s="166">
        <f t="shared" si="14"/>
        <v>124.47291474753258</v>
      </c>
      <c r="AK25" s="168">
        <f t="shared" si="15"/>
        <v>5</v>
      </c>
    </row>
    <row r="26" spans="1:37" x14ac:dyDescent="0.2">
      <c r="A26" s="62" t="s">
        <v>49</v>
      </c>
      <c r="B26" s="62" t="s">
        <v>70</v>
      </c>
      <c r="C26" s="62" t="s">
        <v>200</v>
      </c>
      <c r="D26" s="62"/>
      <c r="E26" s="62">
        <f t="shared" si="2"/>
        <v>7</v>
      </c>
      <c r="F26" s="128">
        <v>36</v>
      </c>
      <c r="G26" s="129">
        <v>99.502487562189046</v>
      </c>
      <c r="H26" s="129">
        <v>69.68061869258959</v>
      </c>
      <c r="I26" s="129">
        <v>137.7574647755736</v>
      </c>
      <c r="J26" s="129"/>
      <c r="K26" s="129"/>
      <c r="L26" s="129"/>
      <c r="M26" s="60">
        <f t="shared" si="0"/>
        <v>5</v>
      </c>
      <c r="N26" s="61">
        <f t="shared" si="3"/>
        <v>37.650602409638552</v>
      </c>
      <c r="O26" s="61">
        <f t="shared" si="16"/>
        <v>99.502487562189046</v>
      </c>
      <c r="P26" s="129">
        <f t="shared" si="4"/>
        <v>112.7210564426429</v>
      </c>
      <c r="Q26" s="129">
        <f t="shared" si="5"/>
        <v>107.10660922412798</v>
      </c>
      <c r="R26" s="129">
        <f t="shared" si="6"/>
        <v>118.55343472947511</v>
      </c>
      <c r="S26" s="61">
        <f t="shared" si="7"/>
        <v>124.58942122550685</v>
      </c>
      <c r="T26" s="61">
        <f t="shared" si="1"/>
        <v>159.37605968124788</v>
      </c>
      <c r="U26" s="61">
        <f t="shared" si="17"/>
        <v>112.88180610889775</v>
      </c>
      <c r="V26" s="61"/>
      <c r="Y26" s="163" t="s">
        <v>39</v>
      </c>
      <c r="Z26" s="163" t="s">
        <v>158</v>
      </c>
      <c r="AA26" s="163" t="s">
        <v>200</v>
      </c>
      <c r="AB26" s="163">
        <f t="shared" si="22"/>
        <v>1</v>
      </c>
      <c r="AC26" s="166">
        <f t="shared" si="23"/>
        <v>85.539057456423507</v>
      </c>
      <c r="AD26" s="166">
        <f t="shared" si="24"/>
        <v>159.37605968124788</v>
      </c>
      <c r="AE26" s="163"/>
      <c r="AF26" s="163">
        <f t="shared" si="10"/>
        <v>5</v>
      </c>
      <c r="AG26" s="168">
        <f t="shared" si="11"/>
        <v>53</v>
      </c>
      <c r="AH26" s="166">
        <f t="shared" si="12"/>
        <v>85.539057456423507</v>
      </c>
      <c r="AI26" s="166">
        <f t="shared" si="13"/>
        <v>64.070164787819323</v>
      </c>
      <c r="AJ26" s="166">
        <f t="shared" si="14"/>
        <v>111.88940708202894</v>
      </c>
      <c r="AK26" s="168">
        <f t="shared" si="15"/>
        <v>5</v>
      </c>
    </row>
    <row r="27" spans="1:37" x14ac:dyDescent="0.2">
      <c r="A27" s="62" t="s">
        <v>50</v>
      </c>
      <c r="B27" s="62" t="s">
        <v>161</v>
      </c>
      <c r="C27" s="62" t="s">
        <v>163</v>
      </c>
      <c r="D27" s="62"/>
      <c r="E27" s="62">
        <f t="shared" si="2"/>
        <v>10</v>
      </c>
      <c r="F27" s="128">
        <v>31</v>
      </c>
      <c r="G27" s="129">
        <v>105.15603799185889</v>
      </c>
      <c r="H27" s="129">
        <v>71.435350939043573</v>
      </c>
      <c r="I27" s="129">
        <v>149.26569804944188</v>
      </c>
      <c r="J27" s="129"/>
      <c r="K27" s="129"/>
      <c r="L27" s="129"/>
      <c r="M27" s="60">
        <f t="shared" si="0"/>
        <v>5</v>
      </c>
      <c r="N27" s="61">
        <f t="shared" si="3"/>
        <v>37.650602409638552</v>
      </c>
      <c r="O27" s="61">
        <f t="shared" si="16"/>
        <v>99.502487562189046</v>
      </c>
      <c r="P27" s="129">
        <f t="shared" si="4"/>
        <v>112.7210564426429</v>
      </c>
      <c r="Q27" s="129">
        <f t="shared" si="5"/>
        <v>107.10660922412798</v>
      </c>
      <c r="R27" s="129">
        <f t="shared" si="6"/>
        <v>118.55343472947511</v>
      </c>
      <c r="S27" s="61">
        <f t="shared" si="7"/>
        <v>124.58942122550685</v>
      </c>
      <c r="T27" s="61">
        <f t="shared" si="1"/>
        <v>159.37605968124788</v>
      </c>
      <c r="U27" s="61">
        <f t="shared" si="17"/>
        <v>116.8729495973755</v>
      </c>
      <c r="V27" s="61"/>
      <c r="Y27" s="163" t="s">
        <v>40</v>
      </c>
      <c r="Z27" s="163" t="s">
        <v>63</v>
      </c>
      <c r="AA27" s="163" t="s">
        <v>200</v>
      </c>
      <c r="AB27" s="163">
        <f t="shared" si="22"/>
        <v>5</v>
      </c>
      <c r="AC27" s="166">
        <f t="shared" si="23"/>
        <v>85.539057456423507</v>
      </c>
      <c r="AD27" s="166">
        <f t="shared" si="24"/>
        <v>159.37605968124788</v>
      </c>
      <c r="AE27" s="163"/>
      <c r="AF27" s="163">
        <f t="shared" si="10"/>
        <v>12</v>
      </c>
      <c r="AG27" s="168">
        <f t="shared" si="11"/>
        <v>53</v>
      </c>
      <c r="AH27" s="166">
        <f t="shared" si="12"/>
        <v>105.83067092651757</v>
      </c>
      <c r="AI27" s="166">
        <f t="shared" si="13"/>
        <v>79.268917936367515</v>
      </c>
      <c r="AJ27" s="166">
        <f t="shared" si="14"/>
        <v>138.431862276408</v>
      </c>
      <c r="AK27" s="168">
        <f t="shared" si="15"/>
        <v>5</v>
      </c>
    </row>
    <row r="28" spans="1:37" x14ac:dyDescent="0.2">
      <c r="A28" s="62" t="s">
        <v>51</v>
      </c>
      <c r="B28" s="62" t="s">
        <v>71</v>
      </c>
      <c r="C28" s="62" t="s">
        <v>200</v>
      </c>
      <c r="D28" s="62"/>
      <c r="E28" s="62">
        <f t="shared" si="2"/>
        <v>24</v>
      </c>
      <c r="F28" s="128">
        <v>42</v>
      </c>
      <c r="G28" s="129">
        <v>141.74822814714815</v>
      </c>
      <c r="H28" s="129">
        <v>102.14889364793443</v>
      </c>
      <c r="I28" s="129">
        <v>191.60728565789438</v>
      </c>
      <c r="J28" s="129"/>
      <c r="K28" s="129"/>
      <c r="L28" s="129"/>
      <c r="M28" s="60">
        <f t="shared" si="0"/>
        <v>5</v>
      </c>
      <c r="N28" s="61">
        <f t="shared" si="3"/>
        <v>37.650602409638552</v>
      </c>
      <c r="O28" s="61">
        <f t="shared" si="16"/>
        <v>99.502487562189046</v>
      </c>
      <c r="P28" s="129">
        <f t="shared" si="4"/>
        <v>112.7210564426429</v>
      </c>
      <c r="Q28" s="129">
        <f t="shared" si="5"/>
        <v>107.10660922412798</v>
      </c>
      <c r="R28" s="129">
        <f t="shared" si="6"/>
        <v>118.55343472947511</v>
      </c>
      <c r="S28" s="61">
        <f t="shared" si="7"/>
        <v>124.58942122550685</v>
      </c>
      <c r="T28" s="61">
        <f t="shared" si="1"/>
        <v>159.37605968124788</v>
      </c>
      <c r="U28" s="61">
        <f t="shared" si="17"/>
        <v>112.88180610889775</v>
      </c>
      <c r="V28" s="61"/>
      <c r="Y28" s="163" t="s">
        <v>42</v>
      </c>
      <c r="Z28" s="163" t="s">
        <v>65</v>
      </c>
      <c r="AA28" s="163" t="s">
        <v>200</v>
      </c>
      <c r="AB28" s="163">
        <f t="shared" si="22"/>
        <v>6</v>
      </c>
      <c r="AC28" s="166">
        <f t="shared" si="23"/>
        <v>85.539057456423507</v>
      </c>
      <c r="AD28" s="166">
        <f t="shared" si="24"/>
        <v>159.37605968124788</v>
      </c>
      <c r="AE28" s="163"/>
      <c r="AF28" s="163">
        <f t="shared" si="10"/>
        <v>13</v>
      </c>
      <c r="AG28" s="168">
        <f t="shared" si="11"/>
        <v>26</v>
      </c>
      <c r="AH28" s="166">
        <f t="shared" si="12"/>
        <v>106.951871657754</v>
      </c>
      <c r="AI28" s="166">
        <f t="shared" si="13"/>
        <v>69.846794757685302</v>
      </c>
      <c r="AJ28" s="166">
        <f t="shared" si="14"/>
        <v>156.71551685924433</v>
      </c>
      <c r="AK28" s="168">
        <f t="shared" si="15"/>
        <v>5</v>
      </c>
    </row>
    <row r="29" spans="1:37" x14ac:dyDescent="0.2">
      <c r="A29" s="62" t="s">
        <v>52</v>
      </c>
      <c r="B29" s="62" t="s">
        <v>72</v>
      </c>
      <c r="C29" s="62" t="s">
        <v>201</v>
      </c>
      <c r="D29" s="62"/>
      <c r="E29" s="62">
        <f t="shared" si="2"/>
        <v>3</v>
      </c>
      <c r="F29" s="128" t="s">
        <v>79</v>
      </c>
      <c r="G29" s="129">
        <v>68.226120857699797</v>
      </c>
      <c r="H29" s="129">
        <v>27.333632408139042</v>
      </c>
      <c r="I29" s="129">
        <v>140.57760779667686</v>
      </c>
      <c r="J29" s="129"/>
      <c r="K29" s="129"/>
      <c r="L29" s="129"/>
      <c r="M29" s="60">
        <f t="shared" si="0"/>
        <v>5</v>
      </c>
      <c r="N29" s="61">
        <f t="shared" si="3"/>
        <v>37.650602409638552</v>
      </c>
      <c r="O29" s="61">
        <f t="shared" si="16"/>
        <v>99.502487562189046</v>
      </c>
      <c r="P29" s="129">
        <f t="shared" si="4"/>
        <v>112.7210564426429</v>
      </c>
      <c r="Q29" s="129">
        <f t="shared" si="5"/>
        <v>107.10660922412798</v>
      </c>
      <c r="R29" s="129">
        <f t="shared" si="6"/>
        <v>118.55343472947511</v>
      </c>
      <c r="S29" s="61">
        <f t="shared" si="7"/>
        <v>124.58942122550685</v>
      </c>
      <c r="T29" s="61">
        <f t="shared" si="1"/>
        <v>159.37605968124788</v>
      </c>
      <c r="U29" s="61">
        <f t="shared" si="17"/>
        <v>106.44976389988263</v>
      </c>
      <c r="V29" s="61"/>
      <c r="Y29" s="163" t="s">
        <v>44</v>
      </c>
      <c r="Z29" s="163" t="s">
        <v>66</v>
      </c>
      <c r="AA29" s="163" t="s">
        <v>200</v>
      </c>
      <c r="AB29" s="163">
        <f t="shared" si="22"/>
        <v>4</v>
      </c>
      <c r="AC29" s="166">
        <f t="shared" si="23"/>
        <v>85.539057456423507</v>
      </c>
      <c r="AD29" s="166">
        <f t="shared" si="24"/>
        <v>159.37605968124788</v>
      </c>
      <c r="AE29" s="163"/>
      <c r="AF29" s="163">
        <f t="shared" si="10"/>
        <v>9</v>
      </c>
      <c r="AG29" s="168">
        <f t="shared" si="11"/>
        <v>21</v>
      </c>
      <c r="AH29" s="166">
        <f t="shared" si="12"/>
        <v>104.21836228287842</v>
      </c>
      <c r="AI29" s="166">
        <f t="shared" si="13"/>
        <v>64.488320137849655</v>
      </c>
      <c r="AJ29" s="166">
        <f t="shared" si="14"/>
        <v>159.31632892842111</v>
      </c>
      <c r="AK29" s="168">
        <f t="shared" si="15"/>
        <v>5</v>
      </c>
    </row>
    <row r="30" spans="1:37" x14ac:dyDescent="0.2">
      <c r="A30" s="62" t="s">
        <v>53</v>
      </c>
      <c r="B30" s="62" t="s">
        <v>162</v>
      </c>
      <c r="C30" s="62" t="s">
        <v>163</v>
      </c>
      <c r="D30" s="62"/>
      <c r="E30" s="62">
        <f t="shared" si="2"/>
        <v>11</v>
      </c>
      <c r="F30" s="128">
        <v>165</v>
      </c>
      <c r="G30" s="129">
        <v>105.51221383808672</v>
      </c>
      <c r="H30" s="129">
        <v>90.02590409745838</v>
      </c>
      <c r="I30" s="129">
        <v>122.89726187053982</v>
      </c>
      <c r="J30" s="129"/>
      <c r="K30" s="129"/>
      <c r="L30" s="129"/>
      <c r="M30" s="60">
        <f t="shared" si="0"/>
        <v>5</v>
      </c>
      <c r="N30" s="61">
        <f t="shared" si="3"/>
        <v>37.650602409638552</v>
      </c>
      <c r="O30" s="61">
        <f t="shared" si="16"/>
        <v>99.502487562189046</v>
      </c>
      <c r="P30" s="129">
        <f>$G$32</f>
        <v>112.7210564426429</v>
      </c>
      <c r="Q30" s="129">
        <f t="shared" si="5"/>
        <v>107.10660922412798</v>
      </c>
      <c r="R30" s="129">
        <f t="shared" si="6"/>
        <v>118.55343472947511</v>
      </c>
      <c r="S30" s="61">
        <f t="shared" si="7"/>
        <v>124.58942122550685</v>
      </c>
      <c r="T30" s="61">
        <f t="shared" si="1"/>
        <v>159.37605968124788</v>
      </c>
      <c r="U30" s="61">
        <f t="shared" si="17"/>
        <v>116.8729495973755</v>
      </c>
      <c r="V30" s="61"/>
      <c r="Y30" s="163" t="s">
        <v>49</v>
      </c>
      <c r="Z30" s="163" t="s">
        <v>70</v>
      </c>
      <c r="AA30" s="163" t="s">
        <v>200</v>
      </c>
      <c r="AB30" s="163">
        <f t="shared" si="22"/>
        <v>2</v>
      </c>
      <c r="AC30" s="166">
        <f t="shared" si="23"/>
        <v>85.539057456423507</v>
      </c>
      <c r="AD30" s="166">
        <f t="shared" si="24"/>
        <v>159.37605968124788</v>
      </c>
      <c r="AE30" s="163"/>
      <c r="AF30" s="163">
        <f t="shared" si="10"/>
        <v>7</v>
      </c>
      <c r="AG30" s="168">
        <f t="shared" si="11"/>
        <v>36</v>
      </c>
      <c r="AH30" s="166">
        <f t="shared" si="12"/>
        <v>99.502487562189046</v>
      </c>
      <c r="AI30" s="166">
        <f t="shared" si="13"/>
        <v>69.68061869258959</v>
      </c>
      <c r="AJ30" s="166">
        <f t="shared" si="14"/>
        <v>137.7574647755736</v>
      </c>
      <c r="AK30" s="168">
        <f t="shared" si="15"/>
        <v>5</v>
      </c>
    </row>
    <row r="31" spans="1:37" x14ac:dyDescent="0.2">
      <c r="A31" s="62" t="s">
        <v>54</v>
      </c>
      <c r="B31" s="62" t="s">
        <v>73</v>
      </c>
      <c r="C31" s="62" t="s">
        <v>201</v>
      </c>
      <c r="D31" s="62"/>
      <c r="E31" s="62">
        <f t="shared" si="2"/>
        <v>1</v>
      </c>
      <c r="F31" s="128" t="s">
        <v>79</v>
      </c>
      <c r="G31" s="129">
        <v>37.650602409638552</v>
      </c>
      <c r="H31" s="129">
        <v>12.133642437855377</v>
      </c>
      <c r="I31" s="129">
        <v>87.862681652097862</v>
      </c>
      <c r="J31" s="129"/>
      <c r="K31" s="129"/>
      <c r="L31" s="129"/>
      <c r="M31" s="60">
        <f t="shared" si="0"/>
        <v>2</v>
      </c>
      <c r="N31" s="61">
        <f t="shared" si="3"/>
        <v>37.650602409638552</v>
      </c>
      <c r="O31" s="61">
        <f t="shared" si="16"/>
        <v>99.502487562189046</v>
      </c>
      <c r="P31" s="129">
        <f t="shared" si="4"/>
        <v>112.7210564426429</v>
      </c>
      <c r="Q31" s="129">
        <f t="shared" si="5"/>
        <v>107.10660922412798</v>
      </c>
      <c r="R31" s="129">
        <f t="shared" si="6"/>
        <v>118.55343472947511</v>
      </c>
      <c r="S31" s="61">
        <f t="shared" si="7"/>
        <v>124.58942122550685</v>
      </c>
      <c r="T31" s="61">
        <f t="shared" si="1"/>
        <v>159.37605968124788</v>
      </c>
      <c r="U31" s="61">
        <f t="shared" si="17"/>
        <v>106.44976389988263</v>
      </c>
      <c r="V31" s="61"/>
      <c r="Y31" s="163" t="s">
        <v>51</v>
      </c>
      <c r="Z31" s="163" t="s">
        <v>71</v>
      </c>
      <c r="AA31" s="163" t="s">
        <v>200</v>
      </c>
      <c r="AB31" s="163">
        <f t="shared" si="22"/>
        <v>8</v>
      </c>
      <c r="AC31" s="166">
        <f t="shared" si="23"/>
        <v>85.539057456423507</v>
      </c>
      <c r="AD31" s="166">
        <f t="shared" si="24"/>
        <v>159.37605968124788</v>
      </c>
      <c r="AE31" s="163"/>
      <c r="AF31" s="163">
        <f t="shared" si="10"/>
        <v>24</v>
      </c>
      <c r="AG31" s="168">
        <f t="shared" si="11"/>
        <v>42</v>
      </c>
      <c r="AH31" s="166">
        <f t="shared" si="12"/>
        <v>141.74822814714815</v>
      </c>
      <c r="AI31" s="166">
        <f t="shared" si="13"/>
        <v>102.14889364793443</v>
      </c>
      <c r="AJ31" s="166">
        <f t="shared" si="14"/>
        <v>191.60728565789438</v>
      </c>
      <c r="AK31" s="168">
        <f t="shared" si="15"/>
        <v>5</v>
      </c>
    </row>
    <row r="32" spans="1:37" x14ac:dyDescent="0.2">
      <c r="A32" s="62"/>
      <c r="B32" s="62" t="s">
        <v>171</v>
      </c>
      <c r="C32" s="62"/>
      <c r="D32" s="62"/>
      <c r="E32" s="62"/>
      <c r="F32" s="128">
        <v>1510</v>
      </c>
      <c r="G32" s="129">
        <v>112.7210564426429</v>
      </c>
      <c r="H32" s="129">
        <v>107.10660922412798</v>
      </c>
      <c r="I32" s="129">
        <v>118.55343472947511</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627</v>
      </c>
      <c r="G44" s="344">
        <v>116.8729495973755</v>
      </c>
      <c r="H44" s="344">
        <v>107.90258828666846</v>
      </c>
      <c r="I44" s="344">
        <v>126.39004080456415</v>
      </c>
      <c r="J44" s="344">
        <f>VLOOKUP($C44,$AA$6:$AD$13,3,FALSE)</f>
        <v>105.15603799185889</v>
      </c>
      <c r="K44" s="344">
        <f>VLOOKUP($C44,$AA$6:$AD$13,4,FALSE)</f>
        <v>140.4741000877963</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5</v>
      </c>
      <c r="N44" s="61">
        <f>MIN($G$6:$G$31)</f>
        <v>37.650602409638552</v>
      </c>
      <c r="O44" s="61">
        <f>VLOOKUP(7,$E$5:$G$39,3,FALSE)</f>
        <v>99.502487562189046</v>
      </c>
      <c r="P44" s="344">
        <f>$G$32</f>
        <v>112.7210564426429</v>
      </c>
      <c r="Q44" s="129">
        <f>$H$32</f>
        <v>107.10660922412798</v>
      </c>
      <c r="R44" s="129">
        <f>$I$32</f>
        <v>118.55343472947511</v>
      </c>
      <c r="S44" s="61">
        <f>VLOOKUP(20,$E$5:$G$39,3,FALSE)</f>
        <v>124.58942122550685</v>
      </c>
      <c r="T44" s="61">
        <f>MAX($G$6:$G$31)</f>
        <v>159.37605968124788</v>
      </c>
    </row>
    <row r="45" spans="1:22" x14ac:dyDescent="0.2">
      <c r="C45" s="62" t="s">
        <v>201</v>
      </c>
      <c r="D45" s="62"/>
      <c r="E45" s="62"/>
      <c r="F45" s="128">
        <v>390</v>
      </c>
      <c r="G45" s="344">
        <v>106.44976389988263</v>
      </c>
      <c r="H45" s="344">
        <v>96.145597879786308</v>
      </c>
      <c r="I45" s="344">
        <v>117.557316811115</v>
      </c>
      <c r="J45" s="344">
        <f>VLOOKUP($C45,$AA$14:$AD$22,3,FALSE)</f>
        <v>37.650602409638552</v>
      </c>
      <c r="K45" s="344">
        <f>VLOOKUP($C45,$AA$14:$AD$22,4,FALSE)</f>
        <v>145.46810891458412</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5</v>
      </c>
      <c r="N45" s="61">
        <f>MIN($G$6:$G$31)</f>
        <v>37.650602409638552</v>
      </c>
      <c r="O45" s="61">
        <f>VLOOKUP(7,$E$5:$G$39,3,FALSE)</f>
        <v>99.502487562189046</v>
      </c>
      <c r="P45" s="344">
        <f>$G$32</f>
        <v>112.7210564426429</v>
      </c>
      <c r="Q45" s="129">
        <f t="shared" ref="Q45:Q46" si="25">$H$32</f>
        <v>107.10660922412798</v>
      </c>
      <c r="R45" s="129">
        <f t="shared" ref="R45:R46" si="26">$I$32</f>
        <v>118.55343472947511</v>
      </c>
      <c r="S45" s="61">
        <f>VLOOKUP(20,$E$5:$G$39,3,FALSE)</f>
        <v>124.58942122550685</v>
      </c>
      <c r="T45" s="61">
        <f t="shared" ref="T45:T46" si="27">MAX($G$6:$G$31)</f>
        <v>159.37605968124788</v>
      </c>
    </row>
    <row r="46" spans="1:22" x14ac:dyDescent="0.2">
      <c r="C46" s="62" t="s">
        <v>200</v>
      </c>
      <c r="D46" s="62"/>
      <c r="E46" s="62"/>
      <c r="F46" s="128">
        <v>493</v>
      </c>
      <c r="G46" s="344">
        <v>112.88180610889775</v>
      </c>
      <c r="H46" s="344">
        <v>103.13590041165718</v>
      </c>
      <c r="I46" s="344">
        <v>123.30042333186331</v>
      </c>
      <c r="J46" s="344">
        <f>VLOOKUP($C46,$AA$23:$AD$31,3,FALSE)</f>
        <v>85.539057456423507</v>
      </c>
      <c r="K46" s="344">
        <f>VLOOKUP($C46,$AA$23:$AD$31,4,FALSE)</f>
        <v>159.37605968124788</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5</v>
      </c>
      <c r="N46" s="61">
        <f>MIN($G$6:$G$31)</f>
        <v>37.650602409638552</v>
      </c>
      <c r="O46" s="61">
        <f>VLOOKUP(7,$E$5:$G$39,3,FALSE)</f>
        <v>99.502487562189046</v>
      </c>
      <c r="P46" s="344">
        <f t="shared" ref="P46" si="28">$G$32</f>
        <v>112.7210564426429</v>
      </c>
      <c r="Q46" s="129">
        <f t="shared" si="25"/>
        <v>107.10660922412798</v>
      </c>
      <c r="R46" s="129">
        <f t="shared" si="26"/>
        <v>118.55343472947511</v>
      </c>
      <c r="S46" s="61">
        <f>VLOOKUP(20,$E$5:$G$39,3,FALSE)</f>
        <v>124.58942122550685</v>
      </c>
      <c r="T46" s="61">
        <f t="shared" si="27"/>
        <v>159.37605968124788</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K2:N2" xr:uid="{00000000-0002-0000-3600-000000000000}">
      <formula1>"High = Worst,Low = Worst"</formula1>
    </dataValidation>
    <dataValidation type="list" allowBlank="1" showInputMessage="1" showErrorMessage="1" sqref="C2:D2" xr:uid="{00000000-0002-0000-3600-000001000000}">
      <formula1>"Better / Worse,Higher / Lower,Significance not measured"</formula1>
    </dataValidation>
  </dataValidations>
  <pageMargins left="0.75" right="0.75" top="1" bottom="1" header="0.5" footer="0.5"/>
  <pageSetup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5">
    <tabColor theme="6" tint="0.39997558519241921"/>
  </sheetPr>
  <dimension ref="A1:AK55"/>
  <sheetViews>
    <sheetView workbookViewId="0">
      <selection activeCell="F6" sqref="F6:F31"/>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8" width="7.33203125" style="21" customWidth="1"/>
    <col min="9" max="9" width="6.886718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5.554687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5</v>
      </c>
      <c r="F6" s="128">
        <v>71</v>
      </c>
      <c r="G6" s="129">
        <v>120.07441231185523</v>
      </c>
      <c r="H6" s="129">
        <v>93.775199936752969</v>
      </c>
      <c r="I6" s="129">
        <v>151.45968253145142</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2</v>
      </c>
      <c r="N6" s="61">
        <f>MIN($G$6:$G$32)</f>
        <v>76.412628192238088</v>
      </c>
      <c r="O6" s="61">
        <f>VLOOKUP(7,$E$5:$G$39,3,FALSE)</f>
        <v>158.9041095890411</v>
      </c>
      <c r="P6" s="129">
        <f>$G$32</f>
        <v>159.68281681943839</v>
      </c>
      <c r="Q6" s="129">
        <f>$H$32</f>
        <v>153.0717674572648</v>
      </c>
      <c r="R6" s="129">
        <f>$I$32</f>
        <v>166.50593699934663</v>
      </c>
      <c r="S6" s="61">
        <f>VLOOKUP(20,$E$5:$G$39,3,FALSE)</f>
        <v>221.00819468587039</v>
      </c>
      <c r="T6" s="61">
        <f t="shared" ref="T6:T31" si="1">MAX($G$6:$G$31)</f>
        <v>273.66863905325442</v>
      </c>
      <c r="U6" s="61">
        <f>VLOOKUP(C6,$C$43:$I$46,5,FALSE)</f>
        <v>121.1652487754576</v>
      </c>
      <c r="V6" s="61"/>
      <c r="Y6" s="159" t="s">
        <v>33</v>
      </c>
      <c r="Z6" s="159" t="s">
        <v>58</v>
      </c>
      <c r="AA6" s="159" t="s">
        <v>163</v>
      </c>
      <c r="AB6" s="159">
        <f>RANK(AH6,$AH$6:$AH$13,1)</f>
        <v>8</v>
      </c>
      <c r="AC6" s="164">
        <f>MIN($AH$6:$AH$13)</f>
        <v>158.9041095890411</v>
      </c>
      <c r="AD6" s="164">
        <f>MAX($AH$6:$AH$13)</f>
        <v>273.66863905325442</v>
      </c>
      <c r="AE6" s="159"/>
      <c r="AF6" s="159">
        <f>VLOOKUP($Y6,$A$6:$I$31,5,FALSE)</f>
        <v>26</v>
      </c>
      <c r="AG6" s="160">
        <f>VLOOKUP($Y6,$A$6:$I$31,6,FALSE)</f>
        <v>111</v>
      </c>
      <c r="AH6" s="161">
        <f>VLOOKUP($Y6,$A$6:$I$31,7,FALSE)</f>
        <v>273.66863905325442</v>
      </c>
      <c r="AI6" s="161">
        <f>VLOOKUP($Y6,$A$6:$I$31,8,FALSE)</f>
        <v>225.1271070028553</v>
      </c>
      <c r="AJ6" s="161">
        <f>VLOOKUP($Y6,$A$6:$I$31,9,FALSE)</f>
        <v>329.5703570207985</v>
      </c>
      <c r="AK6" s="160">
        <f>VLOOKUP($Y6,$A$6:$M$31,13,FALSE)</f>
        <v>1</v>
      </c>
    </row>
    <row r="7" spans="1:37" x14ac:dyDescent="0.2">
      <c r="A7" s="62" t="s">
        <v>30</v>
      </c>
      <c r="B7" s="62" t="s">
        <v>56</v>
      </c>
      <c r="C7" s="62" t="s">
        <v>200</v>
      </c>
      <c r="D7" s="62"/>
      <c r="E7" s="62">
        <f t="shared" ref="E7:E31" si="2">RANK(G7,$G$6:$G$31,1)</f>
        <v>14</v>
      </c>
      <c r="F7" s="128">
        <v>75</v>
      </c>
      <c r="G7" s="129">
        <v>196.64394336654431</v>
      </c>
      <c r="H7" s="129">
        <v>154.66706708330165</v>
      </c>
      <c r="I7" s="129">
        <v>246.49816639920746</v>
      </c>
      <c r="J7" s="129"/>
      <c r="K7" s="129"/>
      <c r="L7" s="129"/>
      <c r="M7" s="60">
        <f t="shared" si="0"/>
        <v>5</v>
      </c>
      <c r="N7" s="61">
        <f t="shared" ref="N7:N31" si="3">MIN($G$6:$G$32)</f>
        <v>76.412628192238088</v>
      </c>
      <c r="O7" s="61">
        <f>VLOOKUP(7,$E$5:$G$39,3,FALSE)</f>
        <v>158.9041095890411</v>
      </c>
      <c r="P7" s="129">
        <f t="shared" ref="P7:P31" si="4">$G$32</f>
        <v>159.68281681943839</v>
      </c>
      <c r="Q7" s="129">
        <f t="shared" ref="Q7:Q31" si="5">$H$32</f>
        <v>153.0717674572648</v>
      </c>
      <c r="R7" s="129">
        <f t="shared" ref="R7:R31" si="6">$I$32</f>
        <v>166.50593699934663</v>
      </c>
      <c r="S7" s="61">
        <f t="shared" ref="S7:S31" si="7">VLOOKUP(20,$E$5:$G$39,3,FALSE)</f>
        <v>221.00819468587039</v>
      </c>
      <c r="T7" s="61">
        <f t="shared" si="1"/>
        <v>273.66863905325442</v>
      </c>
      <c r="U7" s="61">
        <f>VLOOKUP(C7,$C$43:$I$46,5,FALSE)</f>
        <v>209.51756303745807</v>
      </c>
      <c r="V7" s="61"/>
      <c r="Y7" s="159" t="s">
        <v>35</v>
      </c>
      <c r="Z7" s="159" t="s">
        <v>60</v>
      </c>
      <c r="AA7" s="159" t="s">
        <v>163</v>
      </c>
      <c r="AB7" s="159">
        <f t="shared" ref="AB7:AB12" si="8">RANK(AH7,$AH$6:$AH$13,1)</f>
        <v>7</v>
      </c>
      <c r="AC7" s="164">
        <f>MIN($AH$6:$AH$13)</f>
        <v>158.9041095890411</v>
      </c>
      <c r="AD7" s="164">
        <f t="shared" ref="AD7:AD13" si="9">MAX($AH$6:$AH$13)</f>
        <v>273.66863905325442</v>
      </c>
      <c r="AE7" s="159"/>
      <c r="AF7" s="159">
        <f t="shared" ref="AF7:AF31" si="10">VLOOKUP($Y7,$A$6:$I$31,5,FALSE)</f>
        <v>24</v>
      </c>
      <c r="AG7" s="160">
        <f t="shared" ref="AG7:AG31" si="11">VLOOKUP($Y7,$A$6:$I$31,6,FALSE)</f>
        <v>116</v>
      </c>
      <c r="AH7" s="161">
        <f t="shared" ref="AH7:AH31" si="12">VLOOKUP($Y7,$A$6:$I$31,7,FALSE)</f>
        <v>250</v>
      </c>
      <c r="AI7" s="161">
        <f t="shared" ref="AI7:AI31" si="13">VLOOKUP($Y7,$A$6:$I$31,8,FALSE)</f>
        <v>206.57611315757623</v>
      </c>
      <c r="AJ7" s="161">
        <f t="shared" ref="AJ7:AJ31" si="14">VLOOKUP($Y7,$A$6:$I$31,9,FALSE)</f>
        <v>299.85353082723549</v>
      </c>
      <c r="AK7" s="160">
        <f t="shared" ref="AK7:AK31" si="15">VLOOKUP($Y7,$A$6:$M$31,13,FALSE)</f>
        <v>1</v>
      </c>
    </row>
    <row r="8" spans="1:37" x14ac:dyDescent="0.2">
      <c r="A8" s="62" t="s">
        <v>31</v>
      </c>
      <c r="B8" s="62" t="s">
        <v>57</v>
      </c>
      <c r="C8" s="62" t="s">
        <v>200</v>
      </c>
      <c r="D8" s="62"/>
      <c r="E8" s="62">
        <f t="shared" si="2"/>
        <v>20</v>
      </c>
      <c r="F8" s="128">
        <v>89</v>
      </c>
      <c r="G8" s="129">
        <v>221.00819468587039</v>
      </c>
      <c r="H8" s="129">
        <v>177.4827103838426</v>
      </c>
      <c r="I8" s="129">
        <v>271.97255041079444</v>
      </c>
      <c r="J8" s="129"/>
      <c r="K8" s="129"/>
      <c r="L8" s="129"/>
      <c r="M8" s="60">
        <f t="shared" si="0"/>
        <v>1</v>
      </c>
      <c r="N8" s="61">
        <f t="shared" si="3"/>
        <v>76.412628192238088</v>
      </c>
      <c r="O8" s="61">
        <f t="shared" ref="O8:O31" si="16">VLOOKUP(7,$E$5:$G$39,3,FALSE)</f>
        <v>158.9041095890411</v>
      </c>
      <c r="P8" s="129">
        <f t="shared" si="4"/>
        <v>159.68281681943839</v>
      </c>
      <c r="Q8" s="129">
        <f t="shared" si="5"/>
        <v>153.0717674572648</v>
      </c>
      <c r="R8" s="129">
        <f t="shared" si="6"/>
        <v>166.50593699934663</v>
      </c>
      <c r="S8" s="61">
        <f t="shared" si="7"/>
        <v>221.00819468587039</v>
      </c>
      <c r="T8" s="61">
        <f t="shared" si="1"/>
        <v>273.66863905325442</v>
      </c>
      <c r="U8" s="61">
        <f t="shared" ref="U8:U31" si="17">VLOOKUP(C8,$C$43:$I$46,5,FALSE)</f>
        <v>209.51756303745807</v>
      </c>
      <c r="V8" s="61"/>
      <c r="Y8" s="159" t="s">
        <v>41</v>
      </c>
      <c r="Z8" s="159" t="s">
        <v>64</v>
      </c>
      <c r="AA8" s="159" t="s">
        <v>163</v>
      </c>
      <c r="AB8" s="159">
        <f t="shared" si="8"/>
        <v>6</v>
      </c>
      <c r="AC8" s="164">
        <f t="shared" ref="AC8:AC13" si="18">MIN($AH$6:$AH$13)</f>
        <v>158.9041095890411</v>
      </c>
      <c r="AD8" s="164">
        <f>MAX($AH$6:$AH$13)</f>
        <v>273.66863905325442</v>
      </c>
      <c r="AE8" s="159"/>
      <c r="AF8" s="159">
        <f t="shared" si="10"/>
        <v>21</v>
      </c>
      <c r="AG8" s="160">
        <f t="shared" si="11"/>
        <v>92</v>
      </c>
      <c r="AH8" s="161">
        <f t="shared" si="12"/>
        <v>225.545476832557</v>
      </c>
      <c r="AI8" s="161">
        <f t="shared" si="13"/>
        <v>181.81663034719679</v>
      </c>
      <c r="AJ8" s="161">
        <f t="shared" si="14"/>
        <v>276.61438638209103</v>
      </c>
      <c r="AK8" s="160">
        <f t="shared" si="15"/>
        <v>1</v>
      </c>
    </row>
    <row r="9" spans="1:37" x14ac:dyDescent="0.2">
      <c r="A9" s="62" t="s">
        <v>32</v>
      </c>
      <c r="B9" s="62" t="s">
        <v>156</v>
      </c>
      <c r="C9" s="62" t="s">
        <v>201</v>
      </c>
      <c r="D9" s="62"/>
      <c r="E9" s="62">
        <f t="shared" si="2"/>
        <v>22</v>
      </c>
      <c r="F9" s="128">
        <v>137</v>
      </c>
      <c r="G9" s="129">
        <v>230.05877413937867</v>
      </c>
      <c r="H9" s="129">
        <v>193.14687887076479</v>
      </c>
      <c r="I9" s="129">
        <v>271.96881663610247</v>
      </c>
      <c r="J9" s="129"/>
      <c r="K9" s="129"/>
      <c r="L9" s="129"/>
      <c r="M9" s="60">
        <f t="shared" si="0"/>
        <v>1</v>
      </c>
      <c r="N9" s="61">
        <f t="shared" si="3"/>
        <v>76.412628192238088</v>
      </c>
      <c r="O9" s="61">
        <f t="shared" si="16"/>
        <v>158.9041095890411</v>
      </c>
      <c r="P9" s="129">
        <f t="shared" si="4"/>
        <v>159.68281681943839</v>
      </c>
      <c r="Q9" s="129">
        <f t="shared" si="5"/>
        <v>153.0717674572648</v>
      </c>
      <c r="R9" s="129">
        <f t="shared" si="6"/>
        <v>166.50593699934663</v>
      </c>
      <c r="S9" s="61">
        <f t="shared" si="7"/>
        <v>221.00819468587039</v>
      </c>
      <c r="T9" s="61">
        <f t="shared" si="1"/>
        <v>273.66863905325442</v>
      </c>
      <c r="U9" s="61">
        <f t="shared" si="17"/>
        <v>121.1652487754576</v>
      </c>
      <c r="V9" s="61"/>
      <c r="X9" s="63"/>
      <c r="Y9" s="159" t="s">
        <v>45</v>
      </c>
      <c r="Z9" s="159" t="s">
        <v>67</v>
      </c>
      <c r="AA9" s="159" t="s">
        <v>163</v>
      </c>
      <c r="AB9" s="159">
        <f t="shared" si="8"/>
        <v>2</v>
      </c>
      <c r="AC9" s="164">
        <f t="shared" si="18"/>
        <v>158.9041095890411</v>
      </c>
      <c r="AD9" s="164">
        <f t="shared" si="9"/>
        <v>273.66863905325442</v>
      </c>
      <c r="AE9" s="159"/>
      <c r="AF9" s="159">
        <f t="shared" si="10"/>
        <v>8</v>
      </c>
      <c r="AG9" s="160">
        <f t="shared" si="11"/>
        <v>48</v>
      </c>
      <c r="AH9" s="161">
        <f t="shared" si="12"/>
        <v>170.51509769094139</v>
      </c>
      <c r="AI9" s="161">
        <f t="shared" si="13"/>
        <v>125.71394216885254</v>
      </c>
      <c r="AJ9" s="161">
        <f t="shared" si="14"/>
        <v>226.08326325710891</v>
      </c>
      <c r="AK9" s="160">
        <f t="shared" si="15"/>
        <v>5</v>
      </c>
    </row>
    <row r="10" spans="1:37" x14ac:dyDescent="0.2">
      <c r="A10" s="62" t="s">
        <v>33</v>
      </c>
      <c r="B10" s="62" t="s">
        <v>58</v>
      </c>
      <c r="C10" s="62" t="s">
        <v>163</v>
      </c>
      <c r="D10" s="62"/>
      <c r="E10" s="62">
        <f t="shared" si="2"/>
        <v>26</v>
      </c>
      <c r="F10" s="128">
        <v>111</v>
      </c>
      <c r="G10" s="129">
        <v>273.66863905325442</v>
      </c>
      <c r="H10" s="129">
        <v>225.1271070028553</v>
      </c>
      <c r="I10" s="129">
        <v>329.5703570207985</v>
      </c>
      <c r="J10" s="129"/>
      <c r="K10" s="129"/>
      <c r="L10" s="129"/>
      <c r="M10" s="60">
        <f t="shared" si="0"/>
        <v>1</v>
      </c>
      <c r="N10" s="61">
        <f t="shared" si="3"/>
        <v>76.412628192238088</v>
      </c>
      <c r="O10" s="61">
        <f t="shared" si="16"/>
        <v>158.9041095890411</v>
      </c>
      <c r="P10" s="129">
        <f t="shared" si="4"/>
        <v>159.68281681943839</v>
      </c>
      <c r="Q10" s="129">
        <f t="shared" si="5"/>
        <v>153.0717674572648</v>
      </c>
      <c r="R10" s="129">
        <f t="shared" si="6"/>
        <v>166.50593699934663</v>
      </c>
      <c r="S10" s="61">
        <f t="shared" si="7"/>
        <v>221.00819468587039</v>
      </c>
      <c r="T10" s="61">
        <f t="shared" si="1"/>
        <v>273.66863905325442</v>
      </c>
      <c r="U10" s="61">
        <f t="shared" si="17"/>
        <v>209.64360587002096</v>
      </c>
      <c r="V10" s="61"/>
      <c r="Y10" s="159" t="s">
        <v>46</v>
      </c>
      <c r="Z10" s="159" t="s">
        <v>68</v>
      </c>
      <c r="AA10" s="159" t="s">
        <v>163</v>
      </c>
      <c r="AB10" s="159">
        <f t="shared" si="8"/>
        <v>4</v>
      </c>
      <c r="AC10" s="164">
        <f t="shared" si="18"/>
        <v>158.9041095890411</v>
      </c>
      <c r="AD10" s="164">
        <f t="shared" si="9"/>
        <v>273.66863905325442</v>
      </c>
      <c r="AE10" s="159"/>
      <c r="AF10" s="159">
        <f t="shared" si="10"/>
        <v>13</v>
      </c>
      <c r="AG10" s="160">
        <f t="shared" si="11"/>
        <v>75</v>
      </c>
      <c r="AH10" s="161">
        <f t="shared" si="12"/>
        <v>188.20577164366372</v>
      </c>
      <c r="AI10" s="161">
        <f t="shared" si="13"/>
        <v>148.03016156981494</v>
      </c>
      <c r="AJ10" s="161">
        <f t="shared" si="14"/>
        <v>235.92070430277977</v>
      </c>
      <c r="AK10" s="160">
        <f t="shared" si="15"/>
        <v>5</v>
      </c>
    </row>
    <row r="11" spans="1:37" x14ac:dyDescent="0.2">
      <c r="A11" s="62" t="s">
        <v>34</v>
      </c>
      <c r="B11" s="62" t="s">
        <v>59</v>
      </c>
      <c r="C11" s="62" t="s">
        <v>200</v>
      </c>
      <c r="D11" s="62"/>
      <c r="E11" s="62">
        <f t="shared" si="2"/>
        <v>18</v>
      </c>
      <c r="F11" s="128">
        <v>118</v>
      </c>
      <c r="G11" s="129">
        <v>210.00177967609892</v>
      </c>
      <c r="H11" s="129">
        <v>173.82097912089938</v>
      </c>
      <c r="I11" s="129">
        <v>251.49066759526195</v>
      </c>
      <c r="J11" s="129"/>
      <c r="K11" s="129"/>
      <c r="L11" s="129"/>
      <c r="M11" s="60">
        <f t="shared" si="0"/>
        <v>1</v>
      </c>
      <c r="N11" s="61">
        <f t="shared" si="3"/>
        <v>76.412628192238088</v>
      </c>
      <c r="O11" s="61">
        <f t="shared" si="16"/>
        <v>158.9041095890411</v>
      </c>
      <c r="P11" s="129">
        <f t="shared" si="4"/>
        <v>159.68281681943839</v>
      </c>
      <c r="Q11" s="129">
        <f t="shared" si="5"/>
        <v>153.0717674572648</v>
      </c>
      <c r="R11" s="129">
        <f t="shared" si="6"/>
        <v>166.50593699934663</v>
      </c>
      <c r="S11" s="61">
        <f t="shared" si="7"/>
        <v>221.00819468587039</v>
      </c>
      <c r="T11" s="61">
        <f t="shared" si="1"/>
        <v>273.66863905325442</v>
      </c>
      <c r="U11" s="61">
        <f t="shared" si="17"/>
        <v>209.51756303745807</v>
      </c>
      <c r="V11" s="61"/>
      <c r="Y11" s="159" t="s">
        <v>47</v>
      </c>
      <c r="Z11" s="159" t="s">
        <v>69</v>
      </c>
      <c r="AA11" s="159" t="s">
        <v>163</v>
      </c>
      <c r="AB11" s="159">
        <f t="shared" si="8"/>
        <v>1</v>
      </c>
      <c r="AC11" s="164">
        <f t="shared" si="18"/>
        <v>158.9041095890411</v>
      </c>
      <c r="AD11" s="164">
        <f t="shared" si="9"/>
        <v>273.66863905325442</v>
      </c>
      <c r="AE11" s="159"/>
      <c r="AF11" s="159">
        <f t="shared" si="10"/>
        <v>7</v>
      </c>
      <c r="AG11" s="160">
        <f t="shared" si="11"/>
        <v>29</v>
      </c>
      <c r="AH11" s="161">
        <f t="shared" si="12"/>
        <v>158.9041095890411</v>
      </c>
      <c r="AI11" s="161">
        <f t="shared" si="13"/>
        <v>106.39854896591545</v>
      </c>
      <c r="AJ11" s="161">
        <f t="shared" si="14"/>
        <v>228.22108378726111</v>
      </c>
      <c r="AK11" s="160">
        <f t="shared" si="15"/>
        <v>5</v>
      </c>
    </row>
    <row r="12" spans="1:37" x14ac:dyDescent="0.2">
      <c r="A12" s="62" t="s">
        <v>35</v>
      </c>
      <c r="B12" s="62" t="s">
        <v>60</v>
      </c>
      <c r="C12" s="62" t="s">
        <v>163</v>
      </c>
      <c r="D12" s="62"/>
      <c r="E12" s="62">
        <f t="shared" si="2"/>
        <v>24</v>
      </c>
      <c r="F12" s="128">
        <v>116</v>
      </c>
      <c r="G12" s="129">
        <v>250</v>
      </c>
      <c r="H12" s="129">
        <v>206.57611315757623</v>
      </c>
      <c r="I12" s="129">
        <v>299.85353082723549</v>
      </c>
      <c r="J12" s="129"/>
      <c r="K12" s="129"/>
      <c r="L12" s="129"/>
      <c r="M12" s="60">
        <f t="shared" si="0"/>
        <v>1</v>
      </c>
      <c r="N12" s="61">
        <f t="shared" si="3"/>
        <v>76.412628192238088</v>
      </c>
      <c r="O12" s="61">
        <f t="shared" si="16"/>
        <v>158.9041095890411</v>
      </c>
      <c r="P12" s="129">
        <f t="shared" si="4"/>
        <v>159.68281681943839</v>
      </c>
      <c r="Q12" s="129">
        <f t="shared" si="5"/>
        <v>153.0717674572648</v>
      </c>
      <c r="R12" s="129">
        <f t="shared" si="6"/>
        <v>166.50593699934663</v>
      </c>
      <c r="S12" s="61">
        <f t="shared" si="7"/>
        <v>221.00819468587039</v>
      </c>
      <c r="T12" s="61">
        <f t="shared" si="1"/>
        <v>273.66863905325442</v>
      </c>
      <c r="U12" s="61">
        <f t="shared" si="17"/>
        <v>209.64360587002096</v>
      </c>
      <c r="V12" s="61"/>
      <c r="Y12" s="159" t="s">
        <v>50</v>
      </c>
      <c r="Z12" s="159" t="s">
        <v>161</v>
      </c>
      <c r="AA12" s="159" t="s">
        <v>163</v>
      </c>
      <c r="AB12" s="159">
        <f t="shared" si="8"/>
        <v>5</v>
      </c>
      <c r="AC12" s="164">
        <f t="shared" si="18"/>
        <v>158.9041095890411</v>
      </c>
      <c r="AD12" s="164">
        <f t="shared" si="9"/>
        <v>273.66863905325442</v>
      </c>
      <c r="AE12" s="159"/>
      <c r="AF12" s="159">
        <f t="shared" si="10"/>
        <v>16</v>
      </c>
      <c r="AG12" s="160">
        <f t="shared" si="11"/>
        <v>35</v>
      </c>
      <c r="AH12" s="161">
        <f t="shared" si="12"/>
        <v>202.5462962962963</v>
      </c>
      <c r="AI12" s="161">
        <f t="shared" si="13"/>
        <v>141.06024579239664</v>
      </c>
      <c r="AJ12" s="161">
        <f t="shared" si="14"/>
        <v>281.70144269392358</v>
      </c>
      <c r="AK12" s="160">
        <f t="shared" si="15"/>
        <v>5</v>
      </c>
    </row>
    <row r="13" spans="1:37" x14ac:dyDescent="0.2">
      <c r="A13" s="62" t="s">
        <v>36</v>
      </c>
      <c r="B13" s="62" t="s">
        <v>61</v>
      </c>
      <c r="C13" s="62" t="s">
        <v>201</v>
      </c>
      <c r="D13" s="62"/>
      <c r="E13" s="62">
        <f t="shared" si="2"/>
        <v>2</v>
      </c>
      <c r="F13" s="128">
        <v>249</v>
      </c>
      <c r="G13" s="129">
        <v>84.272514976139703</v>
      </c>
      <c r="H13" s="129">
        <v>74.128995839426082</v>
      </c>
      <c r="I13" s="129">
        <v>95.416312882904876</v>
      </c>
      <c r="J13" s="129"/>
      <c r="K13" s="129"/>
      <c r="L13" s="129"/>
      <c r="M13" s="60">
        <f t="shared" si="0"/>
        <v>2</v>
      </c>
      <c r="N13" s="61">
        <f t="shared" si="3"/>
        <v>76.412628192238088</v>
      </c>
      <c r="O13" s="61">
        <f t="shared" si="16"/>
        <v>158.9041095890411</v>
      </c>
      <c r="P13" s="129">
        <f t="shared" si="4"/>
        <v>159.68281681943839</v>
      </c>
      <c r="Q13" s="129">
        <f t="shared" si="5"/>
        <v>153.0717674572648</v>
      </c>
      <c r="R13" s="129">
        <f t="shared" si="6"/>
        <v>166.50593699934663</v>
      </c>
      <c r="S13" s="61">
        <f t="shared" si="7"/>
        <v>221.00819468587039</v>
      </c>
      <c r="T13" s="61">
        <f t="shared" si="1"/>
        <v>273.66863905325442</v>
      </c>
      <c r="U13" s="61">
        <f t="shared" si="17"/>
        <v>121.1652487754576</v>
      </c>
      <c r="V13" s="61"/>
      <c r="Y13" s="159" t="s">
        <v>53</v>
      </c>
      <c r="Z13" s="159" t="s">
        <v>162</v>
      </c>
      <c r="AA13" s="159" t="s">
        <v>163</v>
      </c>
      <c r="AB13" s="159">
        <f>RANK(AH13,$AH$6:$AH$13,1)</f>
        <v>3</v>
      </c>
      <c r="AC13" s="164">
        <f t="shared" si="18"/>
        <v>158.9041095890411</v>
      </c>
      <c r="AD13" s="164">
        <f t="shared" si="9"/>
        <v>273.66863905325442</v>
      </c>
      <c r="AE13" s="159"/>
      <c r="AF13" s="159">
        <f t="shared" si="10"/>
        <v>12</v>
      </c>
      <c r="AG13" s="160">
        <f t="shared" si="11"/>
        <v>174</v>
      </c>
      <c r="AH13" s="161">
        <f t="shared" si="12"/>
        <v>186.93596905887409</v>
      </c>
      <c r="AI13" s="161">
        <f t="shared" si="13"/>
        <v>160.1898535223479</v>
      </c>
      <c r="AJ13" s="161">
        <f t="shared" si="14"/>
        <v>216.87000821483605</v>
      </c>
      <c r="AK13" s="160">
        <f t="shared" si="15"/>
        <v>5</v>
      </c>
    </row>
    <row r="14" spans="1:37" x14ac:dyDescent="0.2">
      <c r="A14" s="62" t="s">
        <v>37</v>
      </c>
      <c r="B14" s="62" t="s">
        <v>157</v>
      </c>
      <c r="C14" s="62" t="s">
        <v>201</v>
      </c>
      <c r="D14" s="62"/>
      <c r="E14" s="62">
        <f t="shared" si="2"/>
        <v>3</v>
      </c>
      <c r="F14" s="128">
        <v>191</v>
      </c>
      <c r="G14" s="129">
        <v>102.99272040981397</v>
      </c>
      <c r="H14" s="129">
        <v>88.903040897251486</v>
      </c>
      <c r="I14" s="129">
        <v>118.6807027663926</v>
      </c>
      <c r="J14" s="129"/>
      <c r="K14" s="129"/>
      <c r="L14" s="129"/>
      <c r="M14" s="60">
        <f t="shared" si="0"/>
        <v>2</v>
      </c>
      <c r="N14" s="61">
        <f t="shared" si="3"/>
        <v>76.412628192238088</v>
      </c>
      <c r="O14" s="61">
        <f t="shared" si="16"/>
        <v>158.9041095890411</v>
      </c>
      <c r="P14" s="129">
        <f t="shared" si="4"/>
        <v>159.68281681943839</v>
      </c>
      <c r="Q14" s="129">
        <f t="shared" si="5"/>
        <v>153.0717674572648</v>
      </c>
      <c r="R14" s="129">
        <f t="shared" si="6"/>
        <v>166.50593699934663</v>
      </c>
      <c r="S14" s="61">
        <f t="shared" si="7"/>
        <v>221.00819468587039</v>
      </c>
      <c r="T14" s="61">
        <f t="shared" si="1"/>
        <v>273.66863905325442</v>
      </c>
      <c r="U14" s="61">
        <f t="shared" si="17"/>
        <v>121.1652487754576</v>
      </c>
      <c r="V14" s="61"/>
      <c r="Y14" s="162" t="s">
        <v>29</v>
      </c>
      <c r="Z14" s="162" t="s">
        <v>55</v>
      </c>
      <c r="AA14" s="162" t="s">
        <v>201</v>
      </c>
      <c r="AB14" s="162">
        <f>RANK(AH14,$AH$14:$AH$22,1)</f>
        <v>5</v>
      </c>
      <c r="AC14" s="165">
        <f t="shared" ref="AC14:AC22" si="19">MIN($AH$14:$AH$22)</f>
        <v>76.412628192238088</v>
      </c>
      <c r="AD14" s="165">
        <f>MAX($AH$14:$AH$22)</f>
        <v>236.73157693776253</v>
      </c>
      <c r="AE14" s="162"/>
      <c r="AF14" s="162">
        <f t="shared" si="10"/>
        <v>5</v>
      </c>
      <c r="AG14" s="167">
        <f t="shared" si="11"/>
        <v>71</v>
      </c>
      <c r="AH14" s="165">
        <f t="shared" si="12"/>
        <v>120.07441231185523</v>
      </c>
      <c r="AI14" s="165">
        <f t="shared" si="13"/>
        <v>93.775199936752969</v>
      </c>
      <c r="AJ14" s="165">
        <f t="shared" si="14"/>
        <v>151.45968253145142</v>
      </c>
      <c r="AK14" s="167">
        <f t="shared" si="15"/>
        <v>2</v>
      </c>
    </row>
    <row r="15" spans="1:37" x14ac:dyDescent="0.2">
      <c r="A15" s="62" t="s">
        <v>38</v>
      </c>
      <c r="B15" s="62" t="s">
        <v>62</v>
      </c>
      <c r="C15" s="62" t="s">
        <v>201</v>
      </c>
      <c r="D15" s="62"/>
      <c r="E15" s="62">
        <f t="shared" si="2"/>
        <v>23</v>
      </c>
      <c r="F15" s="128">
        <v>62</v>
      </c>
      <c r="G15" s="129">
        <v>236.73157693776253</v>
      </c>
      <c r="H15" s="129">
        <v>181.49115528660795</v>
      </c>
      <c r="I15" s="129">
        <v>303.48423492721327</v>
      </c>
      <c r="J15" s="129"/>
      <c r="K15" s="129"/>
      <c r="L15" s="129"/>
      <c r="M15" s="60">
        <f t="shared" si="0"/>
        <v>1</v>
      </c>
      <c r="N15" s="61">
        <f t="shared" si="3"/>
        <v>76.412628192238088</v>
      </c>
      <c r="O15" s="61">
        <f t="shared" si="16"/>
        <v>158.9041095890411</v>
      </c>
      <c r="P15" s="129">
        <f t="shared" si="4"/>
        <v>159.68281681943839</v>
      </c>
      <c r="Q15" s="129">
        <f t="shared" si="5"/>
        <v>153.0717674572648</v>
      </c>
      <c r="R15" s="129">
        <f t="shared" si="6"/>
        <v>166.50593699934663</v>
      </c>
      <c r="S15" s="61">
        <f t="shared" si="7"/>
        <v>221.00819468587039</v>
      </c>
      <c r="T15" s="61">
        <f t="shared" si="1"/>
        <v>273.66863905325442</v>
      </c>
      <c r="U15" s="61">
        <f t="shared" si="17"/>
        <v>121.1652487754576</v>
      </c>
      <c r="V15" s="61"/>
      <c r="Y15" s="162" t="s">
        <v>32</v>
      </c>
      <c r="Z15" s="162" t="s">
        <v>156</v>
      </c>
      <c r="AA15" s="162" t="s">
        <v>201</v>
      </c>
      <c r="AB15" s="162">
        <f>RANK(AH15,$AH$14:$AH$22,1)</f>
        <v>8</v>
      </c>
      <c r="AC15" s="165">
        <f t="shared" si="19"/>
        <v>76.412628192238088</v>
      </c>
      <c r="AD15" s="165">
        <f t="shared" ref="AD15:AD22" si="20">MAX($AH$14:$AH$22)</f>
        <v>236.73157693776253</v>
      </c>
      <c r="AE15" s="162"/>
      <c r="AF15" s="162">
        <f t="shared" si="10"/>
        <v>22</v>
      </c>
      <c r="AG15" s="167">
        <f t="shared" si="11"/>
        <v>137</v>
      </c>
      <c r="AH15" s="165">
        <f t="shared" si="12"/>
        <v>230.05877413937867</v>
      </c>
      <c r="AI15" s="165">
        <f t="shared" si="13"/>
        <v>193.14687887076479</v>
      </c>
      <c r="AJ15" s="165">
        <f t="shared" si="14"/>
        <v>271.96881663610247</v>
      </c>
      <c r="AK15" s="167">
        <f t="shared" si="15"/>
        <v>1</v>
      </c>
    </row>
    <row r="16" spans="1:37" x14ac:dyDescent="0.2">
      <c r="A16" s="62" t="s">
        <v>39</v>
      </c>
      <c r="B16" s="62" t="s">
        <v>158</v>
      </c>
      <c r="C16" s="62" t="s">
        <v>200</v>
      </c>
      <c r="D16" s="62"/>
      <c r="E16" s="62">
        <f t="shared" si="2"/>
        <v>25</v>
      </c>
      <c r="F16" s="128">
        <v>102</v>
      </c>
      <c r="G16" s="129">
        <v>259.60804275897175</v>
      </c>
      <c r="H16" s="129">
        <v>211.67458988126231</v>
      </c>
      <c r="I16" s="129">
        <v>315.14934315205812</v>
      </c>
      <c r="J16" s="129"/>
      <c r="K16" s="129"/>
      <c r="L16" s="129"/>
      <c r="M16" s="60">
        <f t="shared" si="0"/>
        <v>1</v>
      </c>
      <c r="N16" s="61">
        <f t="shared" si="3"/>
        <v>76.412628192238088</v>
      </c>
      <c r="O16" s="61">
        <f t="shared" si="16"/>
        <v>158.9041095890411</v>
      </c>
      <c r="P16" s="129">
        <f t="shared" si="4"/>
        <v>159.68281681943839</v>
      </c>
      <c r="Q16" s="129">
        <f t="shared" si="5"/>
        <v>153.0717674572648</v>
      </c>
      <c r="R16" s="129">
        <f t="shared" si="6"/>
        <v>166.50593699934663</v>
      </c>
      <c r="S16" s="61">
        <f t="shared" si="7"/>
        <v>221.00819468587039</v>
      </c>
      <c r="T16" s="61">
        <f t="shared" si="1"/>
        <v>273.66863905325442</v>
      </c>
      <c r="U16" s="61">
        <f t="shared" si="17"/>
        <v>209.51756303745807</v>
      </c>
      <c r="V16" s="61"/>
      <c r="Y16" s="162" t="s">
        <v>36</v>
      </c>
      <c r="Z16" s="162" t="s">
        <v>61</v>
      </c>
      <c r="AA16" s="162" t="s">
        <v>201</v>
      </c>
      <c r="AB16" s="162">
        <f>RANK(AH16,$AH$14:$AH$22,1)</f>
        <v>2</v>
      </c>
      <c r="AC16" s="165">
        <f t="shared" si="19"/>
        <v>76.412628192238088</v>
      </c>
      <c r="AD16" s="165">
        <f t="shared" si="20"/>
        <v>236.73157693776253</v>
      </c>
      <c r="AE16" s="162"/>
      <c r="AF16" s="162">
        <f t="shared" si="10"/>
        <v>2</v>
      </c>
      <c r="AG16" s="167">
        <f t="shared" si="11"/>
        <v>249</v>
      </c>
      <c r="AH16" s="165">
        <f t="shared" si="12"/>
        <v>84.272514976139703</v>
      </c>
      <c r="AI16" s="165">
        <f t="shared" si="13"/>
        <v>74.128995839426082</v>
      </c>
      <c r="AJ16" s="165">
        <f t="shared" si="14"/>
        <v>95.416312882904876</v>
      </c>
      <c r="AK16" s="167">
        <f t="shared" si="15"/>
        <v>2</v>
      </c>
    </row>
    <row r="17" spans="1:37" x14ac:dyDescent="0.2">
      <c r="A17" s="62" t="s">
        <v>40</v>
      </c>
      <c r="B17" s="62" t="s">
        <v>63</v>
      </c>
      <c r="C17" s="62" t="s">
        <v>200</v>
      </c>
      <c r="D17" s="62"/>
      <c r="E17" s="62">
        <f t="shared" si="2"/>
        <v>19</v>
      </c>
      <c r="F17" s="128">
        <v>56</v>
      </c>
      <c r="G17" s="129">
        <v>213.25209444021326</v>
      </c>
      <c r="H17" s="129">
        <v>161.07816753461347</v>
      </c>
      <c r="I17" s="129">
        <v>276.93073787846589</v>
      </c>
      <c r="J17" s="129"/>
      <c r="K17" s="129"/>
      <c r="L17" s="129"/>
      <c r="M17" s="60">
        <f t="shared" si="0"/>
        <v>5</v>
      </c>
      <c r="N17" s="61">
        <f t="shared" si="3"/>
        <v>76.412628192238088</v>
      </c>
      <c r="O17" s="61">
        <f t="shared" si="16"/>
        <v>158.9041095890411</v>
      </c>
      <c r="P17" s="129">
        <f t="shared" si="4"/>
        <v>159.68281681943839</v>
      </c>
      <c r="Q17" s="129">
        <f t="shared" si="5"/>
        <v>153.0717674572648</v>
      </c>
      <c r="R17" s="129">
        <f t="shared" si="6"/>
        <v>166.50593699934663</v>
      </c>
      <c r="S17" s="61">
        <f t="shared" si="7"/>
        <v>221.00819468587039</v>
      </c>
      <c r="T17" s="61">
        <f t="shared" si="1"/>
        <v>273.66863905325442</v>
      </c>
      <c r="U17" s="61">
        <f t="shared" si="17"/>
        <v>209.51756303745807</v>
      </c>
      <c r="V17" s="61"/>
      <c r="Y17" s="162" t="s">
        <v>37</v>
      </c>
      <c r="Z17" s="162" t="s">
        <v>157</v>
      </c>
      <c r="AA17" s="162" t="s">
        <v>201</v>
      </c>
      <c r="AB17" s="162">
        <f t="shared" ref="AB17:AB22" si="21">RANK(AH17,$AH$14:$AH$22,1)</f>
        <v>3</v>
      </c>
      <c r="AC17" s="165">
        <f t="shared" si="19"/>
        <v>76.412628192238088</v>
      </c>
      <c r="AD17" s="165">
        <f>MAX($AH$14:$AH$22)</f>
        <v>236.73157693776253</v>
      </c>
      <c r="AE17" s="162"/>
      <c r="AF17" s="162">
        <f t="shared" si="10"/>
        <v>3</v>
      </c>
      <c r="AG17" s="167">
        <f t="shared" si="11"/>
        <v>191</v>
      </c>
      <c r="AH17" s="165">
        <f t="shared" si="12"/>
        <v>102.99272040981397</v>
      </c>
      <c r="AI17" s="165">
        <f t="shared" si="13"/>
        <v>88.903040897251486</v>
      </c>
      <c r="AJ17" s="165">
        <f t="shared" si="14"/>
        <v>118.6807027663926</v>
      </c>
      <c r="AK17" s="167">
        <f t="shared" si="15"/>
        <v>2</v>
      </c>
    </row>
    <row r="18" spans="1:37" x14ac:dyDescent="0.2">
      <c r="A18" s="62" t="s">
        <v>41</v>
      </c>
      <c r="B18" s="62" t="s">
        <v>64</v>
      </c>
      <c r="C18" s="62" t="s">
        <v>163</v>
      </c>
      <c r="D18" s="62"/>
      <c r="E18" s="62">
        <f t="shared" si="2"/>
        <v>21</v>
      </c>
      <c r="F18" s="128">
        <v>92</v>
      </c>
      <c r="G18" s="129">
        <v>225.545476832557</v>
      </c>
      <c r="H18" s="129">
        <v>181.81663034719679</v>
      </c>
      <c r="I18" s="129">
        <v>276.61438638209103</v>
      </c>
      <c r="J18" s="129"/>
      <c r="K18" s="129"/>
      <c r="L18" s="129"/>
      <c r="M18" s="60">
        <f t="shared" si="0"/>
        <v>1</v>
      </c>
      <c r="N18" s="61">
        <f t="shared" si="3"/>
        <v>76.412628192238088</v>
      </c>
      <c r="O18" s="61">
        <f t="shared" si="16"/>
        <v>158.9041095890411</v>
      </c>
      <c r="P18" s="129">
        <f t="shared" si="4"/>
        <v>159.68281681943839</v>
      </c>
      <c r="Q18" s="129">
        <f t="shared" si="5"/>
        <v>153.0717674572648</v>
      </c>
      <c r="R18" s="129">
        <f t="shared" si="6"/>
        <v>166.50593699934663</v>
      </c>
      <c r="S18" s="61">
        <f t="shared" si="7"/>
        <v>221.00819468587039</v>
      </c>
      <c r="T18" s="61">
        <f t="shared" si="1"/>
        <v>273.66863905325442</v>
      </c>
      <c r="U18" s="61">
        <f t="shared" si="17"/>
        <v>209.64360587002096</v>
      </c>
      <c r="V18" s="61"/>
      <c r="Y18" s="162" t="s">
        <v>38</v>
      </c>
      <c r="Z18" s="162" t="s">
        <v>62</v>
      </c>
      <c r="AA18" s="162" t="s">
        <v>201</v>
      </c>
      <c r="AB18" s="162">
        <f t="shared" si="21"/>
        <v>9</v>
      </c>
      <c r="AC18" s="165">
        <f t="shared" si="19"/>
        <v>76.412628192238088</v>
      </c>
      <c r="AD18" s="165">
        <f t="shared" si="20"/>
        <v>236.73157693776253</v>
      </c>
      <c r="AE18" s="162"/>
      <c r="AF18" s="162">
        <f t="shared" si="10"/>
        <v>23</v>
      </c>
      <c r="AG18" s="167">
        <f t="shared" si="11"/>
        <v>62</v>
      </c>
      <c r="AH18" s="165">
        <f t="shared" si="12"/>
        <v>236.73157693776253</v>
      </c>
      <c r="AI18" s="165">
        <f t="shared" si="13"/>
        <v>181.49115528660795</v>
      </c>
      <c r="AJ18" s="165">
        <f t="shared" si="14"/>
        <v>303.48423492721327</v>
      </c>
      <c r="AK18" s="167">
        <f t="shared" si="15"/>
        <v>1</v>
      </c>
    </row>
    <row r="19" spans="1:37" x14ac:dyDescent="0.2">
      <c r="A19" s="62" t="s">
        <v>42</v>
      </c>
      <c r="B19" s="62" t="s">
        <v>65</v>
      </c>
      <c r="C19" s="62" t="s">
        <v>200</v>
      </c>
      <c r="D19" s="62"/>
      <c r="E19" s="62">
        <f t="shared" si="2"/>
        <v>6</v>
      </c>
      <c r="F19" s="128">
        <v>26</v>
      </c>
      <c r="G19" s="129">
        <v>156.53220951234198</v>
      </c>
      <c r="H19" s="129">
        <v>102.22610358575133</v>
      </c>
      <c r="I19" s="129">
        <v>229.3650942112119</v>
      </c>
      <c r="J19" s="129"/>
      <c r="K19" s="129"/>
      <c r="L19" s="129"/>
      <c r="M19" s="60">
        <f t="shared" si="0"/>
        <v>5</v>
      </c>
      <c r="N19" s="61">
        <f t="shared" si="3"/>
        <v>76.412628192238088</v>
      </c>
      <c r="O19" s="61">
        <f t="shared" si="16"/>
        <v>158.9041095890411</v>
      </c>
      <c r="P19" s="129">
        <f t="shared" si="4"/>
        <v>159.68281681943839</v>
      </c>
      <c r="Q19" s="129">
        <f t="shared" si="5"/>
        <v>153.0717674572648</v>
      </c>
      <c r="R19" s="129">
        <f t="shared" si="6"/>
        <v>166.50593699934663</v>
      </c>
      <c r="S19" s="61">
        <f t="shared" si="7"/>
        <v>221.00819468587039</v>
      </c>
      <c r="T19" s="61">
        <f t="shared" si="1"/>
        <v>273.66863905325442</v>
      </c>
      <c r="U19" s="61">
        <f t="shared" si="17"/>
        <v>209.51756303745807</v>
      </c>
      <c r="V19" s="61"/>
      <c r="Y19" s="162" t="s">
        <v>43</v>
      </c>
      <c r="Z19" s="162" t="s">
        <v>159</v>
      </c>
      <c r="AA19" s="162" t="s">
        <v>201</v>
      </c>
      <c r="AB19" s="162">
        <f t="shared" si="21"/>
        <v>7</v>
      </c>
      <c r="AC19" s="165">
        <f t="shared" si="19"/>
        <v>76.412628192238088</v>
      </c>
      <c r="AD19" s="165">
        <f t="shared" si="20"/>
        <v>236.73157693776253</v>
      </c>
      <c r="AE19" s="162"/>
      <c r="AF19" s="162">
        <f t="shared" si="10"/>
        <v>15</v>
      </c>
      <c r="AG19" s="167">
        <f t="shared" si="11"/>
        <v>81</v>
      </c>
      <c r="AH19" s="165">
        <f t="shared" si="12"/>
        <v>200.74349442379184</v>
      </c>
      <c r="AI19" s="165">
        <f t="shared" si="13"/>
        <v>159.41401378993785</v>
      </c>
      <c r="AJ19" s="165">
        <f t="shared" si="14"/>
        <v>249.50886494229545</v>
      </c>
      <c r="AK19" s="167">
        <f t="shared" si="15"/>
        <v>5</v>
      </c>
    </row>
    <row r="20" spans="1:37" x14ac:dyDescent="0.2">
      <c r="A20" s="62" t="s">
        <v>43</v>
      </c>
      <c r="B20" s="62" t="s">
        <v>159</v>
      </c>
      <c r="C20" s="62" t="s">
        <v>201</v>
      </c>
      <c r="D20" s="62"/>
      <c r="E20" s="62">
        <f t="shared" si="2"/>
        <v>15</v>
      </c>
      <c r="F20" s="128">
        <v>81</v>
      </c>
      <c r="G20" s="129">
        <v>200.74349442379184</v>
      </c>
      <c r="H20" s="129">
        <v>159.41401378993785</v>
      </c>
      <c r="I20" s="129">
        <v>249.50886494229545</v>
      </c>
      <c r="J20" s="129"/>
      <c r="K20" s="129"/>
      <c r="L20" s="129"/>
      <c r="M20" s="60">
        <f t="shared" si="0"/>
        <v>5</v>
      </c>
      <c r="N20" s="61">
        <f t="shared" si="3"/>
        <v>76.412628192238088</v>
      </c>
      <c r="O20" s="61">
        <f t="shared" si="16"/>
        <v>158.9041095890411</v>
      </c>
      <c r="P20" s="129">
        <f t="shared" si="4"/>
        <v>159.68281681943839</v>
      </c>
      <c r="Q20" s="129">
        <f t="shared" si="5"/>
        <v>153.0717674572648</v>
      </c>
      <c r="R20" s="129">
        <f t="shared" si="6"/>
        <v>166.50593699934663</v>
      </c>
      <c r="S20" s="61">
        <f t="shared" si="7"/>
        <v>221.00819468587039</v>
      </c>
      <c r="T20" s="61">
        <f t="shared" si="1"/>
        <v>273.66863905325442</v>
      </c>
      <c r="U20" s="61">
        <f t="shared" si="17"/>
        <v>121.1652487754576</v>
      </c>
      <c r="V20" s="61"/>
      <c r="Y20" s="162" t="s">
        <v>48</v>
      </c>
      <c r="Z20" s="162" t="s">
        <v>160</v>
      </c>
      <c r="AA20" s="162" t="s">
        <v>201</v>
      </c>
      <c r="AB20" s="162">
        <f t="shared" si="21"/>
        <v>6</v>
      </c>
      <c r="AC20" s="165">
        <f t="shared" si="19"/>
        <v>76.412628192238088</v>
      </c>
      <c r="AD20" s="165">
        <f t="shared" si="20"/>
        <v>236.73157693776253</v>
      </c>
      <c r="AE20" s="162"/>
      <c r="AF20" s="162">
        <f t="shared" si="10"/>
        <v>11</v>
      </c>
      <c r="AG20" s="167">
        <f t="shared" si="11"/>
        <v>36</v>
      </c>
      <c r="AH20" s="165">
        <f t="shared" si="12"/>
        <v>181.45161290322582</v>
      </c>
      <c r="AI20" s="165">
        <f t="shared" si="13"/>
        <v>127.06878953114374</v>
      </c>
      <c r="AJ20" s="165">
        <f t="shared" si="14"/>
        <v>251.21295743852082</v>
      </c>
      <c r="AK20" s="167">
        <f t="shared" si="15"/>
        <v>5</v>
      </c>
    </row>
    <row r="21" spans="1:37" x14ac:dyDescent="0.2">
      <c r="A21" s="62" t="s">
        <v>44</v>
      </c>
      <c r="B21" s="62" t="s">
        <v>66</v>
      </c>
      <c r="C21" s="62" t="s">
        <v>200</v>
      </c>
      <c r="D21" s="62"/>
      <c r="E21" s="62">
        <f t="shared" si="2"/>
        <v>10</v>
      </c>
      <c r="F21" s="128">
        <v>19</v>
      </c>
      <c r="G21" s="129">
        <v>180.78020932445293</v>
      </c>
      <c r="H21" s="129">
        <v>108.79144201894238</v>
      </c>
      <c r="I21" s="129">
        <v>282.3248931048347</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5</v>
      </c>
      <c r="N21" s="61">
        <f t="shared" si="3"/>
        <v>76.412628192238088</v>
      </c>
      <c r="O21" s="61">
        <f t="shared" si="16"/>
        <v>158.9041095890411</v>
      </c>
      <c r="P21" s="129">
        <f t="shared" si="4"/>
        <v>159.68281681943839</v>
      </c>
      <c r="Q21" s="129">
        <f t="shared" si="5"/>
        <v>153.0717674572648</v>
      </c>
      <c r="R21" s="129">
        <f t="shared" si="6"/>
        <v>166.50593699934663</v>
      </c>
      <c r="S21" s="61">
        <f t="shared" si="7"/>
        <v>221.00819468587039</v>
      </c>
      <c r="T21" s="61">
        <f t="shared" si="1"/>
        <v>273.66863905325442</v>
      </c>
      <c r="U21" s="61">
        <f t="shared" si="17"/>
        <v>209.51756303745807</v>
      </c>
      <c r="V21" s="61"/>
      <c r="Y21" s="162" t="s">
        <v>52</v>
      </c>
      <c r="Z21" s="162" t="s">
        <v>72</v>
      </c>
      <c r="AA21" s="162" t="s">
        <v>201</v>
      </c>
      <c r="AB21" s="162">
        <f t="shared" si="21"/>
        <v>4</v>
      </c>
      <c r="AC21" s="165">
        <f t="shared" si="19"/>
        <v>76.412628192238088</v>
      </c>
      <c r="AD21" s="165">
        <f t="shared" si="20"/>
        <v>236.73157693776253</v>
      </c>
      <c r="AE21" s="162"/>
      <c r="AF21" s="162">
        <f t="shared" si="10"/>
        <v>4</v>
      </c>
      <c r="AG21" s="167">
        <f t="shared" si="11"/>
        <v>44</v>
      </c>
      <c r="AH21" s="165">
        <f t="shared" si="12"/>
        <v>114.31540659911666</v>
      </c>
      <c r="AI21" s="165">
        <f t="shared" si="13"/>
        <v>83.053700538896948</v>
      </c>
      <c r="AJ21" s="165">
        <f t="shared" si="14"/>
        <v>153.46680626562275</v>
      </c>
      <c r="AK21" s="167">
        <f t="shared" si="15"/>
        <v>5</v>
      </c>
    </row>
    <row r="22" spans="1:37" x14ac:dyDescent="0.2">
      <c r="A22" s="62" t="s">
        <v>45</v>
      </c>
      <c r="B22" s="62" t="s">
        <v>67</v>
      </c>
      <c r="C22" s="62" t="s">
        <v>163</v>
      </c>
      <c r="D22" s="62"/>
      <c r="E22" s="62">
        <f t="shared" si="2"/>
        <v>8</v>
      </c>
      <c r="F22" s="128">
        <v>48</v>
      </c>
      <c r="G22" s="129">
        <v>170.51509769094139</v>
      </c>
      <c r="H22" s="129">
        <v>125.71394216885254</v>
      </c>
      <c r="I22" s="129">
        <v>226.08326325710891</v>
      </c>
      <c r="J22" s="129"/>
      <c r="K22" s="129"/>
      <c r="L22" s="129"/>
      <c r="M22" s="60">
        <f t="shared" si="0"/>
        <v>5</v>
      </c>
      <c r="N22" s="61">
        <f t="shared" si="3"/>
        <v>76.412628192238088</v>
      </c>
      <c r="O22" s="61">
        <f t="shared" si="16"/>
        <v>158.9041095890411</v>
      </c>
      <c r="P22" s="129">
        <f t="shared" si="4"/>
        <v>159.68281681943839</v>
      </c>
      <c r="Q22" s="129">
        <f t="shared" si="5"/>
        <v>153.0717674572648</v>
      </c>
      <c r="R22" s="129">
        <f t="shared" si="6"/>
        <v>166.50593699934663</v>
      </c>
      <c r="S22" s="61">
        <f t="shared" si="7"/>
        <v>221.00819468587039</v>
      </c>
      <c r="T22" s="61">
        <f t="shared" si="1"/>
        <v>273.66863905325442</v>
      </c>
      <c r="U22" s="61">
        <f>VLOOKUP(C22,$C$43:$I$46,5,FALSE)</f>
        <v>209.64360587002096</v>
      </c>
      <c r="V22" s="61"/>
      <c r="Y22" s="162" t="s">
        <v>54</v>
      </c>
      <c r="Z22" s="162" t="s">
        <v>73</v>
      </c>
      <c r="AA22" s="162" t="s">
        <v>201</v>
      </c>
      <c r="AB22" s="162">
        <f t="shared" si="21"/>
        <v>1</v>
      </c>
      <c r="AC22" s="165">
        <f t="shared" si="19"/>
        <v>76.412628192238088</v>
      </c>
      <c r="AD22" s="165">
        <f t="shared" si="20"/>
        <v>236.73157693776253</v>
      </c>
      <c r="AE22" s="162"/>
      <c r="AF22" s="162">
        <f t="shared" si="10"/>
        <v>1</v>
      </c>
      <c r="AG22" s="167">
        <f t="shared" si="11"/>
        <v>38</v>
      </c>
      <c r="AH22" s="165">
        <f t="shared" si="12"/>
        <v>76.412628192238088</v>
      </c>
      <c r="AI22" s="165">
        <f t="shared" si="13"/>
        <v>54.067300384465412</v>
      </c>
      <c r="AJ22" s="165">
        <f t="shared" si="14"/>
        <v>104.885247196812</v>
      </c>
      <c r="AK22" s="167">
        <f t="shared" si="15"/>
        <v>2</v>
      </c>
    </row>
    <row r="23" spans="1:37" x14ac:dyDescent="0.2">
      <c r="A23" s="62" t="s">
        <v>46</v>
      </c>
      <c r="B23" s="62" t="s">
        <v>68</v>
      </c>
      <c r="C23" s="62" t="s">
        <v>163</v>
      </c>
      <c r="D23" s="62"/>
      <c r="E23" s="62">
        <f t="shared" si="2"/>
        <v>13</v>
      </c>
      <c r="F23" s="128">
        <v>75</v>
      </c>
      <c r="G23" s="129">
        <v>188.20577164366372</v>
      </c>
      <c r="H23" s="129">
        <v>148.03016156981494</v>
      </c>
      <c r="I23" s="129">
        <v>235.92070430277977</v>
      </c>
      <c r="J23" s="129"/>
      <c r="K23" s="129"/>
      <c r="L23" s="129"/>
      <c r="M23" s="60">
        <f t="shared" si="0"/>
        <v>5</v>
      </c>
      <c r="N23" s="61">
        <f t="shared" si="3"/>
        <v>76.412628192238088</v>
      </c>
      <c r="O23" s="61">
        <f t="shared" si="16"/>
        <v>158.9041095890411</v>
      </c>
      <c r="P23" s="129">
        <f t="shared" si="4"/>
        <v>159.68281681943839</v>
      </c>
      <c r="Q23" s="129">
        <f t="shared" si="5"/>
        <v>153.0717674572648</v>
      </c>
      <c r="R23" s="129">
        <f t="shared" si="6"/>
        <v>166.50593699934663</v>
      </c>
      <c r="S23" s="61">
        <f t="shared" si="7"/>
        <v>221.00819468587039</v>
      </c>
      <c r="T23" s="61">
        <f t="shared" si="1"/>
        <v>273.66863905325442</v>
      </c>
      <c r="U23" s="61">
        <f t="shared" si="17"/>
        <v>209.64360587002096</v>
      </c>
      <c r="V23" s="61"/>
      <c r="Y23" s="163" t="s">
        <v>30</v>
      </c>
      <c r="Z23" s="163" t="s">
        <v>56</v>
      </c>
      <c r="AA23" s="163" t="s">
        <v>200</v>
      </c>
      <c r="AB23" s="163">
        <f>RANK(AH23,$AH$23:$AH$31,1)</f>
        <v>4</v>
      </c>
      <c r="AC23" s="166">
        <f>MIN($AH$23:$AH$31)</f>
        <v>156.53220951234198</v>
      </c>
      <c r="AD23" s="166">
        <f>MAX($AH$23:$AH$31)</f>
        <v>259.60804275897175</v>
      </c>
      <c r="AE23" s="163"/>
      <c r="AF23" s="163">
        <f t="shared" si="10"/>
        <v>14</v>
      </c>
      <c r="AG23" s="168">
        <f t="shared" si="11"/>
        <v>75</v>
      </c>
      <c r="AH23" s="166">
        <f t="shared" si="12"/>
        <v>196.64394336654431</v>
      </c>
      <c r="AI23" s="166">
        <f t="shared" si="13"/>
        <v>154.66706708330165</v>
      </c>
      <c r="AJ23" s="166">
        <f t="shared" si="14"/>
        <v>246.49816639920746</v>
      </c>
      <c r="AK23" s="168">
        <f t="shared" si="15"/>
        <v>5</v>
      </c>
    </row>
    <row r="24" spans="1:37" x14ac:dyDescent="0.2">
      <c r="A24" s="62" t="s">
        <v>47</v>
      </c>
      <c r="B24" s="62" t="s">
        <v>69</v>
      </c>
      <c r="C24" s="62" t="s">
        <v>163</v>
      </c>
      <c r="D24" s="62"/>
      <c r="E24" s="62">
        <f t="shared" si="2"/>
        <v>7</v>
      </c>
      <c r="F24" s="128">
        <v>29</v>
      </c>
      <c r="G24" s="129">
        <v>158.9041095890411</v>
      </c>
      <c r="H24" s="129">
        <v>106.39854896591545</v>
      </c>
      <c r="I24" s="129">
        <v>228.22108378726111</v>
      </c>
      <c r="J24" s="129"/>
      <c r="K24" s="129"/>
      <c r="L24" s="129"/>
      <c r="M24" s="60">
        <f t="shared" si="0"/>
        <v>5</v>
      </c>
      <c r="N24" s="61">
        <f t="shared" si="3"/>
        <v>76.412628192238088</v>
      </c>
      <c r="O24" s="61">
        <f t="shared" si="16"/>
        <v>158.9041095890411</v>
      </c>
      <c r="P24" s="129">
        <f t="shared" si="4"/>
        <v>159.68281681943839</v>
      </c>
      <c r="Q24" s="129">
        <f t="shared" si="5"/>
        <v>153.0717674572648</v>
      </c>
      <c r="R24" s="129">
        <f t="shared" si="6"/>
        <v>166.50593699934663</v>
      </c>
      <c r="S24" s="61">
        <f t="shared" si="7"/>
        <v>221.00819468587039</v>
      </c>
      <c r="T24" s="61">
        <f t="shared" si="1"/>
        <v>273.66863905325442</v>
      </c>
      <c r="U24" s="61">
        <f t="shared" si="17"/>
        <v>209.64360587002096</v>
      </c>
      <c r="V24" s="61"/>
      <c r="Y24" s="163" t="s">
        <v>31</v>
      </c>
      <c r="Z24" s="163" t="s">
        <v>57</v>
      </c>
      <c r="AA24" s="163" t="s">
        <v>200</v>
      </c>
      <c r="AB24" s="163">
        <f t="shared" ref="AB24:AB31" si="22">RANK(AH24,$AH$23:$AH$31,1)</f>
        <v>8</v>
      </c>
      <c r="AC24" s="166">
        <f t="shared" ref="AC24:AC31" si="23">MIN($AH$23:$AH$31)</f>
        <v>156.53220951234198</v>
      </c>
      <c r="AD24" s="166">
        <f t="shared" ref="AD24:AD31" si="24">MAX($AH$23:$AH$31)</f>
        <v>259.60804275897175</v>
      </c>
      <c r="AE24" s="163"/>
      <c r="AF24" s="163">
        <f t="shared" si="10"/>
        <v>20</v>
      </c>
      <c r="AG24" s="168">
        <f t="shared" si="11"/>
        <v>89</v>
      </c>
      <c r="AH24" s="166">
        <f t="shared" si="12"/>
        <v>221.00819468587039</v>
      </c>
      <c r="AI24" s="166">
        <f t="shared" si="13"/>
        <v>177.4827103838426</v>
      </c>
      <c r="AJ24" s="166">
        <f t="shared" si="14"/>
        <v>271.97255041079444</v>
      </c>
      <c r="AK24" s="168">
        <f t="shared" si="15"/>
        <v>1</v>
      </c>
    </row>
    <row r="25" spans="1:37" x14ac:dyDescent="0.2">
      <c r="A25" s="62" t="s">
        <v>48</v>
      </c>
      <c r="B25" s="62" t="s">
        <v>160</v>
      </c>
      <c r="C25" s="62" t="s">
        <v>201</v>
      </c>
      <c r="D25" s="62"/>
      <c r="E25" s="62">
        <f t="shared" si="2"/>
        <v>11</v>
      </c>
      <c r="F25" s="128">
        <v>36</v>
      </c>
      <c r="G25" s="129">
        <v>181.45161290322582</v>
      </c>
      <c r="H25" s="129">
        <v>127.06878953114374</v>
      </c>
      <c r="I25" s="129">
        <v>251.21295743852082</v>
      </c>
      <c r="J25" s="129"/>
      <c r="K25" s="129"/>
      <c r="L25" s="129"/>
      <c r="M25" s="60">
        <f t="shared" si="0"/>
        <v>5</v>
      </c>
      <c r="N25" s="61">
        <f t="shared" si="3"/>
        <v>76.412628192238088</v>
      </c>
      <c r="O25" s="61">
        <f t="shared" si="16"/>
        <v>158.9041095890411</v>
      </c>
      <c r="P25" s="129">
        <f t="shared" si="4"/>
        <v>159.68281681943839</v>
      </c>
      <c r="Q25" s="129">
        <f t="shared" si="5"/>
        <v>153.0717674572648</v>
      </c>
      <c r="R25" s="129">
        <f t="shared" si="6"/>
        <v>166.50593699934663</v>
      </c>
      <c r="S25" s="61">
        <f t="shared" si="7"/>
        <v>221.00819468587039</v>
      </c>
      <c r="T25" s="61">
        <f t="shared" si="1"/>
        <v>273.66863905325442</v>
      </c>
      <c r="U25" s="61">
        <f t="shared" si="17"/>
        <v>121.1652487754576</v>
      </c>
      <c r="V25" s="61"/>
      <c r="Y25" s="163" t="s">
        <v>34</v>
      </c>
      <c r="Z25" s="163" t="s">
        <v>59</v>
      </c>
      <c r="AA25" s="163" t="s">
        <v>200</v>
      </c>
      <c r="AB25" s="163">
        <f t="shared" si="22"/>
        <v>6</v>
      </c>
      <c r="AC25" s="166">
        <f t="shared" si="23"/>
        <v>156.53220951234198</v>
      </c>
      <c r="AD25" s="166">
        <f t="shared" si="24"/>
        <v>259.60804275897175</v>
      </c>
      <c r="AE25" s="163"/>
      <c r="AF25" s="163">
        <f t="shared" si="10"/>
        <v>18</v>
      </c>
      <c r="AG25" s="168">
        <f t="shared" si="11"/>
        <v>118</v>
      </c>
      <c r="AH25" s="166">
        <f t="shared" si="12"/>
        <v>210.00177967609892</v>
      </c>
      <c r="AI25" s="166">
        <f t="shared" si="13"/>
        <v>173.82097912089938</v>
      </c>
      <c r="AJ25" s="166">
        <f t="shared" si="14"/>
        <v>251.49066759526195</v>
      </c>
      <c r="AK25" s="168">
        <f t="shared" si="15"/>
        <v>1</v>
      </c>
    </row>
    <row r="26" spans="1:37" x14ac:dyDescent="0.2">
      <c r="A26" s="62" t="s">
        <v>49</v>
      </c>
      <c r="B26" s="62" t="s">
        <v>70</v>
      </c>
      <c r="C26" s="62" t="s">
        <v>200</v>
      </c>
      <c r="D26" s="62"/>
      <c r="E26" s="62">
        <f t="shared" si="2"/>
        <v>9</v>
      </c>
      <c r="F26" s="128">
        <v>51</v>
      </c>
      <c r="G26" s="129">
        <v>180.33946251768035</v>
      </c>
      <c r="H26" s="129">
        <v>134.26457250234242</v>
      </c>
      <c r="I26" s="129">
        <v>237.11798181468086</v>
      </c>
      <c r="J26" s="129"/>
      <c r="K26" s="129"/>
      <c r="L26" s="129"/>
      <c r="M26" s="60">
        <f t="shared" si="0"/>
        <v>5</v>
      </c>
      <c r="N26" s="61">
        <f t="shared" si="3"/>
        <v>76.412628192238088</v>
      </c>
      <c r="O26" s="61">
        <f t="shared" si="16"/>
        <v>158.9041095890411</v>
      </c>
      <c r="P26" s="129">
        <f t="shared" si="4"/>
        <v>159.68281681943839</v>
      </c>
      <c r="Q26" s="129">
        <f t="shared" si="5"/>
        <v>153.0717674572648</v>
      </c>
      <c r="R26" s="129">
        <f t="shared" si="6"/>
        <v>166.50593699934663</v>
      </c>
      <c r="S26" s="61">
        <f t="shared" si="7"/>
        <v>221.00819468587039</v>
      </c>
      <c r="T26" s="61">
        <f t="shared" si="1"/>
        <v>273.66863905325442</v>
      </c>
      <c r="U26" s="61">
        <f t="shared" si="17"/>
        <v>209.51756303745807</v>
      </c>
      <c r="V26" s="61"/>
      <c r="Y26" s="163" t="s">
        <v>39</v>
      </c>
      <c r="Z26" s="163" t="s">
        <v>158</v>
      </c>
      <c r="AA26" s="163" t="s">
        <v>200</v>
      </c>
      <c r="AB26" s="163">
        <f t="shared" si="22"/>
        <v>9</v>
      </c>
      <c r="AC26" s="166">
        <f t="shared" si="23"/>
        <v>156.53220951234198</v>
      </c>
      <c r="AD26" s="166">
        <f t="shared" si="24"/>
        <v>259.60804275897175</v>
      </c>
      <c r="AE26" s="163"/>
      <c r="AF26" s="163">
        <f t="shared" si="10"/>
        <v>25</v>
      </c>
      <c r="AG26" s="168">
        <f t="shared" si="11"/>
        <v>102</v>
      </c>
      <c r="AH26" s="166">
        <f t="shared" si="12"/>
        <v>259.60804275897175</v>
      </c>
      <c r="AI26" s="166">
        <f t="shared" si="13"/>
        <v>211.67458988126231</v>
      </c>
      <c r="AJ26" s="166">
        <f t="shared" si="14"/>
        <v>315.14934315205812</v>
      </c>
      <c r="AK26" s="168">
        <f t="shared" si="15"/>
        <v>1</v>
      </c>
    </row>
    <row r="27" spans="1:37" x14ac:dyDescent="0.2">
      <c r="A27" s="62" t="s">
        <v>50</v>
      </c>
      <c r="B27" s="62" t="s">
        <v>161</v>
      </c>
      <c r="C27" s="62" t="s">
        <v>163</v>
      </c>
      <c r="D27" s="62"/>
      <c r="E27" s="62">
        <f t="shared" si="2"/>
        <v>16</v>
      </c>
      <c r="F27" s="128">
        <v>35</v>
      </c>
      <c r="G27" s="129">
        <v>202.5462962962963</v>
      </c>
      <c r="H27" s="129">
        <v>141.06024579239664</v>
      </c>
      <c r="I27" s="129">
        <v>281.70144269392358</v>
      </c>
      <c r="J27" s="129"/>
      <c r="K27" s="129"/>
      <c r="L27" s="129"/>
      <c r="M27" s="60">
        <f t="shared" si="0"/>
        <v>5</v>
      </c>
      <c r="N27" s="61">
        <f t="shared" si="3"/>
        <v>76.412628192238088</v>
      </c>
      <c r="O27" s="61">
        <f t="shared" si="16"/>
        <v>158.9041095890411</v>
      </c>
      <c r="P27" s="129">
        <f t="shared" si="4"/>
        <v>159.68281681943839</v>
      </c>
      <c r="Q27" s="129">
        <f t="shared" si="5"/>
        <v>153.0717674572648</v>
      </c>
      <c r="R27" s="129">
        <f t="shared" si="6"/>
        <v>166.50593699934663</v>
      </c>
      <c r="S27" s="61">
        <f t="shared" si="7"/>
        <v>221.00819468587039</v>
      </c>
      <c r="T27" s="61">
        <f t="shared" si="1"/>
        <v>273.66863905325442</v>
      </c>
      <c r="U27" s="61">
        <f t="shared" si="17"/>
        <v>209.64360587002096</v>
      </c>
      <c r="V27" s="61"/>
      <c r="Y27" s="163" t="s">
        <v>40</v>
      </c>
      <c r="Z27" s="163" t="s">
        <v>63</v>
      </c>
      <c r="AA27" s="163" t="s">
        <v>200</v>
      </c>
      <c r="AB27" s="163">
        <f t="shared" si="22"/>
        <v>7</v>
      </c>
      <c r="AC27" s="166">
        <f t="shared" si="23"/>
        <v>156.53220951234198</v>
      </c>
      <c r="AD27" s="166">
        <f t="shared" si="24"/>
        <v>259.60804275897175</v>
      </c>
      <c r="AE27" s="163"/>
      <c r="AF27" s="163">
        <f t="shared" si="10"/>
        <v>19</v>
      </c>
      <c r="AG27" s="168">
        <f t="shared" si="11"/>
        <v>56</v>
      </c>
      <c r="AH27" s="166">
        <f t="shared" si="12"/>
        <v>213.25209444021326</v>
      </c>
      <c r="AI27" s="166">
        <f t="shared" si="13"/>
        <v>161.07816753461347</v>
      </c>
      <c r="AJ27" s="166">
        <f t="shared" si="14"/>
        <v>276.93073787846589</v>
      </c>
      <c r="AK27" s="168">
        <f t="shared" si="15"/>
        <v>5</v>
      </c>
    </row>
    <row r="28" spans="1:37" x14ac:dyDescent="0.2">
      <c r="A28" s="62" t="s">
        <v>51</v>
      </c>
      <c r="B28" s="62" t="s">
        <v>71</v>
      </c>
      <c r="C28" s="62" t="s">
        <v>200</v>
      </c>
      <c r="D28" s="62"/>
      <c r="E28" s="62">
        <f t="shared" si="2"/>
        <v>17</v>
      </c>
      <c r="F28" s="128">
        <v>39</v>
      </c>
      <c r="G28" s="129">
        <v>206.45844362096346</v>
      </c>
      <c r="H28" s="129">
        <v>146.79446142350798</v>
      </c>
      <c r="I28" s="129">
        <v>282.24320983890499</v>
      </c>
      <c r="J28" s="129"/>
      <c r="K28" s="129"/>
      <c r="L28" s="129"/>
      <c r="M28" s="60">
        <f t="shared" si="0"/>
        <v>5</v>
      </c>
      <c r="N28" s="61">
        <f t="shared" si="3"/>
        <v>76.412628192238088</v>
      </c>
      <c r="O28" s="61">
        <f t="shared" si="16"/>
        <v>158.9041095890411</v>
      </c>
      <c r="P28" s="129">
        <f t="shared" si="4"/>
        <v>159.68281681943839</v>
      </c>
      <c r="Q28" s="129">
        <f t="shared" si="5"/>
        <v>153.0717674572648</v>
      </c>
      <c r="R28" s="129">
        <f t="shared" si="6"/>
        <v>166.50593699934663</v>
      </c>
      <c r="S28" s="61">
        <f t="shared" si="7"/>
        <v>221.00819468587039</v>
      </c>
      <c r="T28" s="61">
        <f t="shared" si="1"/>
        <v>273.66863905325442</v>
      </c>
      <c r="U28" s="61">
        <f t="shared" si="17"/>
        <v>209.51756303745807</v>
      </c>
      <c r="V28" s="61"/>
      <c r="Y28" s="163" t="s">
        <v>42</v>
      </c>
      <c r="Z28" s="163" t="s">
        <v>65</v>
      </c>
      <c r="AA28" s="163" t="s">
        <v>200</v>
      </c>
      <c r="AB28" s="163">
        <f t="shared" si="22"/>
        <v>1</v>
      </c>
      <c r="AC28" s="166">
        <f t="shared" si="23"/>
        <v>156.53220951234198</v>
      </c>
      <c r="AD28" s="166">
        <f t="shared" si="24"/>
        <v>259.60804275897175</v>
      </c>
      <c r="AE28" s="163"/>
      <c r="AF28" s="163">
        <f t="shared" si="10"/>
        <v>6</v>
      </c>
      <c r="AG28" s="168">
        <f t="shared" si="11"/>
        <v>26</v>
      </c>
      <c r="AH28" s="166">
        <f t="shared" si="12"/>
        <v>156.53220951234198</v>
      </c>
      <c r="AI28" s="166">
        <f t="shared" si="13"/>
        <v>102.22610358575133</v>
      </c>
      <c r="AJ28" s="166">
        <f t="shared" si="14"/>
        <v>229.3650942112119</v>
      </c>
      <c r="AK28" s="168">
        <f t="shared" si="15"/>
        <v>5</v>
      </c>
    </row>
    <row r="29" spans="1:37" x14ac:dyDescent="0.2">
      <c r="A29" s="62" t="s">
        <v>52</v>
      </c>
      <c r="B29" s="62" t="s">
        <v>72</v>
      </c>
      <c r="C29" s="62" t="s">
        <v>201</v>
      </c>
      <c r="D29" s="62"/>
      <c r="E29" s="62">
        <f t="shared" si="2"/>
        <v>4</v>
      </c>
      <c r="F29" s="128">
        <v>44</v>
      </c>
      <c r="G29" s="129">
        <v>114.31540659911666</v>
      </c>
      <c r="H29" s="129">
        <v>83.053700538896948</v>
      </c>
      <c r="I29" s="129">
        <v>153.46680626562275</v>
      </c>
      <c r="J29" s="129"/>
      <c r="K29" s="129"/>
      <c r="L29" s="129"/>
      <c r="M29" s="60">
        <f t="shared" si="0"/>
        <v>5</v>
      </c>
      <c r="N29" s="61">
        <f t="shared" si="3"/>
        <v>76.412628192238088</v>
      </c>
      <c r="O29" s="61">
        <f t="shared" si="16"/>
        <v>158.9041095890411</v>
      </c>
      <c r="P29" s="129">
        <f t="shared" si="4"/>
        <v>159.68281681943839</v>
      </c>
      <c r="Q29" s="129">
        <f t="shared" si="5"/>
        <v>153.0717674572648</v>
      </c>
      <c r="R29" s="129">
        <f t="shared" si="6"/>
        <v>166.50593699934663</v>
      </c>
      <c r="S29" s="61">
        <f t="shared" si="7"/>
        <v>221.00819468587039</v>
      </c>
      <c r="T29" s="61">
        <f t="shared" si="1"/>
        <v>273.66863905325442</v>
      </c>
      <c r="U29" s="61">
        <f t="shared" si="17"/>
        <v>121.1652487754576</v>
      </c>
      <c r="V29" s="61"/>
      <c r="Y29" s="163" t="s">
        <v>44</v>
      </c>
      <c r="Z29" s="163" t="s">
        <v>66</v>
      </c>
      <c r="AA29" s="163" t="s">
        <v>200</v>
      </c>
      <c r="AB29" s="163">
        <f t="shared" si="22"/>
        <v>3</v>
      </c>
      <c r="AC29" s="166">
        <f t="shared" si="23"/>
        <v>156.53220951234198</v>
      </c>
      <c r="AD29" s="166">
        <f t="shared" si="24"/>
        <v>259.60804275897175</v>
      </c>
      <c r="AE29" s="163"/>
      <c r="AF29" s="163">
        <f t="shared" si="10"/>
        <v>10</v>
      </c>
      <c r="AG29" s="168">
        <f t="shared" si="11"/>
        <v>19</v>
      </c>
      <c r="AH29" s="166">
        <f t="shared" si="12"/>
        <v>180.78020932445293</v>
      </c>
      <c r="AI29" s="166">
        <f t="shared" si="13"/>
        <v>108.79144201894238</v>
      </c>
      <c r="AJ29" s="166">
        <f t="shared" si="14"/>
        <v>282.3248931048347</v>
      </c>
      <c r="AK29" s="168">
        <f t="shared" si="15"/>
        <v>5</v>
      </c>
    </row>
    <row r="30" spans="1:37" x14ac:dyDescent="0.2">
      <c r="A30" s="62" t="s">
        <v>53</v>
      </c>
      <c r="B30" s="62" t="s">
        <v>162</v>
      </c>
      <c r="C30" s="62" t="s">
        <v>163</v>
      </c>
      <c r="D30" s="62"/>
      <c r="E30" s="62">
        <f t="shared" si="2"/>
        <v>12</v>
      </c>
      <c r="F30" s="128">
        <v>174</v>
      </c>
      <c r="G30" s="129">
        <v>186.93596905887409</v>
      </c>
      <c r="H30" s="129">
        <v>160.1898535223479</v>
      </c>
      <c r="I30" s="129">
        <v>216.87000821483605</v>
      </c>
      <c r="J30" s="129"/>
      <c r="K30" s="129"/>
      <c r="L30" s="129"/>
      <c r="M30" s="60">
        <f t="shared" si="0"/>
        <v>5</v>
      </c>
      <c r="N30" s="61">
        <f t="shared" si="3"/>
        <v>76.412628192238088</v>
      </c>
      <c r="O30" s="61">
        <f t="shared" si="16"/>
        <v>158.9041095890411</v>
      </c>
      <c r="P30" s="129">
        <f>$G$32</f>
        <v>159.68281681943839</v>
      </c>
      <c r="Q30" s="129">
        <f t="shared" si="5"/>
        <v>153.0717674572648</v>
      </c>
      <c r="R30" s="129">
        <f t="shared" si="6"/>
        <v>166.50593699934663</v>
      </c>
      <c r="S30" s="61">
        <f t="shared" si="7"/>
        <v>221.00819468587039</v>
      </c>
      <c r="T30" s="61">
        <f t="shared" si="1"/>
        <v>273.66863905325442</v>
      </c>
      <c r="U30" s="61">
        <f t="shared" si="17"/>
        <v>209.64360587002096</v>
      </c>
      <c r="V30" s="61"/>
      <c r="Y30" s="163" t="s">
        <v>49</v>
      </c>
      <c r="Z30" s="163" t="s">
        <v>70</v>
      </c>
      <c r="AA30" s="163" t="s">
        <v>200</v>
      </c>
      <c r="AB30" s="163">
        <f t="shared" si="22"/>
        <v>2</v>
      </c>
      <c r="AC30" s="166">
        <f t="shared" si="23"/>
        <v>156.53220951234198</v>
      </c>
      <c r="AD30" s="166">
        <f t="shared" si="24"/>
        <v>259.60804275897175</v>
      </c>
      <c r="AE30" s="163"/>
      <c r="AF30" s="163">
        <f t="shared" si="10"/>
        <v>9</v>
      </c>
      <c r="AG30" s="168">
        <f t="shared" si="11"/>
        <v>51</v>
      </c>
      <c r="AH30" s="166">
        <f t="shared" si="12"/>
        <v>180.33946251768035</v>
      </c>
      <c r="AI30" s="166">
        <f t="shared" si="13"/>
        <v>134.26457250234242</v>
      </c>
      <c r="AJ30" s="166">
        <f t="shared" si="14"/>
        <v>237.11798181468086</v>
      </c>
      <c r="AK30" s="168">
        <f t="shared" si="15"/>
        <v>5</v>
      </c>
    </row>
    <row r="31" spans="1:37" x14ac:dyDescent="0.2">
      <c r="A31" s="62" t="s">
        <v>54</v>
      </c>
      <c r="B31" s="62" t="s">
        <v>73</v>
      </c>
      <c r="C31" s="62" t="s">
        <v>201</v>
      </c>
      <c r="D31" s="62"/>
      <c r="E31" s="62">
        <f t="shared" si="2"/>
        <v>1</v>
      </c>
      <c r="F31" s="128">
        <v>38</v>
      </c>
      <c r="G31" s="129">
        <v>76.412628192238088</v>
      </c>
      <c r="H31" s="129">
        <v>54.067300384465412</v>
      </c>
      <c r="I31" s="129">
        <v>104.885247196812</v>
      </c>
      <c r="J31" s="129"/>
      <c r="K31" s="129"/>
      <c r="L31" s="129"/>
      <c r="M31" s="60">
        <f t="shared" si="0"/>
        <v>2</v>
      </c>
      <c r="N31" s="61">
        <f t="shared" si="3"/>
        <v>76.412628192238088</v>
      </c>
      <c r="O31" s="61">
        <f t="shared" si="16"/>
        <v>158.9041095890411</v>
      </c>
      <c r="P31" s="129">
        <f t="shared" si="4"/>
        <v>159.68281681943839</v>
      </c>
      <c r="Q31" s="129">
        <f t="shared" si="5"/>
        <v>153.0717674572648</v>
      </c>
      <c r="R31" s="129">
        <f t="shared" si="6"/>
        <v>166.50593699934663</v>
      </c>
      <c r="S31" s="61">
        <f t="shared" si="7"/>
        <v>221.00819468587039</v>
      </c>
      <c r="T31" s="61">
        <f t="shared" si="1"/>
        <v>273.66863905325442</v>
      </c>
      <c r="U31" s="61">
        <f t="shared" si="17"/>
        <v>121.1652487754576</v>
      </c>
      <c r="V31" s="61"/>
      <c r="Y31" s="163" t="s">
        <v>51</v>
      </c>
      <c r="Z31" s="163" t="s">
        <v>71</v>
      </c>
      <c r="AA31" s="163" t="s">
        <v>200</v>
      </c>
      <c r="AB31" s="163">
        <f t="shared" si="22"/>
        <v>5</v>
      </c>
      <c r="AC31" s="166">
        <f t="shared" si="23"/>
        <v>156.53220951234198</v>
      </c>
      <c r="AD31" s="166">
        <f t="shared" si="24"/>
        <v>259.60804275897175</v>
      </c>
      <c r="AE31" s="163"/>
      <c r="AF31" s="163">
        <f t="shared" si="10"/>
        <v>17</v>
      </c>
      <c r="AG31" s="168">
        <f t="shared" si="11"/>
        <v>39</v>
      </c>
      <c r="AH31" s="166">
        <f t="shared" si="12"/>
        <v>206.45844362096346</v>
      </c>
      <c r="AI31" s="166">
        <f t="shared" si="13"/>
        <v>146.79446142350798</v>
      </c>
      <c r="AJ31" s="166">
        <f t="shared" si="14"/>
        <v>282.24320983890499</v>
      </c>
      <c r="AK31" s="168">
        <f t="shared" si="15"/>
        <v>5</v>
      </c>
    </row>
    <row r="32" spans="1:37" x14ac:dyDescent="0.2">
      <c r="A32" s="62"/>
      <c r="B32" s="62" t="s">
        <v>171</v>
      </c>
      <c r="C32" s="62"/>
      <c r="D32" s="62"/>
      <c r="E32" s="62"/>
      <c r="F32" s="128">
        <v>2195</v>
      </c>
      <c r="G32" s="129">
        <v>159.68281681943839</v>
      </c>
      <c r="H32" s="129">
        <v>153.0717674572648</v>
      </c>
      <c r="I32" s="129">
        <v>166.50593699934663</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680</v>
      </c>
      <c r="G44" s="344">
        <v>209.64360587002096</v>
      </c>
      <c r="H44" s="344">
        <v>194.18035453035748</v>
      </c>
      <c r="I44" s="344">
        <v>226.0106578548704</v>
      </c>
      <c r="J44" s="344">
        <f>VLOOKUP($C44,$AA$6:$AD$13,3,FALSE)</f>
        <v>158.9041095890411</v>
      </c>
      <c r="K44" s="344">
        <f>VLOOKUP($C44,$AA$6:$AD$13,4,FALSE)</f>
        <v>273.66863905325442</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1</v>
      </c>
      <c r="N44" s="61">
        <f>MIN($G$6:$G$31)</f>
        <v>76.412628192238088</v>
      </c>
      <c r="O44" s="61">
        <f>VLOOKUP(7,$E$5:$G$39,3,FALSE)</f>
        <v>158.9041095890411</v>
      </c>
      <c r="P44" s="344">
        <f>$G$32</f>
        <v>159.68281681943839</v>
      </c>
      <c r="Q44" s="129">
        <f>$H$32</f>
        <v>153.0717674572648</v>
      </c>
      <c r="R44" s="129">
        <f>$I$32</f>
        <v>166.50593699934663</v>
      </c>
      <c r="S44" s="61">
        <f>VLOOKUP(20,$E$5:$G$39,3,FALSE)</f>
        <v>221.00819468587039</v>
      </c>
      <c r="T44" s="61">
        <f>MAX($G$6:$G$31)</f>
        <v>273.66863905325442</v>
      </c>
    </row>
    <row r="45" spans="1:22" x14ac:dyDescent="0.2">
      <c r="C45" s="62" t="s">
        <v>201</v>
      </c>
      <c r="D45" s="62"/>
      <c r="E45" s="62"/>
      <c r="F45" s="128">
        <v>940</v>
      </c>
      <c r="G45" s="344">
        <v>121.1652487754576</v>
      </c>
      <c r="H45" s="344">
        <v>113.54225225186848</v>
      </c>
      <c r="I45" s="344">
        <v>129.16540948954562</v>
      </c>
      <c r="J45" s="344">
        <f>VLOOKUP($C45,$AA$14:$AD$22,3,FALSE)</f>
        <v>76.412628192238088</v>
      </c>
      <c r="K45" s="344">
        <f>VLOOKUP($C45,$AA$14:$AD$22,4,FALSE)</f>
        <v>236.73157693776253</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2</v>
      </c>
      <c r="N45" s="61">
        <f>MIN($G$6:$G$31)</f>
        <v>76.412628192238088</v>
      </c>
      <c r="O45" s="61">
        <f>VLOOKUP(7,$E$5:$G$39,3,FALSE)</f>
        <v>158.9041095890411</v>
      </c>
      <c r="P45" s="344">
        <f>$G$32</f>
        <v>159.68281681943839</v>
      </c>
      <c r="Q45" s="129">
        <f t="shared" ref="Q45:Q46" si="25">$H$32</f>
        <v>153.0717674572648</v>
      </c>
      <c r="R45" s="129">
        <f t="shared" ref="R45:R46" si="26">$I$32</f>
        <v>166.50593699934663</v>
      </c>
      <c r="S45" s="61">
        <f>VLOOKUP(20,$E$5:$G$39,3,FALSE)</f>
        <v>221.00819468587039</v>
      </c>
      <c r="T45" s="61">
        <f t="shared" ref="T45:T46" si="27">MAX($G$6:$G$31)</f>
        <v>273.66863905325442</v>
      </c>
    </row>
    <row r="46" spans="1:22" x14ac:dyDescent="0.2">
      <c r="C46" s="62" t="s">
        <v>200</v>
      </c>
      <c r="D46" s="62"/>
      <c r="E46" s="62"/>
      <c r="F46" s="128">
        <v>575</v>
      </c>
      <c r="G46" s="344">
        <v>209.51756303745807</v>
      </c>
      <c r="H46" s="344">
        <v>192.73984015594741</v>
      </c>
      <c r="I46" s="344">
        <v>227.36466215113461</v>
      </c>
      <c r="J46" s="344">
        <f>VLOOKUP($C46,$AA$23:$AD$31,3,FALSE)</f>
        <v>156.53220951234198</v>
      </c>
      <c r="K46" s="344">
        <f>VLOOKUP($C46,$AA$23:$AD$31,4,FALSE)</f>
        <v>259.60804275897175</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1</v>
      </c>
      <c r="N46" s="61">
        <f>MIN($G$6:$G$31)</f>
        <v>76.412628192238088</v>
      </c>
      <c r="O46" s="61">
        <f>VLOOKUP(7,$E$5:$G$39,3,FALSE)</f>
        <v>158.9041095890411</v>
      </c>
      <c r="P46" s="344">
        <f t="shared" ref="P46" si="28">$G$32</f>
        <v>159.68281681943839</v>
      </c>
      <c r="Q46" s="129">
        <f t="shared" si="25"/>
        <v>153.0717674572648</v>
      </c>
      <c r="R46" s="129">
        <f t="shared" si="26"/>
        <v>166.50593699934663</v>
      </c>
      <c r="S46" s="61">
        <f>VLOOKUP(20,$E$5:$G$39,3,FALSE)</f>
        <v>221.00819468587039</v>
      </c>
      <c r="T46" s="61">
        <f t="shared" si="27"/>
        <v>273.66863905325442</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C2:D2" xr:uid="{00000000-0002-0000-3700-000000000000}">
      <formula1>"Better / Worse,Higher / Lower,Significance not measured"</formula1>
    </dataValidation>
    <dataValidation type="list" allowBlank="1" showInputMessage="1" showErrorMessage="1" sqref="K2:N2" xr:uid="{00000000-0002-0000-3700-000001000000}">
      <formula1>"High = Worst,Low = Worst"</formula1>
    </dataValidation>
  </dataValidations>
  <pageMargins left="0.75" right="0.75" top="1" bottom="1" header="0.5" footer="0.5"/>
  <pageSetup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6">
    <tabColor theme="6" tint="0.39997558519241921"/>
  </sheetPr>
  <dimension ref="A1:AK55"/>
  <sheetViews>
    <sheetView workbookViewId="0">
      <selection activeCell="F31" sqref="F6:F31"/>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8" width="7.33203125" style="21" customWidth="1"/>
    <col min="9" max="9" width="6.886718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5.554687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4</v>
      </c>
      <c r="F6" s="128">
        <v>30</v>
      </c>
      <c r="G6" s="129">
        <v>41.152263374485599</v>
      </c>
      <c r="H6" s="129">
        <v>27.759861581984072</v>
      </c>
      <c r="I6" s="129">
        <v>58.749481401918665</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2</v>
      </c>
      <c r="N6" s="61">
        <f>MIN($G$6:$G$32)</f>
        <v>31.835205992509362</v>
      </c>
      <c r="O6" s="61">
        <f>VLOOKUP(7,$E$5:$G$39,3,FALSE)</f>
        <v>50.314465408805027</v>
      </c>
      <c r="P6" s="129">
        <f>$G$32</f>
        <v>62.50391717803646</v>
      </c>
      <c r="Q6" s="129">
        <f>$H$32</f>
        <v>58.85942253941753</v>
      </c>
      <c r="R6" s="129">
        <f>$I$32</f>
        <v>66.314995721518159</v>
      </c>
      <c r="S6" s="61">
        <f>VLOOKUP(20,$E$5:$G$39,3,FALSE)</f>
        <v>79.884965649464775</v>
      </c>
      <c r="T6" s="61">
        <f t="shared" ref="T6:T31" si="1">MAX($G$6:$G$31)</f>
        <v>107.42926312604024</v>
      </c>
      <c r="U6" s="61">
        <f>VLOOKUP(C6,$C$43:$I$46,5,FALSE)</f>
        <v>49.401438386066495</v>
      </c>
      <c r="V6" s="61"/>
      <c r="Y6" s="159" t="s">
        <v>33</v>
      </c>
      <c r="Z6" s="159" t="s">
        <v>58</v>
      </c>
      <c r="AA6" s="159" t="s">
        <v>163</v>
      </c>
      <c r="AB6" s="159">
        <f>RANK(AH6,$AH$6:$AH$13,1)</f>
        <v>7</v>
      </c>
      <c r="AC6" s="164">
        <f>MIN($AH$6:$AH$13)</f>
        <v>61.11535523300229</v>
      </c>
      <c r="AD6" s="164">
        <f>MAX($AH$6:$AH$13)</f>
        <v>107.42926312604024</v>
      </c>
      <c r="AE6" s="159"/>
      <c r="AF6" s="159">
        <f>VLOOKUP($Y6,$A$6:$I$31,5,FALSE)</f>
        <v>25</v>
      </c>
      <c r="AG6" s="160">
        <f>VLOOKUP($Y6,$A$6:$I$31,6,FALSE)</f>
        <v>66</v>
      </c>
      <c r="AH6" s="161">
        <f>VLOOKUP($Y6,$A$6:$I$31,7,FALSE)</f>
        <v>106.41728474685586</v>
      </c>
      <c r="AI6" s="161">
        <f>VLOOKUP($Y6,$A$6:$I$31,8,FALSE)</f>
        <v>82.299222246963467</v>
      </c>
      <c r="AJ6" s="161">
        <f>VLOOKUP($Y6,$A$6:$I$31,9,FALSE)</f>
        <v>135.39097029322252</v>
      </c>
      <c r="AK6" s="160">
        <f>VLOOKUP($Y6,$A$6:$M$31,13,FALSE)</f>
        <v>1</v>
      </c>
    </row>
    <row r="7" spans="1:37" x14ac:dyDescent="0.2">
      <c r="A7" s="62" t="s">
        <v>30</v>
      </c>
      <c r="B7" s="62" t="s">
        <v>56</v>
      </c>
      <c r="C7" s="62" t="s">
        <v>200</v>
      </c>
      <c r="D7" s="62"/>
      <c r="E7" s="62">
        <f t="shared" ref="E7:E31" si="2">RANK(G7,$G$6:$G$31,1)</f>
        <v>13</v>
      </c>
      <c r="F7" s="128">
        <v>40</v>
      </c>
      <c r="G7" s="129">
        <v>71.212390956026354</v>
      </c>
      <c r="H7" s="129">
        <v>50.869325024812021</v>
      </c>
      <c r="I7" s="129">
        <v>96.973650204778806</v>
      </c>
      <c r="J7" s="129"/>
      <c r="K7" s="129"/>
      <c r="L7" s="129"/>
      <c r="M7" s="60">
        <f t="shared" si="0"/>
        <v>5</v>
      </c>
      <c r="N7" s="61">
        <f t="shared" ref="N7:N31" si="3">MIN($G$6:$G$32)</f>
        <v>31.835205992509362</v>
      </c>
      <c r="O7" s="61">
        <f>VLOOKUP(7,$E$5:$G$39,3,FALSE)</f>
        <v>50.314465408805027</v>
      </c>
      <c r="P7" s="129">
        <f t="shared" ref="P7:P31" si="4">$G$32</f>
        <v>62.50391717803646</v>
      </c>
      <c r="Q7" s="129">
        <f t="shared" ref="Q7:Q31" si="5">$H$32</f>
        <v>58.85942253941753</v>
      </c>
      <c r="R7" s="129">
        <f t="shared" ref="R7:R31" si="6">$I$32</f>
        <v>66.314995721518159</v>
      </c>
      <c r="S7" s="61">
        <f t="shared" ref="S7:S31" si="7">VLOOKUP(20,$E$5:$G$39,3,FALSE)</f>
        <v>79.884965649464775</v>
      </c>
      <c r="T7" s="61">
        <f t="shared" si="1"/>
        <v>107.42926312604024</v>
      </c>
      <c r="U7" s="61">
        <f>VLOOKUP(C7,$C$43:$I$46,5,FALSE)</f>
        <v>66.364559344278533</v>
      </c>
      <c r="V7" s="61"/>
      <c r="Y7" s="159" t="s">
        <v>35</v>
      </c>
      <c r="Z7" s="159" t="s">
        <v>60</v>
      </c>
      <c r="AA7" s="159" t="s">
        <v>163</v>
      </c>
      <c r="AB7" s="159">
        <f t="shared" ref="AB7:AB12" si="8">RANK(AH7,$AH$6:$AH$13,1)</f>
        <v>8</v>
      </c>
      <c r="AC7" s="164">
        <f>MIN($AH$6:$AH$13)</f>
        <v>61.11535523300229</v>
      </c>
      <c r="AD7" s="164">
        <f t="shared" ref="AD7:AD13" si="9">MAX($AH$6:$AH$13)</f>
        <v>107.42926312604024</v>
      </c>
      <c r="AE7" s="159"/>
      <c r="AF7" s="159">
        <f t="shared" ref="AF7:AF31" si="10">VLOOKUP($Y7,$A$6:$I$31,5,FALSE)</f>
        <v>26</v>
      </c>
      <c r="AG7" s="160">
        <f t="shared" ref="AG7:AG31" si="11">VLOOKUP($Y7,$A$6:$I$31,6,FALSE)</f>
        <v>71</v>
      </c>
      <c r="AH7" s="161">
        <f t="shared" ref="AH7:AH31" si="12">VLOOKUP($Y7,$A$6:$I$31,7,FALSE)</f>
        <v>107.42926312604024</v>
      </c>
      <c r="AI7" s="161">
        <f t="shared" ref="AI7:AI31" si="13">VLOOKUP($Y7,$A$6:$I$31,8,FALSE)</f>
        <v>83.899645517630546</v>
      </c>
      <c r="AJ7" s="161">
        <f t="shared" ref="AJ7:AJ31" si="14">VLOOKUP($Y7,$A$6:$I$31,9,FALSE)</f>
        <v>135.50932104833896</v>
      </c>
      <c r="AK7" s="160">
        <f t="shared" ref="AK7:AK31" si="15">VLOOKUP($Y7,$A$6:$M$31,13,FALSE)</f>
        <v>1</v>
      </c>
    </row>
    <row r="8" spans="1:37" x14ac:dyDescent="0.2">
      <c r="A8" s="62" t="s">
        <v>31</v>
      </c>
      <c r="B8" s="62" t="s">
        <v>57</v>
      </c>
      <c r="C8" s="62" t="s">
        <v>200</v>
      </c>
      <c r="D8" s="62"/>
      <c r="E8" s="62">
        <f t="shared" si="2"/>
        <v>15</v>
      </c>
      <c r="F8" s="128">
        <v>43</v>
      </c>
      <c r="G8" s="129">
        <v>72.72112294943345</v>
      </c>
      <c r="H8" s="129">
        <v>52.623322863226505</v>
      </c>
      <c r="I8" s="129">
        <v>97.957300059604478</v>
      </c>
      <c r="J8" s="129"/>
      <c r="K8" s="129"/>
      <c r="L8" s="129"/>
      <c r="M8" s="60">
        <f t="shared" si="0"/>
        <v>5</v>
      </c>
      <c r="N8" s="61">
        <f t="shared" si="3"/>
        <v>31.835205992509362</v>
      </c>
      <c r="O8" s="61">
        <f t="shared" ref="O8:O31" si="16">VLOOKUP(7,$E$5:$G$39,3,FALSE)</f>
        <v>50.314465408805027</v>
      </c>
      <c r="P8" s="129">
        <f t="shared" si="4"/>
        <v>62.50391717803646</v>
      </c>
      <c r="Q8" s="129">
        <f t="shared" si="5"/>
        <v>58.85942253941753</v>
      </c>
      <c r="R8" s="129">
        <f t="shared" si="6"/>
        <v>66.314995721518159</v>
      </c>
      <c r="S8" s="61">
        <f t="shared" si="7"/>
        <v>79.884965649464775</v>
      </c>
      <c r="T8" s="61">
        <f t="shared" si="1"/>
        <v>107.42926312604024</v>
      </c>
      <c r="U8" s="61">
        <f t="shared" ref="U8:U31" si="17">VLOOKUP(C8,$C$43:$I$46,5,FALSE)</f>
        <v>66.364559344278533</v>
      </c>
      <c r="V8" s="61"/>
      <c r="Y8" s="159" t="s">
        <v>41</v>
      </c>
      <c r="Z8" s="159" t="s">
        <v>64</v>
      </c>
      <c r="AA8" s="159" t="s">
        <v>163</v>
      </c>
      <c r="AB8" s="159">
        <f t="shared" si="8"/>
        <v>6</v>
      </c>
      <c r="AC8" s="164">
        <f t="shared" ref="AC8:AC13" si="18">MIN($AH$6:$AH$13)</f>
        <v>61.11535523300229</v>
      </c>
      <c r="AD8" s="164">
        <f>MAX($AH$6:$AH$13)</f>
        <v>107.42926312604024</v>
      </c>
      <c r="AE8" s="159"/>
      <c r="AF8" s="159">
        <f t="shared" si="10"/>
        <v>20</v>
      </c>
      <c r="AG8" s="160">
        <f t="shared" si="11"/>
        <v>50</v>
      </c>
      <c r="AH8" s="161">
        <f t="shared" si="12"/>
        <v>79.884965649464775</v>
      </c>
      <c r="AI8" s="161">
        <f t="shared" si="13"/>
        <v>59.287586529851716</v>
      </c>
      <c r="AJ8" s="161">
        <f t="shared" si="14"/>
        <v>105.32058906208296</v>
      </c>
      <c r="AK8" s="160">
        <f t="shared" si="15"/>
        <v>5</v>
      </c>
    </row>
    <row r="9" spans="1:37" x14ac:dyDescent="0.2">
      <c r="A9" s="62" t="s">
        <v>32</v>
      </c>
      <c r="B9" s="62" t="s">
        <v>156</v>
      </c>
      <c r="C9" s="62" t="s">
        <v>201</v>
      </c>
      <c r="D9" s="62"/>
      <c r="E9" s="62">
        <f t="shared" si="2"/>
        <v>23</v>
      </c>
      <c r="F9" s="128">
        <v>69</v>
      </c>
      <c r="G9" s="129">
        <v>85.501858736059475</v>
      </c>
      <c r="H9" s="129">
        <v>66.522633247550942</v>
      </c>
      <c r="I9" s="129">
        <v>108.20966241484767</v>
      </c>
      <c r="J9" s="129"/>
      <c r="K9" s="129"/>
      <c r="L9" s="129"/>
      <c r="M9" s="60">
        <f t="shared" si="0"/>
        <v>1</v>
      </c>
      <c r="N9" s="61">
        <f t="shared" si="3"/>
        <v>31.835205992509362</v>
      </c>
      <c r="O9" s="61">
        <f t="shared" si="16"/>
        <v>50.314465408805027</v>
      </c>
      <c r="P9" s="129">
        <f t="shared" si="4"/>
        <v>62.50391717803646</v>
      </c>
      <c r="Q9" s="129">
        <f t="shared" si="5"/>
        <v>58.85942253941753</v>
      </c>
      <c r="R9" s="129">
        <f t="shared" si="6"/>
        <v>66.314995721518159</v>
      </c>
      <c r="S9" s="61">
        <f t="shared" si="7"/>
        <v>79.884965649464775</v>
      </c>
      <c r="T9" s="61">
        <f t="shared" si="1"/>
        <v>107.42926312604024</v>
      </c>
      <c r="U9" s="61">
        <f t="shared" si="17"/>
        <v>49.401438386066495</v>
      </c>
      <c r="V9" s="61"/>
      <c r="X9" s="63"/>
      <c r="Y9" s="159" t="s">
        <v>45</v>
      </c>
      <c r="Z9" s="159" t="s">
        <v>67</v>
      </c>
      <c r="AA9" s="159" t="s">
        <v>163</v>
      </c>
      <c r="AB9" s="159">
        <f t="shared" si="8"/>
        <v>2</v>
      </c>
      <c r="AC9" s="164">
        <f t="shared" si="18"/>
        <v>61.11535523300229</v>
      </c>
      <c r="AD9" s="164">
        <f t="shared" si="9"/>
        <v>107.42926312604024</v>
      </c>
      <c r="AE9" s="159"/>
      <c r="AF9" s="159">
        <f t="shared" si="10"/>
        <v>11</v>
      </c>
      <c r="AG9" s="160">
        <f t="shared" si="11"/>
        <v>28</v>
      </c>
      <c r="AH9" s="161">
        <f t="shared" si="12"/>
        <v>66.809830589358157</v>
      </c>
      <c r="AI9" s="161">
        <f t="shared" si="13"/>
        <v>44.384840434510636</v>
      </c>
      <c r="AJ9" s="161">
        <f t="shared" si="14"/>
        <v>96.56241840867915</v>
      </c>
      <c r="AK9" s="160">
        <f t="shared" si="15"/>
        <v>5</v>
      </c>
    </row>
    <row r="10" spans="1:37" x14ac:dyDescent="0.2">
      <c r="A10" s="62" t="s">
        <v>33</v>
      </c>
      <c r="B10" s="62" t="s">
        <v>58</v>
      </c>
      <c r="C10" s="62" t="s">
        <v>163</v>
      </c>
      <c r="D10" s="62"/>
      <c r="E10" s="62">
        <f t="shared" si="2"/>
        <v>25</v>
      </c>
      <c r="F10" s="128">
        <v>66</v>
      </c>
      <c r="G10" s="129">
        <v>106.41728474685586</v>
      </c>
      <c r="H10" s="129">
        <v>82.299222246963467</v>
      </c>
      <c r="I10" s="129">
        <v>135.39097029322252</v>
      </c>
      <c r="J10" s="129"/>
      <c r="K10" s="129"/>
      <c r="L10" s="129"/>
      <c r="M10" s="60">
        <f t="shared" si="0"/>
        <v>1</v>
      </c>
      <c r="N10" s="61">
        <f t="shared" si="3"/>
        <v>31.835205992509362</v>
      </c>
      <c r="O10" s="61">
        <f t="shared" si="16"/>
        <v>50.314465408805027</v>
      </c>
      <c r="P10" s="129">
        <f t="shared" si="4"/>
        <v>62.50391717803646</v>
      </c>
      <c r="Q10" s="129">
        <f t="shared" si="5"/>
        <v>58.85942253941753</v>
      </c>
      <c r="R10" s="129">
        <f t="shared" si="6"/>
        <v>66.314995721518159</v>
      </c>
      <c r="S10" s="61">
        <f t="shared" si="7"/>
        <v>79.884965649464775</v>
      </c>
      <c r="T10" s="61">
        <f t="shared" si="1"/>
        <v>107.42926312604024</v>
      </c>
      <c r="U10" s="61">
        <f t="shared" si="17"/>
        <v>82.979785375592712</v>
      </c>
      <c r="V10" s="61"/>
      <c r="Y10" s="159" t="s">
        <v>46</v>
      </c>
      <c r="Z10" s="159" t="s">
        <v>68</v>
      </c>
      <c r="AA10" s="159" t="s">
        <v>163</v>
      </c>
      <c r="AB10" s="159">
        <f t="shared" si="8"/>
        <v>5</v>
      </c>
      <c r="AC10" s="164">
        <f t="shared" si="18"/>
        <v>61.11535523300229</v>
      </c>
      <c r="AD10" s="164">
        <f t="shared" si="9"/>
        <v>107.42926312604024</v>
      </c>
      <c r="AE10" s="159"/>
      <c r="AF10" s="159">
        <f t="shared" si="10"/>
        <v>19</v>
      </c>
      <c r="AG10" s="160">
        <f t="shared" si="11"/>
        <v>45</v>
      </c>
      <c r="AH10" s="161">
        <f t="shared" si="12"/>
        <v>78.575170246202205</v>
      </c>
      <c r="AI10" s="161">
        <f t="shared" si="13"/>
        <v>57.307933465247558</v>
      </c>
      <c r="AJ10" s="161">
        <f t="shared" si="14"/>
        <v>105.1422414508675</v>
      </c>
      <c r="AK10" s="160">
        <f t="shared" si="15"/>
        <v>5</v>
      </c>
    </row>
    <row r="11" spans="1:37" x14ac:dyDescent="0.2">
      <c r="A11" s="62" t="s">
        <v>34</v>
      </c>
      <c r="B11" s="62" t="s">
        <v>59</v>
      </c>
      <c r="C11" s="62" t="s">
        <v>200</v>
      </c>
      <c r="D11" s="62"/>
      <c r="E11" s="62">
        <f t="shared" si="2"/>
        <v>8</v>
      </c>
      <c r="F11" s="128">
        <v>46</v>
      </c>
      <c r="G11" s="129">
        <v>53.996947998591381</v>
      </c>
      <c r="H11" s="129">
        <v>39.529014305598707</v>
      </c>
      <c r="I11" s="129">
        <v>72.026022568975705</v>
      </c>
      <c r="J11" s="129"/>
      <c r="K11" s="129"/>
      <c r="L11" s="129"/>
      <c r="M11" s="60">
        <f t="shared" si="0"/>
        <v>5</v>
      </c>
      <c r="N11" s="61">
        <f t="shared" si="3"/>
        <v>31.835205992509362</v>
      </c>
      <c r="O11" s="61">
        <f t="shared" si="16"/>
        <v>50.314465408805027</v>
      </c>
      <c r="P11" s="129">
        <f t="shared" si="4"/>
        <v>62.50391717803646</v>
      </c>
      <c r="Q11" s="129">
        <f t="shared" si="5"/>
        <v>58.85942253941753</v>
      </c>
      <c r="R11" s="129">
        <f t="shared" si="6"/>
        <v>66.314995721518159</v>
      </c>
      <c r="S11" s="61">
        <f t="shared" si="7"/>
        <v>79.884965649464775</v>
      </c>
      <c r="T11" s="61">
        <f t="shared" si="1"/>
        <v>107.42926312604024</v>
      </c>
      <c r="U11" s="61">
        <f t="shared" si="17"/>
        <v>66.364559344278533</v>
      </c>
      <c r="V11" s="61"/>
      <c r="Y11" s="159" t="s">
        <v>47</v>
      </c>
      <c r="Z11" s="159" t="s">
        <v>69</v>
      </c>
      <c r="AA11" s="159" t="s">
        <v>163</v>
      </c>
      <c r="AB11" s="159">
        <f t="shared" si="8"/>
        <v>3</v>
      </c>
      <c r="AC11" s="164">
        <f t="shared" si="18"/>
        <v>61.11535523300229</v>
      </c>
      <c r="AD11" s="164">
        <f t="shared" si="9"/>
        <v>107.42926312604024</v>
      </c>
      <c r="AE11" s="159"/>
      <c r="AF11" s="159">
        <f t="shared" si="10"/>
        <v>12</v>
      </c>
      <c r="AG11" s="160">
        <f t="shared" si="11"/>
        <v>19</v>
      </c>
      <c r="AH11" s="161">
        <f t="shared" si="12"/>
        <v>68.051575931232094</v>
      </c>
      <c r="AI11" s="161">
        <f t="shared" si="13"/>
        <v>40.952652421886981</v>
      </c>
      <c r="AJ11" s="161">
        <f t="shared" si="14"/>
        <v>106.27631183853197</v>
      </c>
      <c r="AK11" s="160">
        <f t="shared" si="15"/>
        <v>5</v>
      </c>
    </row>
    <row r="12" spans="1:37" x14ac:dyDescent="0.2">
      <c r="A12" s="62" t="s">
        <v>35</v>
      </c>
      <c r="B12" s="62" t="s">
        <v>60</v>
      </c>
      <c r="C12" s="62" t="s">
        <v>163</v>
      </c>
      <c r="D12" s="62"/>
      <c r="E12" s="62">
        <f t="shared" si="2"/>
        <v>26</v>
      </c>
      <c r="F12" s="128">
        <v>71</v>
      </c>
      <c r="G12" s="129">
        <v>107.42926312604024</v>
      </c>
      <c r="H12" s="129">
        <v>83.899645517630546</v>
      </c>
      <c r="I12" s="129">
        <v>135.50932104833896</v>
      </c>
      <c r="J12" s="129"/>
      <c r="K12" s="129"/>
      <c r="L12" s="129"/>
      <c r="M12" s="60">
        <f t="shared" si="0"/>
        <v>1</v>
      </c>
      <c r="N12" s="61">
        <f t="shared" si="3"/>
        <v>31.835205992509362</v>
      </c>
      <c r="O12" s="61">
        <f t="shared" si="16"/>
        <v>50.314465408805027</v>
      </c>
      <c r="P12" s="129">
        <f t="shared" si="4"/>
        <v>62.50391717803646</v>
      </c>
      <c r="Q12" s="129">
        <f t="shared" si="5"/>
        <v>58.85942253941753</v>
      </c>
      <c r="R12" s="129">
        <f t="shared" si="6"/>
        <v>66.314995721518159</v>
      </c>
      <c r="S12" s="61">
        <f t="shared" si="7"/>
        <v>79.884965649464775</v>
      </c>
      <c r="T12" s="61">
        <f t="shared" si="1"/>
        <v>107.42926312604024</v>
      </c>
      <c r="U12" s="61">
        <f t="shared" si="17"/>
        <v>82.979785375592712</v>
      </c>
      <c r="V12" s="61"/>
      <c r="Y12" s="159" t="s">
        <v>50</v>
      </c>
      <c r="Z12" s="159" t="s">
        <v>161</v>
      </c>
      <c r="AA12" s="159" t="s">
        <v>163</v>
      </c>
      <c r="AB12" s="159">
        <f t="shared" si="8"/>
        <v>1</v>
      </c>
      <c r="AC12" s="164">
        <f t="shared" si="18"/>
        <v>61.11535523300229</v>
      </c>
      <c r="AD12" s="164">
        <f t="shared" si="9"/>
        <v>107.42926312604024</v>
      </c>
      <c r="AE12" s="159"/>
      <c r="AF12" s="159">
        <f t="shared" si="10"/>
        <v>10</v>
      </c>
      <c r="AG12" s="160">
        <f t="shared" si="11"/>
        <v>16</v>
      </c>
      <c r="AH12" s="161">
        <f t="shared" si="12"/>
        <v>61.11535523300229</v>
      </c>
      <c r="AI12" s="161">
        <f t="shared" si="13"/>
        <v>34.91027088823752</v>
      </c>
      <c r="AJ12" s="161">
        <f t="shared" si="14"/>
        <v>99.253010672502882</v>
      </c>
      <c r="AK12" s="160">
        <f t="shared" si="15"/>
        <v>5</v>
      </c>
    </row>
    <row r="13" spans="1:37" x14ac:dyDescent="0.2">
      <c r="A13" s="62" t="s">
        <v>36</v>
      </c>
      <c r="B13" s="62" t="s">
        <v>61</v>
      </c>
      <c r="C13" s="62" t="s">
        <v>201</v>
      </c>
      <c r="D13" s="62"/>
      <c r="E13" s="62">
        <f t="shared" si="2"/>
        <v>2</v>
      </c>
      <c r="F13" s="128">
        <v>102</v>
      </c>
      <c r="G13" s="129">
        <v>34.081796311146753</v>
      </c>
      <c r="H13" s="129">
        <v>27.789009076566416</v>
      </c>
      <c r="I13" s="129">
        <v>41.373355026879061</v>
      </c>
      <c r="J13" s="129"/>
      <c r="K13" s="129"/>
      <c r="L13" s="129"/>
      <c r="M13" s="60">
        <f t="shared" si="0"/>
        <v>2</v>
      </c>
      <c r="N13" s="61">
        <f t="shared" si="3"/>
        <v>31.835205992509362</v>
      </c>
      <c r="O13" s="61">
        <f t="shared" si="16"/>
        <v>50.314465408805027</v>
      </c>
      <c r="P13" s="129">
        <f t="shared" si="4"/>
        <v>62.50391717803646</v>
      </c>
      <c r="Q13" s="129">
        <f t="shared" si="5"/>
        <v>58.85942253941753</v>
      </c>
      <c r="R13" s="129">
        <f t="shared" si="6"/>
        <v>66.314995721518159</v>
      </c>
      <c r="S13" s="61">
        <f t="shared" si="7"/>
        <v>79.884965649464775</v>
      </c>
      <c r="T13" s="61">
        <f t="shared" si="1"/>
        <v>107.42926312604024</v>
      </c>
      <c r="U13" s="61">
        <f t="shared" si="17"/>
        <v>49.401438386066495</v>
      </c>
      <c r="V13" s="61"/>
      <c r="Y13" s="159" t="s">
        <v>53</v>
      </c>
      <c r="Z13" s="159" t="s">
        <v>162</v>
      </c>
      <c r="AA13" s="159" t="s">
        <v>163</v>
      </c>
      <c r="AB13" s="159">
        <f>RANK(AH13,$AH$6:$AH$13,1)</f>
        <v>4</v>
      </c>
      <c r="AC13" s="164">
        <f t="shared" si="18"/>
        <v>61.11535523300229</v>
      </c>
      <c r="AD13" s="164">
        <f t="shared" si="9"/>
        <v>107.42926312604024</v>
      </c>
      <c r="AE13" s="159"/>
      <c r="AF13" s="159">
        <f t="shared" si="10"/>
        <v>16</v>
      </c>
      <c r="AG13" s="160">
        <f t="shared" si="11"/>
        <v>104</v>
      </c>
      <c r="AH13" s="161">
        <f t="shared" si="12"/>
        <v>75.990062837936577</v>
      </c>
      <c r="AI13" s="161">
        <f t="shared" si="13"/>
        <v>62.088041586579465</v>
      </c>
      <c r="AJ13" s="161">
        <f t="shared" si="14"/>
        <v>92.075504882547236</v>
      </c>
      <c r="AK13" s="160">
        <f t="shared" si="15"/>
        <v>5</v>
      </c>
    </row>
    <row r="14" spans="1:37" x14ac:dyDescent="0.2">
      <c r="A14" s="62" t="s">
        <v>37</v>
      </c>
      <c r="B14" s="62" t="s">
        <v>157</v>
      </c>
      <c r="C14" s="62" t="s">
        <v>201</v>
      </c>
      <c r="D14" s="62"/>
      <c r="E14" s="62">
        <f t="shared" si="2"/>
        <v>3</v>
      </c>
      <c r="F14" s="128">
        <v>71</v>
      </c>
      <c r="G14" s="129">
        <v>34.855179185076096</v>
      </c>
      <c r="H14" s="129">
        <v>27.221048464703994</v>
      </c>
      <c r="I14" s="129">
        <v>43.965689877686415</v>
      </c>
      <c r="J14" s="129"/>
      <c r="K14" s="129"/>
      <c r="L14" s="129"/>
      <c r="M14" s="60">
        <f t="shared" si="0"/>
        <v>2</v>
      </c>
      <c r="N14" s="61">
        <f t="shared" si="3"/>
        <v>31.835205992509362</v>
      </c>
      <c r="O14" s="61">
        <f t="shared" si="16"/>
        <v>50.314465408805027</v>
      </c>
      <c r="P14" s="129">
        <f t="shared" si="4"/>
        <v>62.50391717803646</v>
      </c>
      <c r="Q14" s="129">
        <f t="shared" si="5"/>
        <v>58.85942253941753</v>
      </c>
      <c r="R14" s="129">
        <f t="shared" si="6"/>
        <v>66.314995721518159</v>
      </c>
      <c r="S14" s="61">
        <f t="shared" si="7"/>
        <v>79.884965649464775</v>
      </c>
      <c r="T14" s="61">
        <f t="shared" si="1"/>
        <v>107.42926312604024</v>
      </c>
      <c r="U14" s="61">
        <f t="shared" si="17"/>
        <v>49.401438386066495</v>
      </c>
      <c r="V14" s="61"/>
      <c r="Y14" s="162" t="s">
        <v>29</v>
      </c>
      <c r="Z14" s="162" t="s">
        <v>55</v>
      </c>
      <c r="AA14" s="162" t="s">
        <v>201</v>
      </c>
      <c r="AB14" s="162">
        <f>RANK(AH14,$AH$14:$AH$22,1)</f>
        <v>4</v>
      </c>
      <c r="AC14" s="165">
        <f t="shared" ref="AC14:AC22" si="19">MIN($AH$14:$AH$22)</f>
        <v>31.835205992509362</v>
      </c>
      <c r="AD14" s="165">
        <f>MAX($AH$14:$AH$22)</f>
        <v>96.207215541165581</v>
      </c>
      <c r="AE14" s="162"/>
      <c r="AF14" s="162">
        <f t="shared" si="10"/>
        <v>4</v>
      </c>
      <c r="AG14" s="167">
        <f t="shared" si="11"/>
        <v>30</v>
      </c>
      <c r="AH14" s="165">
        <f t="shared" si="12"/>
        <v>41.152263374485599</v>
      </c>
      <c r="AI14" s="165">
        <f t="shared" si="13"/>
        <v>27.759861581984072</v>
      </c>
      <c r="AJ14" s="165">
        <f t="shared" si="14"/>
        <v>58.749481401918665</v>
      </c>
      <c r="AK14" s="167">
        <f t="shared" si="15"/>
        <v>2</v>
      </c>
    </row>
    <row r="15" spans="1:37" x14ac:dyDescent="0.2">
      <c r="A15" s="62" t="s">
        <v>38</v>
      </c>
      <c r="B15" s="62" t="s">
        <v>62</v>
      </c>
      <c r="C15" s="62" t="s">
        <v>201</v>
      </c>
      <c r="D15" s="62"/>
      <c r="E15" s="62">
        <f t="shared" si="2"/>
        <v>18</v>
      </c>
      <c r="F15" s="128">
        <v>28</v>
      </c>
      <c r="G15" s="129">
        <v>77.907623817473564</v>
      </c>
      <c r="H15" s="129">
        <v>51.757614429892627</v>
      </c>
      <c r="I15" s="129">
        <v>112.60241946320932</v>
      </c>
      <c r="J15" s="129"/>
      <c r="K15" s="129"/>
      <c r="L15" s="129"/>
      <c r="M15" s="60">
        <f t="shared" si="0"/>
        <v>5</v>
      </c>
      <c r="N15" s="61">
        <f t="shared" si="3"/>
        <v>31.835205992509362</v>
      </c>
      <c r="O15" s="61">
        <f t="shared" si="16"/>
        <v>50.314465408805027</v>
      </c>
      <c r="P15" s="129">
        <f t="shared" si="4"/>
        <v>62.50391717803646</v>
      </c>
      <c r="Q15" s="129">
        <f t="shared" si="5"/>
        <v>58.85942253941753</v>
      </c>
      <c r="R15" s="129">
        <f t="shared" si="6"/>
        <v>66.314995721518159</v>
      </c>
      <c r="S15" s="61">
        <f t="shared" si="7"/>
        <v>79.884965649464775</v>
      </c>
      <c r="T15" s="61">
        <f t="shared" si="1"/>
        <v>107.42926312604024</v>
      </c>
      <c r="U15" s="61">
        <f t="shared" si="17"/>
        <v>49.401438386066495</v>
      </c>
      <c r="V15" s="61"/>
      <c r="Y15" s="162" t="s">
        <v>32</v>
      </c>
      <c r="Z15" s="162" t="s">
        <v>156</v>
      </c>
      <c r="AA15" s="162" t="s">
        <v>201</v>
      </c>
      <c r="AB15" s="162">
        <f>RANK(AH15,$AH$14:$AH$22,1)</f>
        <v>8</v>
      </c>
      <c r="AC15" s="165">
        <f t="shared" si="19"/>
        <v>31.835205992509362</v>
      </c>
      <c r="AD15" s="165">
        <f t="shared" ref="AD15:AD22" si="20">MAX($AH$14:$AH$22)</f>
        <v>96.207215541165581</v>
      </c>
      <c r="AE15" s="162"/>
      <c r="AF15" s="162">
        <f t="shared" si="10"/>
        <v>23</v>
      </c>
      <c r="AG15" s="167">
        <f t="shared" si="11"/>
        <v>69</v>
      </c>
      <c r="AH15" s="165">
        <f t="shared" si="12"/>
        <v>85.501858736059475</v>
      </c>
      <c r="AI15" s="165">
        <f t="shared" si="13"/>
        <v>66.522633247550942</v>
      </c>
      <c r="AJ15" s="165">
        <f t="shared" si="14"/>
        <v>108.20966241484767</v>
      </c>
      <c r="AK15" s="167">
        <f t="shared" si="15"/>
        <v>1</v>
      </c>
    </row>
    <row r="16" spans="1:37" x14ac:dyDescent="0.2">
      <c r="A16" s="62" t="s">
        <v>39</v>
      </c>
      <c r="B16" s="62" t="s">
        <v>158</v>
      </c>
      <c r="C16" s="62" t="s">
        <v>200</v>
      </c>
      <c r="D16" s="62"/>
      <c r="E16" s="62">
        <f t="shared" si="2"/>
        <v>22</v>
      </c>
      <c r="F16" s="128">
        <v>49</v>
      </c>
      <c r="G16" s="129">
        <v>84.980922650017348</v>
      </c>
      <c r="H16" s="129">
        <v>62.864326487612331</v>
      </c>
      <c r="I16" s="129">
        <v>112.35170795250025</v>
      </c>
      <c r="J16" s="129"/>
      <c r="K16" s="129"/>
      <c r="L16" s="129"/>
      <c r="M16" s="60">
        <f t="shared" si="0"/>
        <v>5</v>
      </c>
      <c r="N16" s="61">
        <f t="shared" si="3"/>
        <v>31.835205992509362</v>
      </c>
      <c r="O16" s="61">
        <f t="shared" si="16"/>
        <v>50.314465408805027</v>
      </c>
      <c r="P16" s="129">
        <f t="shared" si="4"/>
        <v>62.50391717803646</v>
      </c>
      <c r="Q16" s="129">
        <f t="shared" si="5"/>
        <v>58.85942253941753</v>
      </c>
      <c r="R16" s="129">
        <f t="shared" si="6"/>
        <v>66.314995721518159</v>
      </c>
      <c r="S16" s="61">
        <f t="shared" si="7"/>
        <v>79.884965649464775</v>
      </c>
      <c r="T16" s="61">
        <f t="shared" si="1"/>
        <v>107.42926312604024</v>
      </c>
      <c r="U16" s="61">
        <f t="shared" si="17"/>
        <v>66.364559344278533</v>
      </c>
      <c r="V16" s="61"/>
      <c r="Y16" s="162" t="s">
        <v>36</v>
      </c>
      <c r="Z16" s="162" t="s">
        <v>61</v>
      </c>
      <c r="AA16" s="162" t="s">
        <v>201</v>
      </c>
      <c r="AB16" s="162">
        <f>RANK(AH16,$AH$14:$AH$22,1)</f>
        <v>2</v>
      </c>
      <c r="AC16" s="165">
        <f t="shared" si="19"/>
        <v>31.835205992509362</v>
      </c>
      <c r="AD16" s="165">
        <f t="shared" si="20"/>
        <v>96.207215541165581</v>
      </c>
      <c r="AE16" s="162"/>
      <c r="AF16" s="162">
        <f t="shared" si="10"/>
        <v>2</v>
      </c>
      <c r="AG16" s="167">
        <f t="shared" si="11"/>
        <v>102</v>
      </c>
      <c r="AH16" s="165">
        <f t="shared" si="12"/>
        <v>34.081796311146753</v>
      </c>
      <c r="AI16" s="165">
        <f t="shared" si="13"/>
        <v>27.789009076566416</v>
      </c>
      <c r="AJ16" s="165">
        <f t="shared" si="14"/>
        <v>41.373355026879061</v>
      </c>
      <c r="AK16" s="167">
        <f t="shared" si="15"/>
        <v>2</v>
      </c>
    </row>
    <row r="17" spans="1:37" x14ac:dyDescent="0.2">
      <c r="A17" s="62" t="s">
        <v>40</v>
      </c>
      <c r="B17" s="62" t="s">
        <v>63</v>
      </c>
      <c r="C17" s="62" t="s">
        <v>200</v>
      </c>
      <c r="D17" s="62"/>
      <c r="E17" s="62">
        <f t="shared" si="2"/>
        <v>5</v>
      </c>
      <c r="F17" s="128">
        <v>18</v>
      </c>
      <c r="G17" s="129">
        <v>43.415340086830682</v>
      </c>
      <c r="H17" s="129">
        <v>25.717546458848759</v>
      </c>
      <c r="I17" s="129">
        <v>68.618523667212173</v>
      </c>
      <c r="J17" s="129"/>
      <c r="K17" s="129"/>
      <c r="L17" s="129"/>
      <c r="M17" s="60">
        <f t="shared" si="0"/>
        <v>5</v>
      </c>
      <c r="N17" s="61">
        <f t="shared" si="3"/>
        <v>31.835205992509362</v>
      </c>
      <c r="O17" s="61">
        <f t="shared" si="16"/>
        <v>50.314465408805027</v>
      </c>
      <c r="P17" s="129">
        <f t="shared" si="4"/>
        <v>62.50391717803646</v>
      </c>
      <c r="Q17" s="129">
        <f t="shared" si="5"/>
        <v>58.85942253941753</v>
      </c>
      <c r="R17" s="129">
        <f t="shared" si="6"/>
        <v>66.314995721518159</v>
      </c>
      <c r="S17" s="61">
        <f t="shared" si="7"/>
        <v>79.884965649464775</v>
      </c>
      <c r="T17" s="61">
        <f t="shared" si="1"/>
        <v>107.42926312604024</v>
      </c>
      <c r="U17" s="61">
        <f t="shared" si="17"/>
        <v>66.364559344278533</v>
      </c>
      <c r="V17" s="61"/>
      <c r="Y17" s="162" t="s">
        <v>37</v>
      </c>
      <c r="Z17" s="162" t="s">
        <v>157</v>
      </c>
      <c r="AA17" s="162" t="s">
        <v>201</v>
      </c>
      <c r="AB17" s="162">
        <f t="shared" ref="AB17:AB22" si="21">RANK(AH17,$AH$14:$AH$22,1)</f>
        <v>3</v>
      </c>
      <c r="AC17" s="165">
        <f t="shared" si="19"/>
        <v>31.835205992509362</v>
      </c>
      <c r="AD17" s="165">
        <f>MAX($AH$14:$AH$22)</f>
        <v>96.207215541165581</v>
      </c>
      <c r="AE17" s="162"/>
      <c r="AF17" s="162">
        <f t="shared" si="10"/>
        <v>3</v>
      </c>
      <c r="AG17" s="167">
        <f t="shared" si="11"/>
        <v>71</v>
      </c>
      <c r="AH17" s="165">
        <f t="shared" si="12"/>
        <v>34.855179185076096</v>
      </c>
      <c r="AI17" s="165">
        <f t="shared" si="13"/>
        <v>27.221048464703994</v>
      </c>
      <c r="AJ17" s="165">
        <f t="shared" si="14"/>
        <v>43.965689877686415</v>
      </c>
      <c r="AK17" s="167">
        <f t="shared" si="15"/>
        <v>2</v>
      </c>
    </row>
    <row r="18" spans="1:37" x14ac:dyDescent="0.2">
      <c r="A18" s="62" t="s">
        <v>41</v>
      </c>
      <c r="B18" s="62" t="s">
        <v>64</v>
      </c>
      <c r="C18" s="62" t="s">
        <v>163</v>
      </c>
      <c r="D18" s="62"/>
      <c r="E18" s="62">
        <f t="shared" si="2"/>
        <v>20</v>
      </c>
      <c r="F18" s="128">
        <v>50</v>
      </c>
      <c r="G18" s="129">
        <v>79.884965649464775</v>
      </c>
      <c r="H18" s="129">
        <v>59.287586529851716</v>
      </c>
      <c r="I18" s="129">
        <v>105.32058906208296</v>
      </c>
      <c r="J18" s="129"/>
      <c r="K18" s="129"/>
      <c r="L18" s="129"/>
      <c r="M18" s="60">
        <f t="shared" si="0"/>
        <v>5</v>
      </c>
      <c r="N18" s="61">
        <f t="shared" si="3"/>
        <v>31.835205992509362</v>
      </c>
      <c r="O18" s="61">
        <f t="shared" si="16"/>
        <v>50.314465408805027</v>
      </c>
      <c r="P18" s="129">
        <f t="shared" si="4"/>
        <v>62.50391717803646</v>
      </c>
      <c r="Q18" s="129">
        <f t="shared" si="5"/>
        <v>58.85942253941753</v>
      </c>
      <c r="R18" s="129">
        <f t="shared" si="6"/>
        <v>66.314995721518159</v>
      </c>
      <c r="S18" s="61">
        <f t="shared" si="7"/>
        <v>79.884965649464775</v>
      </c>
      <c r="T18" s="61">
        <f t="shared" si="1"/>
        <v>107.42926312604024</v>
      </c>
      <c r="U18" s="61">
        <f t="shared" si="17"/>
        <v>82.979785375592712</v>
      </c>
      <c r="V18" s="61"/>
      <c r="Y18" s="162" t="s">
        <v>38</v>
      </c>
      <c r="Z18" s="162" t="s">
        <v>62</v>
      </c>
      <c r="AA18" s="162" t="s">
        <v>201</v>
      </c>
      <c r="AB18" s="162">
        <f t="shared" si="21"/>
        <v>7</v>
      </c>
      <c r="AC18" s="165">
        <f t="shared" si="19"/>
        <v>31.835205992509362</v>
      </c>
      <c r="AD18" s="165">
        <f t="shared" si="20"/>
        <v>96.207215541165581</v>
      </c>
      <c r="AE18" s="162"/>
      <c r="AF18" s="162">
        <f t="shared" si="10"/>
        <v>18</v>
      </c>
      <c r="AG18" s="167">
        <f t="shared" si="11"/>
        <v>28</v>
      </c>
      <c r="AH18" s="165">
        <f t="shared" si="12"/>
        <v>77.907623817473564</v>
      </c>
      <c r="AI18" s="165">
        <f t="shared" si="13"/>
        <v>51.757614429892627</v>
      </c>
      <c r="AJ18" s="165">
        <f t="shared" si="14"/>
        <v>112.60241946320932</v>
      </c>
      <c r="AK18" s="167">
        <f t="shared" si="15"/>
        <v>5</v>
      </c>
    </row>
    <row r="19" spans="1:37" x14ac:dyDescent="0.2">
      <c r="A19" s="62" t="s">
        <v>42</v>
      </c>
      <c r="B19" s="62" t="s">
        <v>65</v>
      </c>
      <c r="C19" s="62" t="s">
        <v>200</v>
      </c>
      <c r="D19" s="62"/>
      <c r="E19" s="62">
        <f t="shared" si="2"/>
        <v>9</v>
      </c>
      <c r="F19" s="128">
        <v>13</v>
      </c>
      <c r="G19" s="129">
        <v>57.167985927880387</v>
      </c>
      <c r="H19" s="129">
        <v>30.410030539404659</v>
      </c>
      <c r="I19" s="129">
        <v>97.76485052528993</v>
      </c>
      <c r="J19" s="129"/>
      <c r="K19" s="129"/>
      <c r="L19" s="129"/>
      <c r="M19" s="60">
        <f t="shared" si="0"/>
        <v>5</v>
      </c>
      <c r="N19" s="61">
        <f t="shared" si="3"/>
        <v>31.835205992509362</v>
      </c>
      <c r="O19" s="61">
        <f t="shared" si="16"/>
        <v>50.314465408805027</v>
      </c>
      <c r="P19" s="129">
        <f t="shared" si="4"/>
        <v>62.50391717803646</v>
      </c>
      <c r="Q19" s="129">
        <f t="shared" si="5"/>
        <v>58.85942253941753</v>
      </c>
      <c r="R19" s="129">
        <f t="shared" si="6"/>
        <v>66.314995721518159</v>
      </c>
      <c r="S19" s="61">
        <f t="shared" si="7"/>
        <v>79.884965649464775</v>
      </c>
      <c r="T19" s="61">
        <f t="shared" si="1"/>
        <v>107.42926312604024</v>
      </c>
      <c r="U19" s="61">
        <f t="shared" si="17"/>
        <v>66.364559344278533</v>
      </c>
      <c r="V19" s="61"/>
      <c r="Y19" s="162" t="s">
        <v>43</v>
      </c>
      <c r="Z19" s="162" t="s">
        <v>159</v>
      </c>
      <c r="AA19" s="162" t="s">
        <v>201</v>
      </c>
      <c r="AB19" s="162">
        <f t="shared" si="21"/>
        <v>9</v>
      </c>
      <c r="AC19" s="165">
        <f t="shared" si="19"/>
        <v>31.835205992509362</v>
      </c>
      <c r="AD19" s="165">
        <f t="shared" si="20"/>
        <v>96.207215541165581</v>
      </c>
      <c r="AE19" s="162"/>
      <c r="AF19" s="162">
        <f t="shared" si="10"/>
        <v>24</v>
      </c>
      <c r="AG19" s="167">
        <f t="shared" si="11"/>
        <v>52</v>
      </c>
      <c r="AH19" s="165">
        <f t="shared" si="12"/>
        <v>96.207215541165581</v>
      </c>
      <c r="AI19" s="165">
        <f t="shared" si="13"/>
        <v>71.846978624479405</v>
      </c>
      <c r="AJ19" s="165">
        <f t="shared" si="14"/>
        <v>126.16551250712193</v>
      </c>
      <c r="AK19" s="167">
        <f t="shared" si="15"/>
        <v>1</v>
      </c>
    </row>
    <row r="20" spans="1:37" x14ac:dyDescent="0.2">
      <c r="A20" s="62" t="s">
        <v>43</v>
      </c>
      <c r="B20" s="62" t="s">
        <v>159</v>
      </c>
      <c r="C20" s="62" t="s">
        <v>201</v>
      </c>
      <c r="D20" s="62"/>
      <c r="E20" s="62">
        <f t="shared" si="2"/>
        <v>24</v>
      </c>
      <c r="F20" s="128">
        <v>52</v>
      </c>
      <c r="G20" s="129">
        <v>96.207215541165581</v>
      </c>
      <c r="H20" s="129">
        <v>71.846978624479405</v>
      </c>
      <c r="I20" s="129">
        <v>126.16551250712193</v>
      </c>
      <c r="J20" s="129"/>
      <c r="K20" s="129"/>
      <c r="L20" s="129"/>
      <c r="M20" s="60">
        <f t="shared" si="0"/>
        <v>1</v>
      </c>
      <c r="N20" s="61">
        <f t="shared" si="3"/>
        <v>31.835205992509362</v>
      </c>
      <c r="O20" s="61">
        <f t="shared" si="16"/>
        <v>50.314465408805027</v>
      </c>
      <c r="P20" s="129">
        <f t="shared" si="4"/>
        <v>62.50391717803646</v>
      </c>
      <c r="Q20" s="129">
        <f t="shared" si="5"/>
        <v>58.85942253941753</v>
      </c>
      <c r="R20" s="129">
        <f t="shared" si="6"/>
        <v>66.314995721518159</v>
      </c>
      <c r="S20" s="61">
        <f t="shared" si="7"/>
        <v>79.884965649464775</v>
      </c>
      <c r="T20" s="61">
        <f t="shared" si="1"/>
        <v>107.42926312604024</v>
      </c>
      <c r="U20" s="61">
        <f t="shared" si="17"/>
        <v>49.401438386066495</v>
      </c>
      <c r="V20" s="61"/>
      <c r="Y20" s="162" t="s">
        <v>48</v>
      </c>
      <c r="Z20" s="162" t="s">
        <v>160</v>
      </c>
      <c r="AA20" s="162" t="s">
        <v>201</v>
      </c>
      <c r="AB20" s="162">
        <f t="shared" si="21"/>
        <v>6</v>
      </c>
      <c r="AC20" s="165">
        <f t="shared" si="19"/>
        <v>31.835205992509362</v>
      </c>
      <c r="AD20" s="165">
        <f t="shared" si="20"/>
        <v>96.207215541165581</v>
      </c>
      <c r="AE20" s="162"/>
      <c r="AF20" s="162">
        <f t="shared" si="10"/>
        <v>17</v>
      </c>
      <c r="AG20" s="167">
        <f t="shared" si="11"/>
        <v>22</v>
      </c>
      <c r="AH20" s="165">
        <f t="shared" si="12"/>
        <v>77.301475755446234</v>
      </c>
      <c r="AI20" s="165">
        <f t="shared" si="13"/>
        <v>48.427592170110934</v>
      </c>
      <c r="AJ20" s="165">
        <f t="shared" si="14"/>
        <v>117.0406843975436</v>
      </c>
      <c r="AK20" s="167">
        <f t="shared" si="15"/>
        <v>5</v>
      </c>
    </row>
    <row r="21" spans="1:37" x14ac:dyDescent="0.2">
      <c r="A21" s="62" t="s">
        <v>44</v>
      </c>
      <c r="B21" s="62" t="s">
        <v>66</v>
      </c>
      <c r="C21" s="62" t="s">
        <v>200</v>
      </c>
      <c r="D21" s="62"/>
      <c r="E21" s="62">
        <f t="shared" si="2"/>
        <v>7</v>
      </c>
      <c r="F21" s="128">
        <v>8</v>
      </c>
      <c r="G21" s="129">
        <v>50.314465408805027</v>
      </c>
      <c r="H21" s="129">
        <v>21.664721067216167</v>
      </c>
      <c r="I21" s="129">
        <v>99.144657194481809</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5</v>
      </c>
      <c r="N21" s="61">
        <f t="shared" si="3"/>
        <v>31.835205992509362</v>
      </c>
      <c r="O21" s="61">
        <f t="shared" si="16"/>
        <v>50.314465408805027</v>
      </c>
      <c r="P21" s="129">
        <f t="shared" si="4"/>
        <v>62.50391717803646</v>
      </c>
      <c r="Q21" s="129">
        <f t="shared" si="5"/>
        <v>58.85942253941753</v>
      </c>
      <c r="R21" s="129">
        <f t="shared" si="6"/>
        <v>66.314995721518159</v>
      </c>
      <c r="S21" s="61">
        <f t="shared" si="7"/>
        <v>79.884965649464775</v>
      </c>
      <c r="T21" s="61">
        <f t="shared" si="1"/>
        <v>107.42926312604024</v>
      </c>
      <c r="U21" s="61">
        <f t="shared" si="17"/>
        <v>66.364559344278533</v>
      </c>
      <c r="V21" s="61"/>
      <c r="Y21" s="162" t="s">
        <v>52</v>
      </c>
      <c r="Z21" s="162" t="s">
        <v>72</v>
      </c>
      <c r="AA21" s="162" t="s">
        <v>201</v>
      </c>
      <c r="AB21" s="162">
        <f t="shared" si="21"/>
        <v>5</v>
      </c>
      <c r="AC21" s="165">
        <f t="shared" si="19"/>
        <v>31.835205992509362</v>
      </c>
      <c r="AD21" s="165">
        <f t="shared" si="20"/>
        <v>96.207215541165581</v>
      </c>
      <c r="AE21" s="162"/>
      <c r="AF21" s="162">
        <f t="shared" si="10"/>
        <v>6</v>
      </c>
      <c r="AG21" s="167">
        <f t="shared" si="11"/>
        <v>18</v>
      </c>
      <c r="AH21" s="165">
        <f t="shared" si="12"/>
        <v>44.56548650656103</v>
      </c>
      <c r="AI21" s="165">
        <f t="shared" si="13"/>
        <v>26.398848135277781</v>
      </c>
      <c r="AJ21" s="165">
        <f t="shared" si="14"/>
        <v>70.436345413285878</v>
      </c>
      <c r="AK21" s="167">
        <f t="shared" si="15"/>
        <v>5</v>
      </c>
    </row>
    <row r="22" spans="1:37" x14ac:dyDescent="0.2">
      <c r="A22" s="62" t="s">
        <v>45</v>
      </c>
      <c r="B22" s="62" t="s">
        <v>67</v>
      </c>
      <c r="C22" s="62" t="s">
        <v>163</v>
      </c>
      <c r="D22" s="62"/>
      <c r="E22" s="62">
        <f t="shared" si="2"/>
        <v>11</v>
      </c>
      <c r="F22" s="128">
        <v>28</v>
      </c>
      <c r="G22" s="129">
        <v>66.809830589358157</v>
      </c>
      <c r="H22" s="129">
        <v>44.384840434510636</v>
      </c>
      <c r="I22" s="129">
        <v>96.56241840867915</v>
      </c>
      <c r="J22" s="129"/>
      <c r="K22" s="129"/>
      <c r="L22" s="129"/>
      <c r="M22" s="60">
        <f t="shared" si="0"/>
        <v>5</v>
      </c>
      <c r="N22" s="61">
        <f t="shared" si="3"/>
        <v>31.835205992509362</v>
      </c>
      <c r="O22" s="61">
        <f t="shared" si="16"/>
        <v>50.314465408805027</v>
      </c>
      <c r="P22" s="129">
        <f t="shared" si="4"/>
        <v>62.50391717803646</v>
      </c>
      <c r="Q22" s="129">
        <f t="shared" si="5"/>
        <v>58.85942253941753</v>
      </c>
      <c r="R22" s="129">
        <f t="shared" si="6"/>
        <v>66.314995721518159</v>
      </c>
      <c r="S22" s="61">
        <f t="shared" si="7"/>
        <v>79.884965649464775</v>
      </c>
      <c r="T22" s="61">
        <f t="shared" si="1"/>
        <v>107.42926312604024</v>
      </c>
      <c r="U22" s="61">
        <f>VLOOKUP(C22,$C$43:$I$46,5,FALSE)</f>
        <v>82.979785375592712</v>
      </c>
      <c r="V22" s="61"/>
      <c r="Y22" s="162" t="s">
        <v>54</v>
      </c>
      <c r="Z22" s="162" t="s">
        <v>73</v>
      </c>
      <c r="AA22" s="162" t="s">
        <v>201</v>
      </c>
      <c r="AB22" s="162">
        <f t="shared" si="21"/>
        <v>1</v>
      </c>
      <c r="AC22" s="165">
        <f t="shared" si="19"/>
        <v>31.835205992509362</v>
      </c>
      <c r="AD22" s="165">
        <f t="shared" si="20"/>
        <v>96.207215541165581</v>
      </c>
      <c r="AE22" s="162"/>
      <c r="AF22" s="162">
        <f t="shared" si="10"/>
        <v>1</v>
      </c>
      <c r="AG22" s="167">
        <f t="shared" si="11"/>
        <v>17</v>
      </c>
      <c r="AH22" s="165">
        <f t="shared" si="12"/>
        <v>31.835205992509362</v>
      </c>
      <c r="AI22" s="165">
        <f t="shared" si="13"/>
        <v>18.534601328072036</v>
      </c>
      <c r="AJ22" s="165">
        <f t="shared" si="14"/>
        <v>50.973987649633791</v>
      </c>
      <c r="AK22" s="167">
        <f t="shared" si="15"/>
        <v>2</v>
      </c>
    </row>
    <row r="23" spans="1:37" x14ac:dyDescent="0.2">
      <c r="A23" s="62" t="s">
        <v>46</v>
      </c>
      <c r="B23" s="62" t="s">
        <v>68</v>
      </c>
      <c r="C23" s="62" t="s">
        <v>163</v>
      </c>
      <c r="D23" s="62"/>
      <c r="E23" s="62">
        <f t="shared" si="2"/>
        <v>19</v>
      </c>
      <c r="F23" s="128">
        <v>45</v>
      </c>
      <c r="G23" s="129">
        <v>78.575170246202205</v>
      </c>
      <c r="H23" s="129">
        <v>57.307933465247558</v>
      </c>
      <c r="I23" s="129">
        <v>105.1422414508675</v>
      </c>
      <c r="J23" s="129"/>
      <c r="K23" s="129"/>
      <c r="L23" s="129"/>
      <c r="M23" s="60">
        <f t="shared" si="0"/>
        <v>5</v>
      </c>
      <c r="N23" s="61">
        <f t="shared" si="3"/>
        <v>31.835205992509362</v>
      </c>
      <c r="O23" s="61">
        <f t="shared" si="16"/>
        <v>50.314465408805027</v>
      </c>
      <c r="P23" s="129">
        <f t="shared" si="4"/>
        <v>62.50391717803646</v>
      </c>
      <c r="Q23" s="129">
        <f t="shared" si="5"/>
        <v>58.85942253941753</v>
      </c>
      <c r="R23" s="129">
        <f t="shared" si="6"/>
        <v>66.314995721518159</v>
      </c>
      <c r="S23" s="61">
        <f t="shared" si="7"/>
        <v>79.884965649464775</v>
      </c>
      <c r="T23" s="61">
        <f t="shared" si="1"/>
        <v>107.42926312604024</v>
      </c>
      <c r="U23" s="61">
        <f t="shared" si="17"/>
        <v>82.979785375592712</v>
      </c>
      <c r="V23" s="61"/>
      <c r="Y23" s="163" t="s">
        <v>30</v>
      </c>
      <c r="Z23" s="163" t="s">
        <v>56</v>
      </c>
      <c r="AA23" s="163" t="s">
        <v>200</v>
      </c>
      <c r="AB23" s="163">
        <f>RANK(AH23,$AH$23:$AH$31,1)</f>
        <v>5</v>
      </c>
      <c r="AC23" s="166">
        <f>MIN($AH$23:$AH$31)</f>
        <v>43.415340086830682</v>
      </c>
      <c r="AD23" s="166">
        <f>MAX($AH$23:$AH$31)</f>
        <v>84.980922650017348</v>
      </c>
      <c r="AE23" s="163"/>
      <c r="AF23" s="163">
        <f t="shared" si="10"/>
        <v>13</v>
      </c>
      <c r="AG23" s="168">
        <f t="shared" si="11"/>
        <v>40</v>
      </c>
      <c r="AH23" s="166">
        <f t="shared" si="12"/>
        <v>71.212390956026354</v>
      </c>
      <c r="AI23" s="166">
        <f t="shared" si="13"/>
        <v>50.869325024812021</v>
      </c>
      <c r="AJ23" s="166">
        <f t="shared" si="14"/>
        <v>96.973650204778806</v>
      </c>
      <c r="AK23" s="168">
        <f t="shared" si="15"/>
        <v>5</v>
      </c>
    </row>
    <row r="24" spans="1:37" x14ac:dyDescent="0.2">
      <c r="A24" s="62" t="s">
        <v>47</v>
      </c>
      <c r="B24" s="62" t="s">
        <v>69</v>
      </c>
      <c r="C24" s="62" t="s">
        <v>163</v>
      </c>
      <c r="D24" s="62"/>
      <c r="E24" s="62">
        <f t="shared" si="2"/>
        <v>12</v>
      </c>
      <c r="F24" s="128">
        <v>19</v>
      </c>
      <c r="G24" s="129">
        <v>68.051575931232094</v>
      </c>
      <c r="H24" s="129">
        <v>40.952652421886981</v>
      </c>
      <c r="I24" s="129">
        <v>106.27631183853197</v>
      </c>
      <c r="J24" s="129"/>
      <c r="K24" s="129"/>
      <c r="L24" s="129"/>
      <c r="M24" s="60">
        <f t="shared" si="0"/>
        <v>5</v>
      </c>
      <c r="N24" s="61">
        <f t="shared" si="3"/>
        <v>31.835205992509362</v>
      </c>
      <c r="O24" s="61">
        <f t="shared" si="16"/>
        <v>50.314465408805027</v>
      </c>
      <c r="P24" s="129">
        <f t="shared" si="4"/>
        <v>62.50391717803646</v>
      </c>
      <c r="Q24" s="129">
        <f t="shared" si="5"/>
        <v>58.85942253941753</v>
      </c>
      <c r="R24" s="129">
        <f t="shared" si="6"/>
        <v>66.314995721518159</v>
      </c>
      <c r="S24" s="61">
        <f t="shared" si="7"/>
        <v>79.884965649464775</v>
      </c>
      <c r="T24" s="61">
        <f t="shared" si="1"/>
        <v>107.42926312604024</v>
      </c>
      <c r="U24" s="61">
        <f t="shared" si="17"/>
        <v>82.979785375592712</v>
      </c>
      <c r="V24" s="61"/>
      <c r="Y24" s="163" t="s">
        <v>31</v>
      </c>
      <c r="Z24" s="163" t="s">
        <v>57</v>
      </c>
      <c r="AA24" s="163" t="s">
        <v>200</v>
      </c>
      <c r="AB24" s="163">
        <f t="shared" ref="AB24:AB31" si="22">RANK(AH24,$AH$23:$AH$31,1)</f>
        <v>7</v>
      </c>
      <c r="AC24" s="166">
        <f t="shared" ref="AC24:AC31" si="23">MIN($AH$23:$AH$31)</f>
        <v>43.415340086830682</v>
      </c>
      <c r="AD24" s="166">
        <f t="shared" ref="AD24:AD31" si="24">MAX($AH$23:$AH$31)</f>
        <v>84.980922650017348</v>
      </c>
      <c r="AE24" s="163"/>
      <c r="AF24" s="163">
        <f t="shared" si="10"/>
        <v>15</v>
      </c>
      <c r="AG24" s="168">
        <f t="shared" si="11"/>
        <v>43</v>
      </c>
      <c r="AH24" s="166">
        <f t="shared" si="12"/>
        <v>72.72112294943345</v>
      </c>
      <c r="AI24" s="166">
        <f t="shared" si="13"/>
        <v>52.623322863226505</v>
      </c>
      <c r="AJ24" s="166">
        <f t="shared" si="14"/>
        <v>97.957300059604478</v>
      </c>
      <c r="AK24" s="168">
        <f t="shared" si="15"/>
        <v>5</v>
      </c>
    </row>
    <row r="25" spans="1:37" x14ac:dyDescent="0.2">
      <c r="A25" s="62" t="s">
        <v>48</v>
      </c>
      <c r="B25" s="62" t="s">
        <v>160</v>
      </c>
      <c r="C25" s="62" t="s">
        <v>201</v>
      </c>
      <c r="D25" s="62"/>
      <c r="E25" s="62">
        <f t="shared" si="2"/>
        <v>17</v>
      </c>
      <c r="F25" s="128">
        <v>22</v>
      </c>
      <c r="G25" s="129">
        <v>77.301475755446234</v>
      </c>
      <c r="H25" s="129">
        <v>48.427592170110934</v>
      </c>
      <c r="I25" s="129">
        <v>117.0406843975436</v>
      </c>
      <c r="J25" s="129"/>
      <c r="K25" s="129"/>
      <c r="L25" s="129"/>
      <c r="M25" s="60">
        <f t="shared" si="0"/>
        <v>5</v>
      </c>
      <c r="N25" s="61">
        <f t="shared" si="3"/>
        <v>31.835205992509362</v>
      </c>
      <c r="O25" s="61">
        <f t="shared" si="16"/>
        <v>50.314465408805027</v>
      </c>
      <c r="P25" s="129">
        <f t="shared" si="4"/>
        <v>62.50391717803646</v>
      </c>
      <c r="Q25" s="129">
        <f t="shared" si="5"/>
        <v>58.85942253941753</v>
      </c>
      <c r="R25" s="129">
        <f t="shared" si="6"/>
        <v>66.314995721518159</v>
      </c>
      <c r="S25" s="61">
        <f t="shared" si="7"/>
        <v>79.884965649464775</v>
      </c>
      <c r="T25" s="61">
        <f t="shared" si="1"/>
        <v>107.42926312604024</v>
      </c>
      <c r="U25" s="61">
        <f t="shared" si="17"/>
        <v>49.401438386066495</v>
      </c>
      <c r="V25" s="61"/>
      <c r="Y25" s="163" t="s">
        <v>34</v>
      </c>
      <c r="Z25" s="163" t="s">
        <v>59</v>
      </c>
      <c r="AA25" s="163" t="s">
        <v>200</v>
      </c>
      <c r="AB25" s="163">
        <f t="shared" si="22"/>
        <v>3</v>
      </c>
      <c r="AC25" s="166">
        <f t="shared" si="23"/>
        <v>43.415340086830682</v>
      </c>
      <c r="AD25" s="166">
        <f t="shared" si="24"/>
        <v>84.980922650017348</v>
      </c>
      <c r="AE25" s="163"/>
      <c r="AF25" s="163">
        <f t="shared" si="10"/>
        <v>8</v>
      </c>
      <c r="AG25" s="168">
        <f t="shared" si="11"/>
        <v>46</v>
      </c>
      <c r="AH25" s="166">
        <f t="shared" si="12"/>
        <v>53.996947998591381</v>
      </c>
      <c r="AI25" s="166">
        <f t="shared" si="13"/>
        <v>39.529014305598707</v>
      </c>
      <c r="AJ25" s="166">
        <f t="shared" si="14"/>
        <v>72.026022568975705</v>
      </c>
      <c r="AK25" s="168">
        <f t="shared" si="15"/>
        <v>5</v>
      </c>
    </row>
    <row r="26" spans="1:37" x14ac:dyDescent="0.2">
      <c r="A26" s="62" t="s">
        <v>49</v>
      </c>
      <c r="B26" s="62" t="s">
        <v>70</v>
      </c>
      <c r="C26" s="62" t="s">
        <v>200</v>
      </c>
      <c r="D26" s="62"/>
      <c r="E26" s="62">
        <f t="shared" si="2"/>
        <v>21</v>
      </c>
      <c r="F26" s="128">
        <v>31</v>
      </c>
      <c r="G26" s="129">
        <v>82.424886998138803</v>
      </c>
      <c r="H26" s="129">
        <v>55.9934630599044</v>
      </c>
      <c r="I26" s="129">
        <v>116.99954210309883</v>
      </c>
      <c r="J26" s="129"/>
      <c r="K26" s="129"/>
      <c r="L26" s="129"/>
      <c r="M26" s="60">
        <f t="shared" si="0"/>
        <v>5</v>
      </c>
      <c r="N26" s="61">
        <f t="shared" si="3"/>
        <v>31.835205992509362</v>
      </c>
      <c r="O26" s="61">
        <f t="shared" si="16"/>
        <v>50.314465408805027</v>
      </c>
      <c r="P26" s="129">
        <f t="shared" si="4"/>
        <v>62.50391717803646</v>
      </c>
      <c r="Q26" s="129">
        <f t="shared" si="5"/>
        <v>58.85942253941753</v>
      </c>
      <c r="R26" s="129">
        <f t="shared" si="6"/>
        <v>66.314995721518159</v>
      </c>
      <c r="S26" s="61">
        <f t="shared" si="7"/>
        <v>79.884965649464775</v>
      </c>
      <c r="T26" s="61">
        <f t="shared" si="1"/>
        <v>107.42926312604024</v>
      </c>
      <c r="U26" s="61">
        <f t="shared" si="17"/>
        <v>66.364559344278533</v>
      </c>
      <c r="V26" s="61"/>
      <c r="Y26" s="163" t="s">
        <v>39</v>
      </c>
      <c r="Z26" s="163" t="s">
        <v>158</v>
      </c>
      <c r="AA26" s="163" t="s">
        <v>200</v>
      </c>
      <c r="AB26" s="163">
        <f t="shared" si="22"/>
        <v>9</v>
      </c>
      <c r="AC26" s="166">
        <f t="shared" si="23"/>
        <v>43.415340086830682</v>
      </c>
      <c r="AD26" s="166">
        <f t="shared" si="24"/>
        <v>84.980922650017348</v>
      </c>
      <c r="AE26" s="163"/>
      <c r="AF26" s="163">
        <f t="shared" si="10"/>
        <v>22</v>
      </c>
      <c r="AG26" s="168">
        <f t="shared" si="11"/>
        <v>49</v>
      </c>
      <c r="AH26" s="166">
        <f t="shared" si="12"/>
        <v>84.980922650017348</v>
      </c>
      <c r="AI26" s="166">
        <f t="shared" si="13"/>
        <v>62.864326487612331</v>
      </c>
      <c r="AJ26" s="166">
        <f t="shared" si="14"/>
        <v>112.35170795250025</v>
      </c>
      <c r="AK26" s="168">
        <f t="shared" si="15"/>
        <v>5</v>
      </c>
    </row>
    <row r="27" spans="1:37" x14ac:dyDescent="0.2">
      <c r="A27" s="62" t="s">
        <v>50</v>
      </c>
      <c r="B27" s="62" t="s">
        <v>161</v>
      </c>
      <c r="C27" s="62" t="s">
        <v>163</v>
      </c>
      <c r="D27" s="62"/>
      <c r="E27" s="62">
        <f t="shared" si="2"/>
        <v>10</v>
      </c>
      <c r="F27" s="128">
        <v>16</v>
      </c>
      <c r="G27" s="129">
        <v>61.11535523300229</v>
      </c>
      <c r="H27" s="129">
        <v>34.91027088823752</v>
      </c>
      <c r="I27" s="129">
        <v>99.253010672502882</v>
      </c>
      <c r="J27" s="129"/>
      <c r="K27" s="129"/>
      <c r="L27" s="129"/>
      <c r="M27" s="60">
        <f t="shared" si="0"/>
        <v>5</v>
      </c>
      <c r="N27" s="61">
        <f t="shared" si="3"/>
        <v>31.835205992509362</v>
      </c>
      <c r="O27" s="61">
        <f t="shared" si="16"/>
        <v>50.314465408805027</v>
      </c>
      <c r="P27" s="129">
        <f t="shared" si="4"/>
        <v>62.50391717803646</v>
      </c>
      <c r="Q27" s="129">
        <f t="shared" si="5"/>
        <v>58.85942253941753</v>
      </c>
      <c r="R27" s="129">
        <f t="shared" si="6"/>
        <v>66.314995721518159</v>
      </c>
      <c r="S27" s="61">
        <f t="shared" si="7"/>
        <v>79.884965649464775</v>
      </c>
      <c r="T27" s="61">
        <f t="shared" si="1"/>
        <v>107.42926312604024</v>
      </c>
      <c r="U27" s="61">
        <f t="shared" si="17"/>
        <v>82.979785375592712</v>
      </c>
      <c r="V27" s="61"/>
      <c r="Y27" s="163" t="s">
        <v>40</v>
      </c>
      <c r="Z27" s="163" t="s">
        <v>63</v>
      </c>
      <c r="AA27" s="163" t="s">
        <v>200</v>
      </c>
      <c r="AB27" s="163">
        <f t="shared" si="22"/>
        <v>1</v>
      </c>
      <c r="AC27" s="166">
        <f t="shared" si="23"/>
        <v>43.415340086830682</v>
      </c>
      <c r="AD27" s="166">
        <f t="shared" si="24"/>
        <v>84.980922650017348</v>
      </c>
      <c r="AE27" s="163"/>
      <c r="AF27" s="163">
        <f t="shared" si="10"/>
        <v>5</v>
      </c>
      <c r="AG27" s="168">
        <f t="shared" si="11"/>
        <v>18</v>
      </c>
      <c r="AH27" s="166">
        <f t="shared" si="12"/>
        <v>43.415340086830682</v>
      </c>
      <c r="AI27" s="166">
        <f t="shared" si="13"/>
        <v>25.717546458848759</v>
      </c>
      <c r="AJ27" s="166">
        <f t="shared" si="14"/>
        <v>68.618523667212173</v>
      </c>
      <c r="AK27" s="168">
        <f t="shared" si="15"/>
        <v>5</v>
      </c>
    </row>
    <row r="28" spans="1:37" x14ac:dyDescent="0.2">
      <c r="A28" s="62" t="s">
        <v>51</v>
      </c>
      <c r="B28" s="62" t="s">
        <v>71</v>
      </c>
      <c r="C28" s="62" t="s">
        <v>200</v>
      </c>
      <c r="D28" s="62"/>
      <c r="E28" s="62">
        <f t="shared" si="2"/>
        <v>14</v>
      </c>
      <c r="F28" s="128">
        <v>20</v>
      </c>
      <c r="G28" s="129">
        <v>71.505184125849127</v>
      </c>
      <c r="H28" s="129">
        <v>43.659023363875356</v>
      </c>
      <c r="I28" s="129">
        <v>110.43932917124442</v>
      </c>
      <c r="J28" s="129"/>
      <c r="K28" s="129"/>
      <c r="L28" s="129"/>
      <c r="M28" s="60">
        <f t="shared" si="0"/>
        <v>5</v>
      </c>
      <c r="N28" s="61">
        <f t="shared" si="3"/>
        <v>31.835205992509362</v>
      </c>
      <c r="O28" s="61">
        <f t="shared" si="16"/>
        <v>50.314465408805027</v>
      </c>
      <c r="P28" s="129">
        <f t="shared" si="4"/>
        <v>62.50391717803646</v>
      </c>
      <c r="Q28" s="129">
        <f t="shared" si="5"/>
        <v>58.85942253941753</v>
      </c>
      <c r="R28" s="129">
        <f t="shared" si="6"/>
        <v>66.314995721518159</v>
      </c>
      <c r="S28" s="61">
        <f t="shared" si="7"/>
        <v>79.884965649464775</v>
      </c>
      <c r="T28" s="61">
        <f t="shared" si="1"/>
        <v>107.42926312604024</v>
      </c>
      <c r="U28" s="61">
        <f t="shared" si="17"/>
        <v>66.364559344278533</v>
      </c>
      <c r="V28" s="61"/>
      <c r="Y28" s="163" t="s">
        <v>42</v>
      </c>
      <c r="Z28" s="163" t="s">
        <v>65</v>
      </c>
      <c r="AA28" s="163" t="s">
        <v>200</v>
      </c>
      <c r="AB28" s="163">
        <f t="shared" si="22"/>
        <v>4</v>
      </c>
      <c r="AC28" s="166">
        <f t="shared" si="23"/>
        <v>43.415340086830682</v>
      </c>
      <c r="AD28" s="166">
        <f t="shared" si="24"/>
        <v>84.980922650017348</v>
      </c>
      <c r="AE28" s="163"/>
      <c r="AF28" s="163">
        <f t="shared" si="10"/>
        <v>9</v>
      </c>
      <c r="AG28" s="168">
        <f t="shared" si="11"/>
        <v>13</v>
      </c>
      <c r="AH28" s="166">
        <f t="shared" si="12"/>
        <v>57.167985927880387</v>
      </c>
      <c r="AI28" s="166">
        <f t="shared" si="13"/>
        <v>30.410030539404659</v>
      </c>
      <c r="AJ28" s="166">
        <f t="shared" si="14"/>
        <v>97.76485052528993</v>
      </c>
      <c r="AK28" s="168">
        <f t="shared" si="15"/>
        <v>5</v>
      </c>
    </row>
    <row r="29" spans="1:37" x14ac:dyDescent="0.2">
      <c r="A29" s="62" t="s">
        <v>52</v>
      </c>
      <c r="B29" s="62" t="s">
        <v>72</v>
      </c>
      <c r="C29" s="62" t="s">
        <v>201</v>
      </c>
      <c r="D29" s="62"/>
      <c r="E29" s="62">
        <f t="shared" si="2"/>
        <v>6</v>
      </c>
      <c r="F29" s="128">
        <v>18</v>
      </c>
      <c r="G29" s="129">
        <v>44.56548650656103</v>
      </c>
      <c r="H29" s="129">
        <v>26.398848135277781</v>
      </c>
      <c r="I29" s="129">
        <v>70.436345413285878</v>
      </c>
      <c r="J29" s="129"/>
      <c r="K29" s="129"/>
      <c r="L29" s="129"/>
      <c r="M29" s="60">
        <f t="shared" si="0"/>
        <v>5</v>
      </c>
      <c r="N29" s="61">
        <f t="shared" si="3"/>
        <v>31.835205992509362</v>
      </c>
      <c r="O29" s="61">
        <f t="shared" si="16"/>
        <v>50.314465408805027</v>
      </c>
      <c r="P29" s="129">
        <f t="shared" si="4"/>
        <v>62.50391717803646</v>
      </c>
      <c r="Q29" s="129">
        <f t="shared" si="5"/>
        <v>58.85942253941753</v>
      </c>
      <c r="R29" s="129">
        <f t="shared" si="6"/>
        <v>66.314995721518159</v>
      </c>
      <c r="S29" s="61">
        <f t="shared" si="7"/>
        <v>79.884965649464775</v>
      </c>
      <c r="T29" s="61">
        <f t="shared" si="1"/>
        <v>107.42926312604024</v>
      </c>
      <c r="U29" s="61">
        <f t="shared" si="17"/>
        <v>49.401438386066495</v>
      </c>
      <c r="V29" s="61"/>
      <c r="Y29" s="163" t="s">
        <v>44</v>
      </c>
      <c r="Z29" s="163" t="s">
        <v>66</v>
      </c>
      <c r="AA29" s="163" t="s">
        <v>200</v>
      </c>
      <c r="AB29" s="163">
        <f t="shared" si="22"/>
        <v>2</v>
      </c>
      <c r="AC29" s="166">
        <f t="shared" si="23"/>
        <v>43.415340086830682</v>
      </c>
      <c r="AD29" s="166">
        <f t="shared" si="24"/>
        <v>84.980922650017348</v>
      </c>
      <c r="AE29" s="163"/>
      <c r="AF29" s="163">
        <f t="shared" si="10"/>
        <v>7</v>
      </c>
      <c r="AG29" s="168">
        <f t="shared" si="11"/>
        <v>8</v>
      </c>
      <c r="AH29" s="166">
        <f t="shared" si="12"/>
        <v>50.314465408805027</v>
      </c>
      <c r="AI29" s="166">
        <f t="shared" si="13"/>
        <v>21.664721067216167</v>
      </c>
      <c r="AJ29" s="166">
        <f t="shared" si="14"/>
        <v>99.144657194481809</v>
      </c>
      <c r="AK29" s="168">
        <f t="shared" si="15"/>
        <v>5</v>
      </c>
    </row>
    <row r="30" spans="1:37" x14ac:dyDescent="0.2">
      <c r="A30" s="62" t="s">
        <v>53</v>
      </c>
      <c r="B30" s="62" t="s">
        <v>162</v>
      </c>
      <c r="C30" s="62" t="s">
        <v>163</v>
      </c>
      <c r="D30" s="62"/>
      <c r="E30" s="62">
        <f t="shared" si="2"/>
        <v>16</v>
      </c>
      <c r="F30" s="128">
        <v>104</v>
      </c>
      <c r="G30" s="129">
        <v>75.990062837936577</v>
      </c>
      <c r="H30" s="129">
        <v>62.088041586579465</v>
      </c>
      <c r="I30" s="129">
        <v>92.075504882547236</v>
      </c>
      <c r="J30" s="129"/>
      <c r="K30" s="129"/>
      <c r="L30" s="129"/>
      <c r="M30" s="60">
        <f t="shared" si="0"/>
        <v>5</v>
      </c>
      <c r="N30" s="61">
        <f t="shared" si="3"/>
        <v>31.835205992509362</v>
      </c>
      <c r="O30" s="61">
        <f t="shared" si="16"/>
        <v>50.314465408805027</v>
      </c>
      <c r="P30" s="129">
        <f>$G$32</f>
        <v>62.50391717803646</v>
      </c>
      <c r="Q30" s="129">
        <f t="shared" si="5"/>
        <v>58.85942253941753</v>
      </c>
      <c r="R30" s="129">
        <f t="shared" si="6"/>
        <v>66.314995721518159</v>
      </c>
      <c r="S30" s="61">
        <f t="shared" si="7"/>
        <v>79.884965649464775</v>
      </c>
      <c r="T30" s="61">
        <f t="shared" si="1"/>
        <v>107.42926312604024</v>
      </c>
      <c r="U30" s="61">
        <f t="shared" si="17"/>
        <v>82.979785375592712</v>
      </c>
      <c r="V30" s="61"/>
      <c r="Y30" s="163" t="s">
        <v>49</v>
      </c>
      <c r="Z30" s="163" t="s">
        <v>70</v>
      </c>
      <c r="AA30" s="163" t="s">
        <v>200</v>
      </c>
      <c r="AB30" s="163">
        <f t="shared" si="22"/>
        <v>8</v>
      </c>
      <c r="AC30" s="166">
        <f t="shared" si="23"/>
        <v>43.415340086830682</v>
      </c>
      <c r="AD30" s="166">
        <f t="shared" si="24"/>
        <v>84.980922650017348</v>
      </c>
      <c r="AE30" s="163"/>
      <c r="AF30" s="163">
        <f t="shared" si="10"/>
        <v>21</v>
      </c>
      <c r="AG30" s="168">
        <f t="shared" si="11"/>
        <v>31</v>
      </c>
      <c r="AH30" s="166">
        <f t="shared" si="12"/>
        <v>82.424886998138803</v>
      </c>
      <c r="AI30" s="166">
        <f t="shared" si="13"/>
        <v>55.9934630599044</v>
      </c>
      <c r="AJ30" s="166">
        <f t="shared" si="14"/>
        <v>116.99954210309883</v>
      </c>
      <c r="AK30" s="168">
        <f t="shared" si="15"/>
        <v>5</v>
      </c>
    </row>
    <row r="31" spans="1:37" x14ac:dyDescent="0.2">
      <c r="A31" s="62" t="s">
        <v>54</v>
      </c>
      <c r="B31" s="62" t="s">
        <v>73</v>
      </c>
      <c r="C31" s="62" t="s">
        <v>201</v>
      </c>
      <c r="D31" s="62"/>
      <c r="E31" s="62">
        <f t="shared" si="2"/>
        <v>1</v>
      </c>
      <c r="F31" s="128">
        <v>17</v>
      </c>
      <c r="G31" s="129">
        <v>31.835205992509362</v>
      </c>
      <c r="H31" s="129">
        <v>18.534601328072036</v>
      </c>
      <c r="I31" s="129">
        <v>50.973987649633791</v>
      </c>
      <c r="J31" s="129"/>
      <c r="K31" s="129"/>
      <c r="L31" s="129"/>
      <c r="M31" s="60">
        <f t="shared" si="0"/>
        <v>2</v>
      </c>
      <c r="N31" s="61">
        <f t="shared" si="3"/>
        <v>31.835205992509362</v>
      </c>
      <c r="O31" s="61">
        <f t="shared" si="16"/>
        <v>50.314465408805027</v>
      </c>
      <c r="P31" s="129">
        <f t="shared" si="4"/>
        <v>62.50391717803646</v>
      </c>
      <c r="Q31" s="129">
        <f t="shared" si="5"/>
        <v>58.85942253941753</v>
      </c>
      <c r="R31" s="129">
        <f t="shared" si="6"/>
        <v>66.314995721518159</v>
      </c>
      <c r="S31" s="61">
        <f t="shared" si="7"/>
        <v>79.884965649464775</v>
      </c>
      <c r="T31" s="61">
        <f t="shared" si="1"/>
        <v>107.42926312604024</v>
      </c>
      <c r="U31" s="61">
        <f t="shared" si="17"/>
        <v>49.401438386066495</v>
      </c>
      <c r="V31" s="61"/>
      <c r="Y31" s="163" t="s">
        <v>51</v>
      </c>
      <c r="Z31" s="163" t="s">
        <v>71</v>
      </c>
      <c r="AA31" s="163" t="s">
        <v>200</v>
      </c>
      <c r="AB31" s="163">
        <f t="shared" si="22"/>
        <v>6</v>
      </c>
      <c r="AC31" s="166">
        <f t="shared" si="23"/>
        <v>43.415340086830682</v>
      </c>
      <c r="AD31" s="166">
        <f t="shared" si="24"/>
        <v>84.980922650017348</v>
      </c>
      <c r="AE31" s="163"/>
      <c r="AF31" s="163">
        <f t="shared" si="10"/>
        <v>14</v>
      </c>
      <c r="AG31" s="168">
        <f t="shared" si="11"/>
        <v>20</v>
      </c>
      <c r="AH31" s="166">
        <f t="shared" si="12"/>
        <v>71.505184125849127</v>
      </c>
      <c r="AI31" s="166">
        <f t="shared" si="13"/>
        <v>43.659023363875356</v>
      </c>
      <c r="AJ31" s="166">
        <f t="shared" si="14"/>
        <v>110.43932917124442</v>
      </c>
      <c r="AK31" s="168">
        <f t="shared" si="15"/>
        <v>5</v>
      </c>
    </row>
    <row r="32" spans="1:37" x14ac:dyDescent="0.2">
      <c r="A32" s="62"/>
      <c r="B32" s="62" t="s">
        <v>171</v>
      </c>
      <c r="C32" s="62"/>
      <c r="D32" s="62"/>
      <c r="E32" s="62"/>
      <c r="F32" s="128">
        <v>1097</v>
      </c>
      <c r="G32" s="129">
        <v>62.50391717803646</v>
      </c>
      <c r="H32" s="129">
        <v>58.85942253941753</v>
      </c>
      <c r="I32" s="129">
        <v>66.314995721518159</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399</v>
      </c>
      <c r="G44" s="344">
        <v>82.979785375592712</v>
      </c>
      <c r="H44" s="344">
        <v>75.036286619752417</v>
      </c>
      <c r="I44" s="344">
        <v>91.535300305298875</v>
      </c>
      <c r="J44" s="344">
        <f>VLOOKUP($C44,$AA$6:$AD$13,3,FALSE)</f>
        <v>61.11535523300229</v>
      </c>
      <c r="K44" s="344">
        <f>VLOOKUP($C44,$AA$6:$AD$13,4,FALSE)</f>
        <v>107.42926312604024</v>
      </c>
      <c r="L44" s="344"/>
      <c r="M44" s="60">
        <f>IF($C$2="Significance not measured",6,IF(AND($C$2="Better / Worse",$K$2="Low = Worst",I44&lt;Q44),1,IF(AND($C$2="Better / Worse",$K$2="Low = Worst",H44&gt;R44),2,IF(AND($C$2="Better / Worse",$K$2="High = Worst",I44&lt;Q44),2,IF(AND($C$2="Better / Worse",$K$2="High = Worst",H44&gt;R44),1,IF(AND($C$2="Higher / Lower",I44&lt;Q44),3,IF(AND($C$2="Higher / Lower",H44&gt;R44),4,5)))))))</f>
        <v>1</v>
      </c>
      <c r="N44" s="60">
        <f>MIN($G$6:$G$31)</f>
        <v>31.835205992509362</v>
      </c>
      <c r="O44" s="60">
        <f>VLOOKUP(7,$E$5:$G$39,3,FALSE)</f>
        <v>50.314465408805027</v>
      </c>
      <c r="P44" s="344">
        <f>$G$32</f>
        <v>62.50391717803646</v>
      </c>
      <c r="Q44" s="129">
        <f>$H$32</f>
        <v>58.85942253941753</v>
      </c>
      <c r="R44" s="129">
        <f>$I$32</f>
        <v>66.314995721518159</v>
      </c>
      <c r="S44" s="61">
        <f>VLOOKUP(20,$E$5:$G$39,3,FALSE)</f>
        <v>79.884965649464775</v>
      </c>
      <c r="T44" s="61">
        <f>MAX($G$6:$G$31)</f>
        <v>107.42926312604024</v>
      </c>
    </row>
    <row r="45" spans="1:22" x14ac:dyDescent="0.2">
      <c r="C45" s="62" t="s">
        <v>201</v>
      </c>
      <c r="D45" s="62"/>
      <c r="E45" s="62"/>
      <c r="F45" s="128">
        <v>430</v>
      </c>
      <c r="G45" s="344">
        <v>49.401438386066495</v>
      </c>
      <c r="H45" s="344">
        <v>44.841775646053534</v>
      </c>
      <c r="I45" s="344">
        <v>54.298990558125382</v>
      </c>
      <c r="J45" s="344">
        <f>VLOOKUP($C45,$AA$14:$AD$22,3,FALSE)</f>
        <v>31.835205992509362</v>
      </c>
      <c r="K45" s="344">
        <f>VLOOKUP($C45,$AA$14:$AD$22,4,FALSE)</f>
        <v>96.207215541165581</v>
      </c>
      <c r="L45" s="344"/>
      <c r="M45" s="60">
        <f>IF($C$2="Significance not measured",6,IF(AND($C$2="Better / Worse",$K$2="Low = Worst",I45&lt;Q45),1,IF(AND($C$2="Better / Worse",$K$2="Low = Worst",H45&gt;R45),2,IF(AND($C$2="Better / Worse",$K$2="High = Worst",I45&lt;Q45),2,IF(AND($C$2="Better / Worse",$K$2="High = Worst",H45&gt;R45),1,IF(AND($C$2="Higher / Lower",I45&lt;Q45),3,IF(AND($C$2="Higher / Lower",H45&gt;R45),4,5)))))))</f>
        <v>2</v>
      </c>
      <c r="N45" s="60">
        <f>MIN($G$6:$G$31)</f>
        <v>31.835205992509362</v>
      </c>
      <c r="O45" s="60">
        <f>VLOOKUP(7,$E$5:$G$39,3,FALSE)</f>
        <v>50.314465408805027</v>
      </c>
      <c r="P45" s="344">
        <f>$G$32</f>
        <v>62.50391717803646</v>
      </c>
      <c r="Q45" s="129">
        <f t="shared" ref="Q45:Q46" si="25">$H$32</f>
        <v>58.85942253941753</v>
      </c>
      <c r="R45" s="129">
        <f t="shared" ref="R45:R46" si="26">$I$32</f>
        <v>66.314995721518159</v>
      </c>
      <c r="S45" s="61">
        <f>VLOOKUP(20,$E$5:$G$39,3,FALSE)</f>
        <v>79.884965649464775</v>
      </c>
      <c r="T45" s="61">
        <f t="shared" ref="T45:T46" si="27">MAX($G$6:$G$31)</f>
        <v>107.42926312604024</v>
      </c>
    </row>
    <row r="46" spans="1:22" x14ac:dyDescent="0.2">
      <c r="C46" s="62" t="s">
        <v>200</v>
      </c>
      <c r="D46" s="62"/>
      <c r="E46" s="62"/>
      <c r="F46" s="128">
        <v>268</v>
      </c>
      <c r="G46" s="344">
        <v>66.364559344278533</v>
      </c>
      <c r="H46" s="344">
        <v>58.655952478705863</v>
      </c>
      <c r="I46" s="344">
        <v>74.804500162718341</v>
      </c>
      <c r="J46" s="344">
        <f>VLOOKUP($C46,$AA$23:$AD$31,3,FALSE)</f>
        <v>43.415340086830682</v>
      </c>
      <c r="K46" s="344">
        <f>VLOOKUP($C46,$AA$23:$AD$31,4,FALSE)</f>
        <v>84.980922650017348</v>
      </c>
      <c r="L46" s="344"/>
      <c r="M46" s="60">
        <f>IF($C$2="Significance not measured",6,IF(AND($C$2="Better / Worse",$K$2="Low = Worst",I46&lt;Q46),1,IF(AND($C$2="Better / Worse",$K$2="Low = Worst",H46&gt;R46),2,IF(AND($C$2="Better / Worse",$K$2="High = Worst",I46&lt;Q46),2,IF(AND($C$2="Better / Worse",$K$2="High = Worst",H46&gt;R46),1,IF(AND($C$2="Higher / Lower",I46&lt;Q46),3,IF(AND($C$2="Higher / Lower",H46&gt;R46),4,5)))))))</f>
        <v>5</v>
      </c>
      <c r="N46" s="60">
        <f>MIN($G$6:$G$31)</f>
        <v>31.835205992509362</v>
      </c>
      <c r="O46" s="60">
        <f>VLOOKUP(7,$E$5:$G$39,3,FALSE)</f>
        <v>50.314465408805027</v>
      </c>
      <c r="P46" s="344">
        <f t="shared" ref="P46" si="28">$G$32</f>
        <v>62.50391717803646</v>
      </c>
      <c r="Q46" s="129">
        <f t="shared" si="25"/>
        <v>58.85942253941753</v>
      </c>
      <c r="R46" s="129">
        <f t="shared" si="26"/>
        <v>66.314995721518159</v>
      </c>
      <c r="S46" s="61">
        <f>VLOOKUP(20,$E$5:$G$39,3,FALSE)</f>
        <v>79.884965649464775</v>
      </c>
      <c r="T46" s="61">
        <f t="shared" si="27"/>
        <v>107.42926312604024</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C2:D2" xr:uid="{00000000-0002-0000-3800-000000000000}">
      <formula1>"Better / Worse,Higher / Lower,Significance not measured"</formula1>
    </dataValidation>
    <dataValidation type="list" allowBlank="1" showInputMessage="1" showErrorMessage="1" sqref="K2:N2" xr:uid="{00000000-0002-0000-3800-000001000000}">
      <formula1>"High = Worst,Low = Worst"</formula1>
    </dataValidation>
  </dataValidations>
  <pageMargins left="0.75" right="0.75" top="1" bottom="1" header="0.5" footer="0.5"/>
  <pageSetup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tabColor theme="6" tint="0.39997558519241921"/>
  </sheetPr>
  <dimension ref="A1:AK55"/>
  <sheetViews>
    <sheetView workbookViewId="0">
      <selection activeCell="A46" sqref="A46:XFD46"/>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8" width="7.33203125" style="21" customWidth="1"/>
    <col min="9" max="9" width="6.886718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5.554687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3</v>
      </c>
      <c r="F6" s="128" t="s">
        <v>79</v>
      </c>
      <c r="G6" s="129">
        <v>7.2358900144717797</v>
      </c>
      <c r="H6" s="129">
        <v>5.5314826767276459</v>
      </c>
      <c r="I6" s="129">
        <v>9.4131435401559838</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2</v>
      </c>
      <c r="N6" s="61">
        <f>MIN($G$6:$G$32)</f>
        <v>4.7904191616766472</v>
      </c>
      <c r="O6" s="61">
        <f>VLOOKUP(7,$E$5:$G$39,3,FALSE)</f>
        <v>8.8424437299035379</v>
      </c>
      <c r="P6" s="129">
        <f>$G$32</f>
        <v>10.411872986654394</v>
      </c>
      <c r="Q6" s="129">
        <f>$H$32</f>
        <v>9.7872016512742857</v>
      </c>
      <c r="R6" s="129">
        <f>$I$32</f>
        <v>11.071521077402075</v>
      </c>
      <c r="S6" s="61">
        <f>VLOOKUP(20,$E$5:$G$39,3,FALSE)</f>
        <v>11.326860841423949</v>
      </c>
      <c r="T6" s="61">
        <f t="shared" ref="T6:T31" si="1">MAX($G$6:$G$31)</f>
        <v>13.864306784660767</v>
      </c>
      <c r="U6" s="61">
        <f>VLOOKUP(C6,$C$43:$I$46,5,FALSE)</f>
        <v>9.8776619845944715</v>
      </c>
      <c r="V6" s="61"/>
      <c r="Y6" s="159" t="s">
        <v>33</v>
      </c>
      <c r="Z6" s="159" t="s">
        <v>58</v>
      </c>
      <c r="AA6" s="159" t="s">
        <v>163</v>
      </c>
      <c r="AB6" s="159">
        <f>RANK(AH6,$AH$6:$AH$13,1)</f>
        <v>2</v>
      </c>
      <c r="AC6" s="164">
        <f>MIN($AH$6:$AH$13)</f>
        <v>9.2256214149139577</v>
      </c>
      <c r="AD6" s="164">
        <f>MAX($AH$6:$AH$13)</f>
        <v>12.5</v>
      </c>
      <c r="AE6" s="159"/>
      <c r="AF6" s="159">
        <f>VLOOKUP($Y6,$A$6:$I$31,5,FALSE)</f>
        <v>9</v>
      </c>
      <c r="AG6" s="160" t="str">
        <f>VLOOKUP($Y6,$A$6:$I$31,6,FALSE)</f>
        <v>N/A</v>
      </c>
      <c r="AH6" s="161">
        <f>VLOOKUP($Y6,$A$6:$I$31,7,FALSE)</f>
        <v>9.5505617977528079</v>
      </c>
      <c r="AI6" s="161">
        <f>VLOOKUP($Y6,$A$6:$I$31,8,FALSE)</f>
        <v>8.4191937798457772</v>
      </c>
      <c r="AJ6" s="161">
        <f>VLOOKUP($Y6,$A$6:$I$31,9,FALSE)</f>
        <v>10.816007019760939</v>
      </c>
      <c r="AK6" s="160">
        <f>VLOOKUP($Y6,$A$6:$M$31,13,FALSE)</f>
        <v>5</v>
      </c>
    </row>
    <row r="7" spans="1:37" x14ac:dyDescent="0.2">
      <c r="A7" s="62" t="s">
        <v>30</v>
      </c>
      <c r="B7" s="62" t="s">
        <v>56</v>
      </c>
      <c r="C7" s="62" t="s">
        <v>200</v>
      </c>
      <c r="D7" s="62"/>
      <c r="E7" s="62">
        <f t="shared" ref="E7:E31" si="2">RANK(G7,$G$6:$G$31,1)</f>
        <v>26</v>
      </c>
      <c r="F7" s="128" t="s">
        <v>79</v>
      </c>
      <c r="G7" s="129">
        <v>13.864306784660767</v>
      </c>
      <c r="H7" s="129">
        <v>11.876057992105364</v>
      </c>
      <c r="I7" s="129">
        <v>16.124515098931372</v>
      </c>
      <c r="J7" s="129"/>
      <c r="K7" s="129"/>
      <c r="L7" s="129"/>
      <c r="M7" s="60">
        <f t="shared" si="0"/>
        <v>1</v>
      </c>
      <c r="N7" s="61">
        <f t="shared" ref="N7:N31" si="3">MIN($G$6:$G$32)</f>
        <v>4.7904191616766472</v>
      </c>
      <c r="O7" s="61">
        <f>VLOOKUP(7,$E$5:$G$39,3,FALSE)</f>
        <v>8.8424437299035379</v>
      </c>
      <c r="P7" s="129">
        <f t="shared" ref="P7:P31" si="4">$G$32</f>
        <v>10.411872986654394</v>
      </c>
      <c r="Q7" s="129">
        <f t="shared" ref="Q7:Q31" si="5">$H$32</f>
        <v>9.7872016512742857</v>
      </c>
      <c r="R7" s="129">
        <f t="shared" ref="R7:R31" si="6">$I$32</f>
        <v>11.071521077402075</v>
      </c>
      <c r="S7" s="61">
        <f t="shared" ref="S7:S31" si="7">VLOOKUP(20,$E$5:$G$39,3,FALSE)</f>
        <v>11.326860841423949</v>
      </c>
      <c r="T7" s="61">
        <f t="shared" si="1"/>
        <v>13.864306784660767</v>
      </c>
      <c r="U7" s="61">
        <f>VLOOKUP(C7,$C$43:$I$46,5,FALSE)</f>
        <v>11.359159553512804</v>
      </c>
      <c r="V7" s="61"/>
      <c r="Y7" s="159" t="s">
        <v>35</v>
      </c>
      <c r="Z7" s="159" t="s">
        <v>60</v>
      </c>
      <c r="AA7" s="159" t="s">
        <v>163</v>
      </c>
      <c r="AB7" s="159">
        <f t="shared" ref="AB7:AB12" si="8">RANK(AH7,$AH$6:$AH$13,1)</f>
        <v>4</v>
      </c>
      <c r="AC7" s="164">
        <f>MIN($AH$6:$AH$13)</f>
        <v>9.2256214149139577</v>
      </c>
      <c r="AD7" s="164">
        <f t="shared" ref="AD7:AD13" si="9">MAX($AH$6:$AH$13)</f>
        <v>12.5</v>
      </c>
      <c r="AE7" s="159"/>
      <c r="AF7" s="159">
        <f t="shared" ref="AF7:AF31" si="10">VLOOKUP($Y7,$A$6:$I$31,5,FALSE)</f>
        <v>12</v>
      </c>
      <c r="AG7" s="160" t="str">
        <f t="shared" ref="AG7:AG31" si="11">VLOOKUP($Y7,$A$6:$I$31,6,FALSE)</f>
        <v>N/A</v>
      </c>
      <c r="AH7" s="161">
        <f t="shared" ref="AH7:AH31" si="12">VLOOKUP($Y7,$A$6:$I$31,7,FALSE)</f>
        <v>9.8473658296405713</v>
      </c>
      <c r="AI7" s="161">
        <f t="shared" ref="AI7:AI31" si="13">VLOOKUP($Y7,$A$6:$I$31,8,FALSE)</f>
        <v>8.6263609404688939</v>
      </c>
      <c r="AJ7" s="161">
        <f t="shared" ref="AJ7:AJ31" si="14">VLOOKUP($Y7,$A$6:$I$31,9,FALSE)</f>
        <v>11.219974363449237</v>
      </c>
      <c r="AK7" s="160">
        <f t="shared" ref="AK7:AK31" si="15">VLOOKUP($Y7,$A$6:$M$31,13,FALSE)</f>
        <v>5</v>
      </c>
    </row>
    <row r="8" spans="1:37" x14ac:dyDescent="0.2">
      <c r="A8" s="62" t="s">
        <v>31</v>
      </c>
      <c r="B8" s="62" t="s">
        <v>57</v>
      </c>
      <c r="C8" s="62" t="s">
        <v>200</v>
      </c>
      <c r="D8" s="62"/>
      <c r="E8" s="62">
        <f t="shared" si="2"/>
        <v>22</v>
      </c>
      <c r="F8" s="128" t="s">
        <v>79</v>
      </c>
      <c r="G8" s="129">
        <v>11.839323467230445</v>
      </c>
      <c r="H8" s="129">
        <v>10.701971893429272</v>
      </c>
      <c r="I8" s="129">
        <v>13.079842420067106</v>
      </c>
      <c r="J8" s="129"/>
      <c r="K8" s="129"/>
      <c r="L8" s="129"/>
      <c r="M8" s="60">
        <f t="shared" si="0"/>
        <v>5</v>
      </c>
      <c r="N8" s="61">
        <f t="shared" si="3"/>
        <v>4.7904191616766472</v>
      </c>
      <c r="O8" s="61">
        <f t="shared" ref="O8:O31" si="16">VLOOKUP(7,$E$5:$G$39,3,FALSE)</f>
        <v>8.8424437299035379</v>
      </c>
      <c r="P8" s="129">
        <f t="shared" si="4"/>
        <v>10.411872986654394</v>
      </c>
      <c r="Q8" s="129">
        <f t="shared" si="5"/>
        <v>9.7872016512742857</v>
      </c>
      <c r="R8" s="129">
        <f t="shared" si="6"/>
        <v>11.071521077402075</v>
      </c>
      <c r="S8" s="61">
        <f t="shared" si="7"/>
        <v>11.326860841423949</v>
      </c>
      <c r="T8" s="61">
        <f t="shared" si="1"/>
        <v>13.864306784660767</v>
      </c>
      <c r="U8" s="61">
        <f t="shared" ref="U8:U31" si="17">VLOOKUP(C8,$C$43:$I$46,5,FALSE)</f>
        <v>11.359159553512804</v>
      </c>
      <c r="V8" s="61"/>
      <c r="Y8" s="159" t="s">
        <v>41</v>
      </c>
      <c r="Z8" s="159" t="s">
        <v>64</v>
      </c>
      <c r="AA8" s="159" t="s">
        <v>163</v>
      </c>
      <c r="AB8" s="159">
        <f t="shared" si="8"/>
        <v>1</v>
      </c>
      <c r="AC8" s="164">
        <f t="shared" ref="AC8:AC13" si="18">MIN($AH$6:$AH$13)</f>
        <v>9.2256214149139577</v>
      </c>
      <c r="AD8" s="164">
        <f>MAX($AH$6:$AH$13)</f>
        <v>12.5</v>
      </c>
      <c r="AE8" s="159"/>
      <c r="AF8" s="159">
        <f t="shared" si="10"/>
        <v>8</v>
      </c>
      <c r="AG8" s="160" t="str">
        <f t="shared" si="11"/>
        <v>N/A</v>
      </c>
      <c r="AH8" s="161">
        <f t="shared" si="12"/>
        <v>9.2256214149139577</v>
      </c>
      <c r="AI8" s="161">
        <f t="shared" si="13"/>
        <v>8.0591700878644357</v>
      </c>
      <c r="AJ8" s="161">
        <f t="shared" si="14"/>
        <v>10.54154310921362</v>
      </c>
      <c r="AK8" s="160">
        <f t="shared" si="15"/>
        <v>5</v>
      </c>
    </row>
    <row r="9" spans="1:37" x14ac:dyDescent="0.2">
      <c r="A9" s="62" t="s">
        <v>32</v>
      </c>
      <c r="B9" s="62" t="s">
        <v>156</v>
      </c>
      <c r="C9" s="62" t="s">
        <v>201</v>
      </c>
      <c r="D9" s="62"/>
      <c r="E9" s="62">
        <f t="shared" si="2"/>
        <v>20</v>
      </c>
      <c r="F9" s="128" t="s">
        <v>79</v>
      </c>
      <c r="G9" s="129">
        <v>11.326860841423949</v>
      </c>
      <c r="H9" s="129">
        <v>10.201938782040255</v>
      </c>
      <c r="I9" s="129">
        <v>12.558475704503227</v>
      </c>
      <c r="J9" s="129"/>
      <c r="K9" s="129"/>
      <c r="L9" s="129"/>
      <c r="M9" s="60">
        <f t="shared" si="0"/>
        <v>5</v>
      </c>
      <c r="N9" s="61">
        <f t="shared" si="3"/>
        <v>4.7904191616766472</v>
      </c>
      <c r="O9" s="61">
        <f t="shared" si="16"/>
        <v>8.8424437299035379</v>
      </c>
      <c r="P9" s="129">
        <f t="shared" si="4"/>
        <v>10.411872986654394</v>
      </c>
      <c r="Q9" s="129">
        <f t="shared" si="5"/>
        <v>9.7872016512742857</v>
      </c>
      <c r="R9" s="129">
        <f t="shared" si="6"/>
        <v>11.071521077402075</v>
      </c>
      <c r="S9" s="61">
        <f t="shared" si="7"/>
        <v>11.326860841423949</v>
      </c>
      <c r="T9" s="61">
        <f t="shared" si="1"/>
        <v>13.864306784660767</v>
      </c>
      <c r="U9" s="61">
        <f t="shared" si="17"/>
        <v>9.8776619845944715</v>
      </c>
      <c r="V9" s="61"/>
      <c r="X9" s="63"/>
      <c r="Y9" s="159" t="s">
        <v>45</v>
      </c>
      <c r="Z9" s="159" t="s">
        <v>67</v>
      </c>
      <c r="AA9" s="159" t="s">
        <v>163</v>
      </c>
      <c r="AB9" s="159">
        <f t="shared" si="8"/>
        <v>5</v>
      </c>
      <c r="AC9" s="164">
        <f t="shared" si="18"/>
        <v>9.2256214149139577</v>
      </c>
      <c r="AD9" s="164">
        <f t="shared" si="9"/>
        <v>12.5</v>
      </c>
      <c r="AE9" s="159"/>
      <c r="AF9" s="159">
        <f t="shared" si="10"/>
        <v>13</v>
      </c>
      <c r="AG9" s="160" t="str">
        <f t="shared" si="11"/>
        <v>N/A</v>
      </c>
      <c r="AH9" s="161">
        <f t="shared" si="12"/>
        <v>9.9041533546325873</v>
      </c>
      <c r="AI9" s="161">
        <f t="shared" si="13"/>
        <v>8.5209211706446055</v>
      </c>
      <c r="AJ9" s="161">
        <f t="shared" si="14"/>
        <v>11.48374259293354</v>
      </c>
      <c r="AK9" s="160">
        <f t="shared" si="15"/>
        <v>5</v>
      </c>
    </row>
    <row r="10" spans="1:37" x14ac:dyDescent="0.2">
      <c r="A10" s="62" t="s">
        <v>33</v>
      </c>
      <c r="B10" s="62" t="s">
        <v>58</v>
      </c>
      <c r="C10" s="62" t="s">
        <v>163</v>
      </c>
      <c r="D10" s="62"/>
      <c r="E10" s="62">
        <f t="shared" si="2"/>
        <v>9</v>
      </c>
      <c r="F10" s="128" t="s">
        <v>79</v>
      </c>
      <c r="G10" s="129">
        <v>9.5505617977528079</v>
      </c>
      <c r="H10" s="129">
        <v>8.4191937798457772</v>
      </c>
      <c r="I10" s="129">
        <v>10.816007019760939</v>
      </c>
      <c r="J10" s="129"/>
      <c r="K10" s="129"/>
      <c r="L10" s="129"/>
      <c r="M10" s="60">
        <f t="shared" si="0"/>
        <v>5</v>
      </c>
      <c r="N10" s="61">
        <f t="shared" si="3"/>
        <v>4.7904191616766472</v>
      </c>
      <c r="O10" s="61">
        <f t="shared" si="16"/>
        <v>8.8424437299035379</v>
      </c>
      <c r="P10" s="129">
        <f t="shared" si="4"/>
        <v>10.411872986654394</v>
      </c>
      <c r="Q10" s="129">
        <f t="shared" si="5"/>
        <v>9.7872016512742857</v>
      </c>
      <c r="R10" s="129">
        <f t="shared" si="6"/>
        <v>11.071521077402075</v>
      </c>
      <c r="S10" s="61">
        <f t="shared" si="7"/>
        <v>11.326860841423949</v>
      </c>
      <c r="T10" s="61">
        <f t="shared" si="1"/>
        <v>13.864306784660767</v>
      </c>
      <c r="U10" s="61">
        <f t="shared" si="17"/>
        <v>9.9156731608025588</v>
      </c>
      <c r="V10" s="61"/>
      <c r="Y10" s="159" t="s">
        <v>46</v>
      </c>
      <c r="Z10" s="159" t="s">
        <v>68</v>
      </c>
      <c r="AA10" s="159" t="s">
        <v>163</v>
      </c>
      <c r="AB10" s="159">
        <f t="shared" si="8"/>
        <v>3</v>
      </c>
      <c r="AC10" s="164">
        <f t="shared" si="18"/>
        <v>9.2256214149139577</v>
      </c>
      <c r="AD10" s="164">
        <f t="shared" si="9"/>
        <v>12.5</v>
      </c>
      <c r="AE10" s="159"/>
      <c r="AF10" s="159">
        <f t="shared" si="10"/>
        <v>11</v>
      </c>
      <c r="AG10" s="160" t="str">
        <f t="shared" si="11"/>
        <v>N/A</v>
      </c>
      <c r="AH10" s="161">
        <f t="shared" si="12"/>
        <v>9.6313364055299537</v>
      </c>
      <c r="AI10" s="161">
        <f t="shared" si="13"/>
        <v>8.4604383852434975</v>
      </c>
      <c r="AJ10" s="161">
        <f t="shared" si="14"/>
        <v>10.944907718034084</v>
      </c>
      <c r="AK10" s="160">
        <f t="shared" si="15"/>
        <v>5</v>
      </c>
    </row>
    <row r="11" spans="1:37" x14ac:dyDescent="0.2">
      <c r="A11" s="62" t="s">
        <v>34</v>
      </c>
      <c r="B11" s="62" t="s">
        <v>59</v>
      </c>
      <c r="C11" s="62" t="s">
        <v>200</v>
      </c>
      <c r="D11" s="62"/>
      <c r="E11" s="62">
        <f t="shared" si="2"/>
        <v>21</v>
      </c>
      <c r="F11" s="128" t="s">
        <v>79</v>
      </c>
      <c r="G11" s="129">
        <v>11.367803447011369</v>
      </c>
      <c r="H11" s="129">
        <v>10.23039517198913</v>
      </c>
      <c r="I11" s="129">
        <v>12.613899095100919</v>
      </c>
      <c r="J11" s="129"/>
      <c r="K11" s="129"/>
      <c r="L11" s="129"/>
      <c r="M11" s="60">
        <f t="shared" si="0"/>
        <v>5</v>
      </c>
      <c r="N11" s="61">
        <f t="shared" si="3"/>
        <v>4.7904191616766472</v>
      </c>
      <c r="O11" s="61">
        <f t="shared" si="16"/>
        <v>8.8424437299035379</v>
      </c>
      <c r="P11" s="129">
        <f t="shared" si="4"/>
        <v>10.411872986654394</v>
      </c>
      <c r="Q11" s="129">
        <f t="shared" si="5"/>
        <v>9.7872016512742857</v>
      </c>
      <c r="R11" s="129">
        <f t="shared" si="6"/>
        <v>11.071521077402075</v>
      </c>
      <c r="S11" s="61">
        <f t="shared" si="7"/>
        <v>11.326860841423949</v>
      </c>
      <c r="T11" s="61">
        <f t="shared" si="1"/>
        <v>13.864306784660767</v>
      </c>
      <c r="U11" s="61">
        <f t="shared" si="17"/>
        <v>11.359159553512804</v>
      </c>
      <c r="V11" s="61"/>
      <c r="Y11" s="159" t="s">
        <v>47</v>
      </c>
      <c r="Z11" s="159" t="s">
        <v>69</v>
      </c>
      <c r="AA11" s="159" t="s">
        <v>163</v>
      </c>
      <c r="AB11" s="159">
        <f t="shared" si="8"/>
        <v>8</v>
      </c>
      <c r="AC11" s="164">
        <f t="shared" si="18"/>
        <v>9.2256214149139577</v>
      </c>
      <c r="AD11" s="164">
        <f t="shared" si="9"/>
        <v>12.5</v>
      </c>
      <c r="AE11" s="159"/>
      <c r="AF11" s="159">
        <f t="shared" si="10"/>
        <v>24</v>
      </c>
      <c r="AG11" s="160" t="str">
        <f t="shared" si="11"/>
        <v>N/A</v>
      </c>
      <c r="AH11" s="161">
        <f t="shared" si="12"/>
        <v>12.5</v>
      </c>
      <c r="AI11" s="161">
        <f t="shared" si="13"/>
        <v>9.5318213371302996</v>
      </c>
      <c r="AJ11" s="161">
        <f t="shared" si="14"/>
        <v>16.226677781019053</v>
      </c>
      <c r="AK11" s="160">
        <f t="shared" si="15"/>
        <v>5</v>
      </c>
    </row>
    <row r="12" spans="1:37" x14ac:dyDescent="0.2">
      <c r="A12" s="62" t="s">
        <v>35</v>
      </c>
      <c r="B12" s="62" t="s">
        <v>60</v>
      </c>
      <c r="C12" s="62" t="s">
        <v>163</v>
      </c>
      <c r="D12" s="62"/>
      <c r="E12" s="62">
        <f t="shared" si="2"/>
        <v>12</v>
      </c>
      <c r="F12" s="128" t="s">
        <v>79</v>
      </c>
      <c r="G12" s="129">
        <v>9.8473658296405713</v>
      </c>
      <c r="H12" s="129">
        <v>8.6263609404688939</v>
      </c>
      <c r="I12" s="129">
        <v>11.219974363449237</v>
      </c>
      <c r="J12" s="129"/>
      <c r="K12" s="129"/>
      <c r="L12" s="129"/>
      <c r="M12" s="60">
        <f t="shared" si="0"/>
        <v>5</v>
      </c>
      <c r="N12" s="61">
        <f t="shared" si="3"/>
        <v>4.7904191616766472</v>
      </c>
      <c r="O12" s="61">
        <f t="shared" si="16"/>
        <v>8.8424437299035379</v>
      </c>
      <c r="P12" s="129">
        <f t="shared" si="4"/>
        <v>10.411872986654394</v>
      </c>
      <c r="Q12" s="129">
        <f t="shared" si="5"/>
        <v>9.7872016512742857</v>
      </c>
      <c r="R12" s="129">
        <f t="shared" si="6"/>
        <v>11.071521077402075</v>
      </c>
      <c r="S12" s="61">
        <f t="shared" si="7"/>
        <v>11.326860841423949</v>
      </c>
      <c r="T12" s="61">
        <f t="shared" si="1"/>
        <v>13.864306784660767</v>
      </c>
      <c r="U12" s="61">
        <f t="shared" si="17"/>
        <v>9.9156731608025588</v>
      </c>
      <c r="V12" s="61"/>
      <c r="Y12" s="159" t="s">
        <v>50</v>
      </c>
      <c r="Z12" s="159" t="s">
        <v>161</v>
      </c>
      <c r="AA12" s="159" t="s">
        <v>163</v>
      </c>
      <c r="AB12" s="159">
        <f t="shared" si="8"/>
        <v>7</v>
      </c>
      <c r="AC12" s="164">
        <f t="shared" si="18"/>
        <v>9.2256214149139577</v>
      </c>
      <c r="AD12" s="164">
        <f t="shared" si="9"/>
        <v>12.5</v>
      </c>
      <c r="AE12" s="159"/>
      <c r="AF12" s="159">
        <f t="shared" si="10"/>
        <v>16</v>
      </c>
      <c r="AG12" s="160" t="str">
        <f t="shared" si="11"/>
        <v>N/A</v>
      </c>
      <c r="AH12" s="161">
        <f t="shared" si="12"/>
        <v>10.237659963436929</v>
      </c>
      <c r="AI12" s="161">
        <f t="shared" si="13"/>
        <v>8.5782153917967516</v>
      </c>
      <c r="AJ12" s="161">
        <f t="shared" si="14"/>
        <v>12.175369471489645</v>
      </c>
      <c r="AK12" s="160">
        <f t="shared" si="15"/>
        <v>5</v>
      </c>
    </row>
    <row r="13" spans="1:37" x14ac:dyDescent="0.2">
      <c r="A13" s="62" t="s">
        <v>36</v>
      </c>
      <c r="B13" s="62" t="s">
        <v>61</v>
      </c>
      <c r="C13" s="62" t="s">
        <v>201</v>
      </c>
      <c r="D13" s="62"/>
      <c r="E13" s="62">
        <f t="shared" si="2"/>
        <v>5</v>
      </c>
      <c r="F13" s="128" t="s">
        <v>79</v>
      </c>
      <c r="G13" s="129">
        <v>8.5036794766966466</v>
      </c>
      <c r="H13" s="129">
        <v>7.0673704086564832</v>
      </c>
      <c r="I13" s="129">
        <v>10.199853265405489</v>
      </c>
      <c r="J13" s="129"/>
      <c r="K13" s="129"/>
      <c r="L13" s="129"/>
      <c r="M13" s="60">
        <f t="shared" si="0"/>
        <v>5</v>
      </c>
      <c r="N13" s="61">
        <f t="shared" si="3"/>
        <v>4.7904191616766472</v>
      </c>
      <c r="O13" s="61">
        <f t="shared" si="16"/>
        <v>8.8424437299035379</v>
      </c>
      <c r="P13" s="129">
        <f t="shared" si="4"/>
        <v>10.411872986654394</v>
      </c>
      <c r="Q13" s="129">
        <f t="shared" si="5"/>
        <v>9.7872016512742857</v>
      </c>
      <c r="R13" s="129">
        <f t="shared" si="6"/>
        <v>11.071521077402075</v>
      </c>
      <c r="S13" s="61">
        <f t="shared" si="7"/>
        <v>11.326860841423949</v>
      </c>
      <c r="T13" s="61">
        <f t="shared" si="1"/>
        <v>13.864306784660767</v>
      </c>
      <c r="U13" s="61">
        <f t="shared" si="17"/>
        <v>9.8776619845944715</v>
      </c>
      <c r="V13" s="61"/>
      <c r="Y13" s="159" t="s">
        <v>53</v>
      </c>
      <c r="Z13" s="159" t="s">
        <v>162</v>
      </c>
      <c r="AA13" s="159" t="s">
        <v>163</v>
      </c>
      <c r="AB13" s="159">
        <f>RANK(AH13,$AH$6:$AH$13,1)</f>
        <v>6</v>
      </c>
      <c r="AC13" s="164">
        <f t="shared" si="18"/>
        <v>9.2256214149139577</v>
      </c>
      <c r="AD13" s="164">
        <f t="shared" si="9"/>
        <v>12.5</v>
      </c>
      <c r="AE13" s="159"/>
      <c r="AF13" s="159">
        <f t="shared" si="10"/>
        <v>14</v>
      </c>
      <c r="AG13" s="160" t="str">
        <f t="shared" si="11"/>
        <v>N/A</v>
      </c>
      <c r="AH13" s="161">
        <f t="shared" si="12"/>
        <v>9.9651365485183021</v>
      </c>
      <c r="AI13" s="161">
        <f t="shared" si="13"/>
        <v>9.0086632360120955</v>
      </c>
      <c r="AJ13" s="161">
        <f t="shared" si="14"/>
        <v>11.010872400336819</v>
      </c>
      <c r="AK13" s="160">
        <f t="shared" si="15"/>
        <v>5</v>
      </c>
    </row>
    <row r="14" spans="1:37" x14ac:dyDescent="0.2">
      <c r="A14" s="62" t="s">
        <v>37</v>
      </c>
      <c r="B14" s="62" t="s">
        <v>157</v>
      </c>
      <c r="C14" s="62" t="s">
        <v>201</v>
      </c>
      <c r="D14" s="62"/>
      <c r="E14" s="62">
        <f t="shared" si="2"/>
        <v>23</v>
      </c>
      <c r="F14" s="128" t="s">
        <v>79</v>
      </c>
      <c r="G14" s="129">
        <v>11.971197119711972</v>
      </c>
      <c r="H14" s="129">
        <v>10.192174091924244</v>
      </c>
      <c r="I14" s="129">
        <v>14.012295223931561</v>
      </c>
      <c r="J14" s="129"/>
      <c r="K14" s="129"/>
      <c r="L14" s="129"/>
      <c r="M14" s="60">
        <f t="shared" si="0"/>
        <v>5</v>
      </c>
      <c r="N14" s="61">
        <f t="shared" si="3"/>
        <v>4.7904191616766472</v>
      </c>
      <c r="O14" s="61">
        <f t="shared" si="16"/>
        <v>8.8424437299035379</v>
      </c>
      <c r="P14" s="129">
        <f t="shared" si="4"/>
        <v>10.411872986654394</v>
      </c>
      <c r="Q14" s="129">
        <f t="shared" si="5"/>
        <v>9.7872016512742857</v>
      </c>
      <c r="R14" s="129">
        <f t="shared" si="6"/>
        <v>11.071521077402075</v>
      </c>
      <c r="S14" s="61">
        <f t="shared" si="7"/>
        <v>11.326860841423949</v>
      </c>
      <c r="T14" s="61">
        <f t="shared" si="1"/>
        <v>13.864306784660767</v>
      </c>
      <c r="U14" s="61">
        <f t="shared" si="17"/>
        <v>9.8776619845944715</v>
      </c>
      <c r="V14" s="61"/>
      <c r="Y14" s="162" t="s">
        <v>29</v>
      </c>
      <c r="Z14" s="162" t="s">
        <v>55</v>
      </c>
      <c r="AA14" s="162" t="s">
        <v>201</v>
      </c>
      <c r="AB14" s="162">
        <f>RANK(AH14,$AH$14:$AH$22,1)</f>
        <v>3</v>
      </c>
      <c r="AC14" s="165">
        <f t="shared" ref="AC14:AC22" si="19">MIN($AH$14:$AH$22)</f>
        <v>4.7904191616766472</v>
      </c>
      <c r="AD14" s="165">
        <f>MAX($AH$14:$AH$22)</f>
        <v>11.971197119711972</v>
      </c>
      <c r="AE14" s="162"/>
      <c r="AF14" s="162">
        <f t="shared" si="10"/>
        <v>3</v>
      </c>
      <c r="AG14" s="167" t="str">
        <f t="shared" si="11"/>
        <v>N/A</v>
      </c>
      <c r="AH14" s="165">
        <f t="shared" si="12"/>
        <v>7.2358900144717797</v>
      </c>
      <c r="AI14" s="165">
        <f t="shared" si="13"/>
        <v>5.5314826767276459</v>
      </c>
      <c r="AJ14" s="165">
        <f t="shared" si="14"/>
        <v>9.4131435401559838</v>
      </c>
      <c r="AK14" s="167">
        <f t="shared" si="15"/>
        <v>2</v>
      </c>
    </row>
    <row r="15" spans="1:37" x14ac:dyDescent="0.2">
      <c r="A15" s="62" t="s">
        <v>38</v>
      </c>
      <c r="B15" s="62" t="s">
        <v>62</v>
      </c>
      <c r="C15" s="62" t="s">
        <v>201</v>
      </c>
      <c r="D15" s="62"/>
      <c r="E15" s="62">
        <f t="shared" si="2"/>
        <v>7</v>
      </c>
      <c r="F15" s="128" t="s">
        <v>79</v>
      </c>
      <c r="G15" s="129">
        <v>8.8424437299035379</v>
      </c>
      <c r="H15" s="129">
        <v>6.8564456638656459</v>
      </c>
      <c r="I15" s="129">
        <v>11.333697736862641</v>
      </c>
      <c r="J15" s="129"/>
      <c r="K15" s="129"/>
      <c r="L15" s="129"/>
      <c r="M15" s="60">
        <f t="shared" si="0"/>
        <v>5</v>
      </c>
      <c r="N15" s="61">
        <f t="shared" si="3"/>
        <v>4.7904191616766472</v>
      </c>
      <c r="O15" s="61">
        <f t="shared" si="16"/>
        <v>8.8424437299035379</v>
      </c>
      <c r="P15" s="129">
        <f t="shared" si="4"/>
        <v>10.411872986654394</v>
      </c>
      <c r="Q15" s="129">
        <f t="shared" si="5"/>
        <v>9.7872016512742857</v>
      </c>
      <c r="R15" s="129">
        <f t="shared" si="6"/>
        <v>11.071521077402075</v>
      </c>
      <c r="S15" s="61">
        <f t="shared" si="7"/>
        <v>11.326860841423949</v>
      </c>
      <c r="T15" s="61">
        <f t="shared" si="1"/>
        <v>13.864306784660767</v>
      </c>
      <c r="U15" s="61">
        <f t="shared" si="17"/>
        <v>9.8776619845944715</v>
      </c>
      <c r="V15" s="61"/>
      <c r="Y15" s="162" t="s">
        <v>32</v>
      </c>
      <c r="Z15" s="162" t="s">
        <v>156</v>
      </c>
      <c r="AA15" s="162" t="s">
        <v>201</v>
      </c>
      <c r="AB15" s="162">
        <f>RANK(AH15,$AH$14:$AH$22,1)</f>
        <v>8</v>
      </c>
      <c r="AC15" s="165">
        <f t="shared" si="19"/>
        <v>4.7904191616766472</v>
      </c>
      <c r="AD15" s="165">
        <f t="shared" ref="AD15:AD22" si="20">MAX($AH$14:$AH$22)</f>
        <v>11.971197119711972</v>
      </c>
      <c r="AE15" s="162"/>
      <c r="AF15" s="162">
        <f t="shared" si="10"/>
        <v>20</v>
      </c>
      <c r="AG15" s="167" t="str">
        <f t="shared" si="11"/>
        <v>N/A</v>
      </c>
      <c r="AH15" s="165">
        <f t="shared" si="12"/>
        <v>11.326860841423949</v>
      </c>
      <c r="AI15" s="165">
        <f t="shared" si="13"/>
        <v>10.201938782040255</v>
      </c>
      <c r="AJ15" s="165">
        <f t="shared" si="14"/>
        <v>12.558475704503227</v>
      </c>
      <c r="AK15" s="167">
        <f t="shared" si="15"/>
        <v>5</v>
      </c>
    </row>
    <row r="16" spans="1:37" x14ac:dyDescent="0.2">
      <c r="A16" s="62" t="s">
        <v>39</v>
      </c>
      <c r="B16" s="62" t="s">
        <v>158</v>
      </c>
      <c r="C16" s="62" t="s">
        <v>200</v>
      </c>
      <c r="D16" s="62"/>
      <c r="E16" s="62">
        <f t="shared" si="2"/>
        <v>18</v>
      </c>
      <c r="F16" s="128" t="s">
        <v>79</v>
      </c>
      <c r="G16" s="129">
        <v>11.102423768569196</v>
      </c>
      <c r="H16" s="129">
        <v>9.9428145087377491</v>
      </c>
      <c r="I16" s="129">
        <v>12.378686177879013</v>
      </c>
      <c r="J16" s="129"/>
      <c r="K16" s="129"/>
      <c r="L16" s="129"/>
      <c r="M16" s="60">
        <f t="shared" si="0"/>
        <v>5</v>
      </c>
      <c r="N16" s="61">
        <f t="shared" si="3"/>
        <v>4.7904191616766472</v>
      </c>
      <c r="O16" s="61">
        <f t="shared" si="16"/>
        <v>8.8424437299035379</v>
      </c>
      <c r="P16" s="129">
        <f t="shared" si="4"/>
        <v>10.411872986654394</v>
      </c>
      <c r="Q16" s="129">
        <f t="shared" si="5"/>
        <v>9.7872016512742857</v>
      </c>
      <c r="R16" s="129">
        <f t="shared" si="6"/>
        <v>11.071521077402075</v>
      </c>
      <c r="S16" s="61">
        <f t="shared" si="7"/>
        <v>11.326860841423949</v>
      </c>
      <c r="T16" s="61">
        <f t="shared" si="1"/>
        <v>13.864306784660767</v>
      </c>
      <c r="U16" s="61">
        <f t="shared" si="17"/>
        <v>11.359159553512804</v>
      </c>
      <c r="V16" s="61"/>
      <c r="Y16" s="162" t="s">
        <v>36</v>
      </c>
      <c r="Z16" s="162" t="s">
        <v>61</v>
      </c>
      <c r="AA16" s="162" t="s">
        <v>201</v>
      </c>
      <c r="AB16" s="162">
        <f>RANK(AH16,$AH$14:$AH$22,1)</f>
        <v>4</v>
      </c>
      <c r="AC16" s="165">
        <f t="shared" si="19"/>
        <v>4.7904191616766472</v>
      </c>
      <c r="AD16" s="165">
        <f t="shared" si="20"/>
        <v>11.971197119711972</v>
      </c>
      <c r="AE16" s="162"/>
      <c r="AF16" s="162">
        <f t="shared" si="10"/>
        <v>5</v>
      </c>
      <c r="AG16" s="167" t="str">
        <f t="shared" si="11"/>
        <v>N/A</v>
      </c>
      <c r="AH16" s="165">
        <f t="shared" si="12"/>
        <v>8.5036794766966466</v>
      </c>
      <c r="AI16" s="165">
        <f t="shared" si="13"/>
        <v>7.0673704086564832</v>
      </c>
      <c r="AJ16" s="165">
        <f t="shared" si="14"/>
        <v>10.199853265405489</v>
      </c>
      <c r="AK16" s="167">
        <f t="shared" si="15"/>
        <v>5</v>
      </c>
    </row>
    <row r="17" spans="1:37" x14ac:dyDescent="0.2">
      <c r="A17" s="62" t="s">
        <v>40</v>
      </c>
      <c r="B17" s="62" t="s">
        <v>63</v>
      </c>
      <c r="C17" s="62" t="s">
        <v>200</v>
      </c>
      <c r="D17" s="62"/>
      <c r="E17" s="62">
        <f t="shared" si="2"/>
        <v>25</v>
      </c>
      <c r="F17" s="128" t="s">
        <v>79</v>
      </c>
      <c r="G17" s="129">
        <v>12.735326688815062</v>
      </c>
      <c r="H17" s="129">
        <v>10.717713365091837</v>
      </c>
      <c r="I17" s="129">
        <v>15.068652768277746</v>
      </c>
      <c r="J17" s="129"/>
      <c r="K17" s="129"/>
      <c r="L17" s="129"/>
      <c r="M17" s="60">
        <f t="shared" si="0"/>
        <v>5</v>
      </c>
      <c r="N17" s="61">
        <f t="shared" si="3"/>
        <v>4.7904191616766472</v>
      </c>
      <c r="O17" s="61">
        <f t="shared" si="16"/>
        <v>8.8424437299035379</v>
      </c>
      <c r="P17" s="129">
        <f t="shared" si="4"/>
        <v>10.411872986654394</v>
      </c>
      <c r="Q17" s="129">
        <f t="shared" si="5"/>
        <v>9.7872016512742857</v>
      </c>
      <c r="R17" s="129">
        <f t="shared" si="6"/>
        <v>11.071521077402075</v>
      </c>
      <c r="S17" s="61">
        <f t="shared" si="7"/>
        <v>11.326860841423949</v>
      </c>
      <c r="T17" s="61">
        <f t="shared" si="1"/>
        <v>13.864306784660767</v>
      </c>
      <c r="U17" s="61">
        <f t="shared" si="17"/>
        <v>11.359159553512804</v>
      </c>
      <c r="V17" s="61"/>
      <c r="Y17" s="162" t="s">
        <v>37</v>
      </c>
      <c r="Z17" s="162" t="s">
        <v>157</v>
      </c>
      <c r="AA17" s="162" t="s">
        <v>201</v>
      </c>
      <c r="AB17" s="162">
        <f t="shared" ref="AB17:AB22" si="21">RANK(AH17,$AH$14:$AH$22,1)</f>
        <v>9</v>
      </c>
      <c r="AC17" s="165">
        <f t="shared" si="19"/>
        <v>4.7904191616766472</v>
      </c>
      <c r="AD17" s="165">
        <f>MAX($AH$14:$AH$22)</f>
        <v>11.971197119711972</v>
      </c>
      <c r="AE17" s="162"/>
      <c r="AF17" s="162">
        <f t="shared" si="10"/>
        <v>23</v>
      </c>
      <c r="AG17" s="167" t="str">
        <f t="shared" si="11"/>
        <v>N/A</v>
      </c>
      <c r="AH17" s="165">
        <f t="shared" si="12"/>
        <v>11.971197119711972</v>
      </c>
      <c r="AI17" s="165">
        <f t="shared" si="13"/>
        <v>10.192174091924244</v>
      </c>
      <c r="AJ17" s="165">
        <f t="shared" si="14"/>
        <v>14.012295223931561</v>
      </c>
      <c r="AK17" s="167">
        <f t="shared" si="15"/>
        <v>5</v>
      </c>
    </row>
    <row r="18" spans="1:37" x14ac:dyDescent="0.2">
      <c r="A18" s="62" t="s">
        <v>41</v>
      </c>
      <c r="B18" s="62" t="s">
        <v>64</v>
      </c>
      <c r="C18" s="62" t="s">
        <v>163</v>
      </c>
      <c r="D18" s="62"/>
      <c r="E18" s="62">
        <f t="shared" si="2"/>
        <v>8</v>
      </c>
      <c r="F18" s="128" t="s">
        <v>79</v>
      </c>
      <c r="G18" s="129">
        <v>9.2256214149139577</v>
      </c>
      <c r="H18" s="129">
        <v>8.0591700878644357</v>
      </c>
      <c r="I18" s="129">
        <v>10.54154310921362</v>
      </c>
      <c r="J18" s="129"/>
      <c r="K18" s="129"/>
      <c r="L18" s="129"/>
      <c r="M18" s="60">
        <f t="shared" si="0"/>
        <v>5</v>
      </c>
      <c r="N18" s="61">
        <f t="shared" si="3"/>
        <v>4.7904191616766472</v>
      </c>
      <c r="O18" s="61">
        <f t="shared" si="16"/>
        <v>8.8424437299035379</v>
      </c>
      <c r="P18" s="129">
        <f t="shared" si="4"/>
        <v>10.411872986654394</v>
      </c>
      <c r="Q18" s="129">
        <f t="shared" si="5"/>
        <v>9.7872016512742857</v>
      </c>
      <c r="R18" s="129">
        <f t="shared" si="6"/>
        <v>11.071521077402075</v>
      </c>
      <c r="S18" s="61">
        <f t="shared" si="7"/>
        <v>11.326860841423949</v>
      </c>
      <c r="T18" s="61">
        <f t="shared" si="1"/>
        <v>13.864306784660767</v>
      </c>
      <c r="U18" s="61">
        <f t="shared" si="17"/>
        <v>9.9156731608025588</v>
      </c>
      <c r="V18" s="61"/>
      <c r="Y18" s="162" t="s">
        <v>38</v>
      </c>
      <c r="Z18" s="162" t="s">
        <v>62</v>
      </c>
      <c r="AA18" s="162" t="s">
        <v>201</v>
      </c>
      <c r="AB18" s="162">
        <f t="shared" si="21"/>
        <v>5</v>
      </c>
      <c r="AC18" s="165">
        <f t="shared" si="19"/>
        <v>4.7904191616766472</v>
      </c>
      <c r="AD18" s="165">
        <f t="shared" si="20"/>
        <v>11.971197119711972</v>
      </c>
      <c r="AE18" s="162"/>
      <c r="AF18" s="162">
        <f t="shared" si="10"/>
        <v>7</v>
      </c>
      <c r="AG18" s="167" t="str">
        <f t="shared" si="11"/>
        <v>N/A</v>
      </c>
      <c r="AH18" s="165">
        <f t="shared" si="12"/>
        <v>8.8424437299035379</v>
      </c>
      <c r="AI18" s="165">
        <f t="shared" si="13"/>
        <v>6.8564456638656459</v>
      </c>
      <c r="AJ18" s="165">
        <f t="shared" si="14"/>
        <v>11.333697736862641</v>
      </c>
      <c r="AK18" s="167">
        <f t="shared" si="15"/>
        <v>5</v>
      </c>
    </row>
    <row r="19" spans="1:37" x14ac:dyDescent="0.2">
      <c r="A19" s="62" t="s">
        <v>42</v>
      </c>
      <c r="B19" s="62" t="s">
        <v>65</v>
      </c>
      <c r="C19" s="62" t="s">
        <v>200</v>
      </c>
      <c r="D19" s="62"/>
      <c r="E19" s="62">
        <f t="shared" si="2"/>
        <v>15</v>
      </c>
      <c r="F19" s="128" t="s">
        <v>79</v>
      </c>
      <c r="G19" s="129">
        <v>10.220440881763526</v>
      </c>
      <c r="H19" s="129">
        <v>7.8593305706292718</v>
      </c>
      <c r="I19" s="129">
        <v>13.189343313366367</v>
      </c>
      <c r="J19" s="129"/>
      <c r="K19" s="129"/>
      <c r="L19" s="129"/>
      <c r="M19" s="60">
        <f t="shared" si="0"/>
        <v>5</v>
      </c>
      <c r="N19" s="61">
        <f t="shared" si="3"/>
        <v>4.7904191616766472</v>
      </c>
      <c r="O19" s="61">
        <f t="shared" si="16"/>
        <v>8.8424437299035379</v>
      </c>
      <c r="P19" s="129">
        <f t="shared" si="4"/>
        <v>10.411872986654394</v>
      </c>
      <c r="Q19" s="129">
        <f t="shared" si="5"/>
        <v>9.7872016512742857</v>
      </c>
      <c r="R19" s="129">
        <f t="shared" si="6"/>
        <v>11.071521077402075</v>
      </c>
      <c r="S19" s="61">
        <f t="shared" si="7"/>
        <v>11.326860841423949</v>
      </c>
      <c r="T19" s="61">
        <f t="shared" si="1"/>
        <v>13.864306784660767</v>
      </c>
      <c r="U19" s="61">
        <f t="shared" si="17"/>
        <v>11.359159553512804</v>
      </c>
      <c r="V19" s="61"/>
      <c r="Y19" s="162" t="s">
        <v>43</v>
      </c>
      <c r="Z19" s="162" t="s">
        <v>159</v>
      </c>
      <c r="AA19" s="162" t="s">
        <v>201</v>
      </c>
      <c r="AB19" s="162">
        <f t="shared" si="21"/>
        <v>6</v>
      </c>
      <c r="AC19" s="165">
        <f t="shared" si="19"/>
        <v>4.7904191616766472</v>
      </c>
      <c r="AD19" s="165">
        <f t="shared" si="20"/>
        <v>11.971197119711972</v>
      </c>
      <c r="AE19" s="162"/>
      <c r="AF19" s="162">
        <f t="shared" si="10"/>
        <v>10</v>
      </c>
      <c r="AG19" s="167" t="str">
        <f t="shared" si="11"/>
        <v>N/A</v>
      </c>
      <c r="AH19" s="165">
        <f t="shared" si="12"/>
        <v>9.5813953488372086</v>
      </c>
      <c r="AI19" s="165">
        <f t="shared" si="13"/>
        <v>7.9630722139056909</v>
      </c>
      <c r="AJ19" s="165">
        <f t="shared" si="14"/>
        <v>11.48755763582928</v>
      </c>
      <c r="AK19" s="167">
        <f t="shared" si="15"/>
        <v>5</v>
      </c>
    </row>
    <row r="20" spans="1:37" x14ac:dyDescent="0.2">
      <c r="A20" s="62" t="s">
        <v>43</v>
      </c>
      <c r="B20" s="62" t="s">
        <v>159</v>
      </c>
      <c r="C20" s="62" t="s">
        <v>201</v>
      </c>
      <c r="D20" s="62"/>
      <c r="E20" s="62">
        <f t="shared" si="2"/>
        <v>10</v>
      </c>
      <c r="F20" s="128" t="s">
        <v>79</v>
      </c>
      <c r="G20" s="129">
        <v>9.5813953488372086</v>
      </c>
      <c r="H20" s="129">
        <v>7.9630722139056909</v>
      </c>
      <c r="I20" s="129">
        <v>11.48755763582928</v>
      </c>
      <c r="J20" s="129"/>
      <c r="K20" s="129"/>
      <c r="L20" s="129"/>
      <c r="M20" s="60">
        <f t="shared" si="0"/>
        <v>5</v>
      </c>
      <c r="N20" s="61">
        <f t="shared" si="3"/>
        <v>4.7904191616766472</v>
      </c>
      <c r="O20" s="61">
        <f t="shared" si="16"/>
        <v>8.8424437299035379</v>
      </c>
      <c r="P20" s="129">
        <f t="shared" si="4"/>
        <v>10.411872986654394</v>
      </c>
      <c r="Q20" s="129">
        <f t="shared" si="5"/>
        <v>9.7872016512742857</v>
      </c>
      <c r="R20" s="129">
        <f t="shared" si="6"/>
        <v>11.071521077402075</v>
      </c>
      <c r="S20" s="61">
        <f t="shared" si="7"/>
        <v>11.326860841423949</v>
      </c>
      <c r="T20" s="61">
        <f t="shared" si="1"/>
        <v>13.864306784660767</v>
      </c>
      <c r="U20" s="61">
        <f t="shared" si="17"/>
        <v>9.8776619845944715</v>
      </c>
      <c r="V20" s="61"/>
      <c r="Y20" s="162" t="s">
        <v>48</v>
      </c>
      <c r="Z20" s="162" t="s">
        <v>160</v>
      </c>
      <c r="AA20" s="162" t="s">
        <v>201</v>
      </c>
      <c r="AB20" s="162">
        <f t="shared" si="21"/>
        <v>1</v>
      </c>
      <c r="AC20" s="165">
        <f t="shared" si="19"/>
        <v>4.7904191616766472</v>
      </c>
      <c r="AD20" s="165">
        <f t="shared" si="20"/>
        <v>11.971197119711972</v>
      </c>
      <c r="AE20" s="162"/>
      <c r="AF20" s="162">
        <f t="shared" si="10"/>
        <v>1</v>
      </c>
      <c r="AG20" s="167" t="str">
        <f t="shared" si="11"/>
        <v>N/A</v>
      </c>
      <c r="AH20" s="165">
        <f t="shared" si="12"/>
        <v>4.7904191616766472</v>
      </c>
      <c r="AI20" s="165">
        <f t="shared" si="13"/>
        <v>3.2399984463586371</v>
      </c>
      <c r="AJ20" s="165">
        <f t="shared" si="14"/>
        <v>7.0288607994321861</v>
      </c>
      <c r="AK20" s="167">
        <f t="shared" si="15"/>
        <v>2</v>
      </c>
    </row>
    <row r="21" spans="1:37" x14ac:dyDescent="0.2">
      <c r="A21" s="62" t="s">
        <v>44</v>
      </c>
      <c r="B21" s="62" t="s">
        <v>66</v>
      </c>
      <c r="C21" s="62" t="s">
        <v>200</v>
      </c>
      <c r="D21" s="62"/>
      <c r="E21" s="62">
        <f t="shared" si="2"/>
        <v>4</v>
      </c>
      <c r="F21" s="128" t="s">
        <v>79</v>
      </c>
      <c r="G21" s="129">
        <v>7.4960127591706547</v>
      </c>
      <c r="H21" s="129">
        <v>5.6837358439395596</v>
      </c>
      <c r="I21" s="129">
        <v>9.825938964624962</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5</v>
      </c>
      <c r="N21" s="61">
        <f t="shared" si="3"/>
        <v>4.7904191616766472</v>
      </c>
      <c r="O21" s="61">
        <f t="shared" si="16"/>
        <v>8.8424437299035379</v>
      </c>
      <c r="P21" s="129">
        <f t="shared" si="4"/>
        <v>10.411872986654394</v>
      </c>
      <c r="Q21" s="129">
        <f t="shared" si="5"/>
        <v>9.7872016512742857</v>
      </c>
      <c r="R21" s="129">
        <f t="shared" si="6"/>
        <v>11.071521077402075</v>
      </c>
      <c r="S21" s="61">
        <f t="shared" si="7"/>
        <v>11.326860841423949</v>
      </c>
      <c r="T21" s="61">
        <f t="shared" si="1"/>
        <v>13.864306784660767</v>
      </c>
      <c r="U21" s="61">
        <f t="shared" si="17"/>
        <v>11.359159553512804</v>
      </c>
      <c r="V21" s="61"/>
      <c r="Y21" s="162" t="s">
        <v>52</v>
      </c>
      <c r="Z21" s="162" t="s">
        <v>72</v>
      </c>
      <c r="AA21" s="162" t="s">
        <v>201</v>
      </c>
      <c r="AB21" s="162">
        <f t="shared" si="21"/>
        <v>7</v>
      </c>
      <c r="AC21" s="165">
        <f t="shared" si="19"/>
        <v>4.7904191616766472</v>
      </c>
      <c r="AD21" s="165">
        <f t="shared" si="20"/>
        <v>11.971197119711972</v>
      </c>
      <c r="AE21" s="162"/>
      <c r="AF21" s="162">
        <f t="shared" si="10"/>
        <v>17</v>
      </c>
      <c r="AG21" s="167" t="str">
        <f t="shared" si="11"/>
        <v>N/A</v>
      </c>
      <c r="AH21" s="165">
        <f t="shared" si="12"/>
        <v>10.507246376811596</v>
      </c>
      <c r="AI21" s="165">
        <f t="shared" si="13"/>
        <v>7.4159237854357105</v>
      </c>
      <c r="AJ21" s="165">
        <f t="shared" si="14"/>
        <v>14.68282422756635</v>
      </c>
      <c r="AK21" s="167">
        <f t="shared" si="15"/>
        <v>5</v>
      </c>
    </row>
    <row r="22" spans="1:37" x14ac:dyDescent="0.2">
      <c r="A22" s="62" t="s">
        <v>45</v>
      </c>
      <c r="B22" s="62" t="s">
        <v>67</v>
      </c>
      <c r="C22" s="62" t="s">
        <v>163</v>
      </c>
      <c r="D22" s="62"/>
      <c r="E22" s="62">
        <f t="shared" si="2"/>
        <v>13</v>
      </c>
      <c r="F22" s="128" t="s">
        <v>79</v>
      </c>
      <c r="G22" s="129">
        <v>9.9041533546325873</v>
      </c>
      <c r="H22" s="129">
        <v>8.5209211706446055</v>
      </c>
      <c r="I22" s="129">
        <v>11.48374259293354</v>
      </c>
      <c r="J22" s="129"/>
      <c r="K22" s="129"/>
      <c r="L22" s="129"/>
      <c r="M22" s="60">
        <f t="shared" si="0"/>
        <v>5</v>
      </c>
      <c r="N22" s="61">
        <f t="shared" si="3"/>
        <v>4.7904191616766472</v>
      </c>
      <c r="O22" s="61">
        <f t="shared" si="16"/>
        <v>8.8424437299035379</v>
      </c>
      <c r="P22" s="129">
        <f t="shared" si="4"/>
        <v>10.411872986654394</v>
      </c>
      <c r="Q22" s="129">
        <f t="shared" si="5"/>
        <v>9.7872016512742857</v>
      </c>
      <c r="R22" s="129">
        <f t="shared" si="6"/>
        <v>11.071521077402075</v>
      </c>
      <c r="S22" s="61">
        <f t="shared" si="7"/>
        <v>11.326860841423949</v>
      </c>
      <c r="T22" s="61">
        <f t="shared" si="1"/>
        <v>13.864306784660767</v>
      </c>
      <c r="U22" s="61">
        <f>VLOOKUP(C22,$C$43:$I$46,5,FALSE)</f>
        <v>9.9156731608025588</v>
      </c>
      <c r="V22" s="61"/>
      <c r="Y22" s="162" t="s">
        <v>54</v>
      </c>
      <c r="Z22" s="162" t="s">
        <v>73</v>
      </c>
      <c r="AA22" s="162" t="s">
        <v>201</v>
      </c>
      <c r="AB22" s="162">
        <f t="shared" si="21"/>
        <v>2</v>
      </c>
      <c r="AC22" s="165">
        <f t="shared" si="19"/>
        <v>4.7904191616766472</v>
      </c>
      <c r="AD22" s="165">
        <f t="shared" si="20"/>
        <v>11.971197119711972</v>
      </c>
      <c r="AE22" s="162"/>
      <c r="AF22" s="162">
        <f t="shared" si="10"/>
        <v>2</v>
      </c>
      <c r="AG22" s="167" t="str">
        <f t="shared" si="11"/>
        <v>N/A</v>
      </c>
      <c r="AH22" s="165">
        <f t="shared" si="12"/>
        <v>7.1146245059288535</v>
      </c>
      <c r="AI22" s="165">
        <f t="shared" si="13"/>
        <v>5.4936106509668372</v>
      </c>
      <c r="AJ22" s="165">
        <f t="shared" si="14"/>
        <v>9.1675561652146182</v>
      </c>
      <c r="AK22" s="167">
        <f t="shared" si="15"/>
        <v>2</v>
      </c>
    </row>
    <row r="23" spans="1:37" x14ac:dyDescent="0.2">
      <c r="A23" s="62" t="s">
        <v>46</v>
      </c>
      <c r="B23" s="62" t="s">
        <v>68</v>
      </c>
      <c r="C23" s="62" t="s">
        <v>163</v>
      </c>
      <c r="D23" s="62"/>
      <c r="E23" s="62">
        <f t="shared" si="2"/>
        <v>11</v>
      </c>
      <c r="F23" s="128" t="s">
        <v>79</v>
      </c>
      <c r="G23" s="129">
        <v>9.6313364055299537</v>
      </c>
      <c r="H23" s="129">
        <v>8.4604383852434975</v>
      </c>
      <c r="I23" s="129">
        <v>10.944907718034084</v>
      </c>
      <c r="J23" s="129"/>
      <c r="K23" s="129"/>
      <c r="L23" s="129"/>
      <c r="M23" s="60">
        <f t="shared" si="0"/>
        <v>5</v>
      </c>
      <c r="N23" s="61">
        <f t="shared" si="3"/>
        <v>4.7904191616766472</v>
      </c>
      <c r="O23" s="61">
        <f t="shared" si="16"/>
        <v>8.8424437299035379</v>
      </c>
      <c r="P23" s="129">
        <f t="shared" si="4"/>
        <v>10.411872986654394</v>
      </c>
      <c r="Q23" s="129">
        <f t="shared" si="5"/>
        <v>9.7872016512742857</v>
      </c>
      <c r="R23" s="129">
        <f t="shared" si="6"/>
        <v>11.071521077402075</v>
      </c>
      <c r="S23" s="61">
        <f t="shared" si="7"/>
        <v>11.326860841423949</v>
      </c>
      <c r="T23" s="61">
        <f t="shared" si="1"/>
        <v>13.864306784660767</v>
      </c>
      <c r="U23" s="61">
        <f t="shared" si="17"/>
        <v>9.9156731608025588</v>
      </c>
      <c r="V23" s="61"/>
      <c r="Y23" s="163" t="s">
        <v>30</v>
      </c>
      <c r="Z23" s="163" t="s">
        <v>56</v>
      </c>
      <c r="AA23" s="163" t="s">
        <v>200</v>
      </c>
      <c r="AB23" s="163">
        <f>RANK(AH23,$AH$23:$AH$31,1)</f>
        <v>9</v>
      </c>
      <c r="AC23" s="166">
        <f>MIN($AH$23:$AH$31)</f>
        <v>7.4960127591706547</v>
      </c>
      <c r="AD23" s="166">
        <f>MAX($AH$23:$AH$31)</f>
        <v>13.864306784660767</v>
      </c>
      <c r="AE23" s="163"/>
      <c r="AF23" s="163">
        <f t="shared" si="10"/>
        <v>26</v>
      </c>
      <c r="AG23" s="168" t="str">
        <f t="shared" si="11"/>
        <v>N/A</v>
      </c>
      <c r="AH23" s="166">
        <f t="shared" si="12"/>
        <v>13.864306784660767</v>
      </c>
      <c r="AI23" s="166">
        <f t="shared" si="13"/>
        <v>11.876057992105364</v>
      </c>
      <c r="AJ23" s="166">
        <f t="shared" si="14"/>
        <v>16.124515098931372</v>
      </c>
      <c r="AK23" s="168">
        <f t="shared" si="15"/>
        <v>1</v>
      </c>
    </row>
    <row r="24" spans="1:37" x14ac:dyDescent="0.2">
      <c r="A24" s="62" t="s">
        <v>47</v>
      </c>
      <c r="B24" s="62" t="s">
        <v>69</v>
      </c>
      <c r="C24" s="62" t="s">
        <v>163</v>
      </c>
      <c r="D24" s="62"/>
      <c r="E24" s="62">
        <f t="shared" si="2"/>
        <v>24</v>
      </c>
      <c r="F24" s="128" t="s">
        <v>79</v>
      </c>
      <c r="G24" s="129">
        <v>12.5</v>
      </c>
      <c r="H24" s="129">
        <v>9.5318213371302996</v>
      </c>
      <c r="I24" s="129">
        <v>16.226677781019053</v>
      </c>
      <c r="J24" s="129"/>
      <c r="K24" s="129"/>
      <c r="L24" s="129"/>
      <c r="M24" s="60">
        <f t="shared" si="0"/>
        <v>5</v>
      </c>
      <c r="N24" s="61">
        <f t="shared" si="3"/>
        <v>4.7904191616766472</v>
      </c>
      <c r="O24" s="61">
        <f t="shared" si="16"/>
        <v>8.8424437299035379</v>
      </c>
      <c r="P24" s="129">
        <f t="shared" si="4"/>
        <v>10.411872986654394</v>
      </c>
      <c r="Q24" s="129">
        <f t="shared" si="5"/>
        <v>9.7872016512742857</v>
      </c>
      <c r="R24" s="129">
        <f t="shared" si="6"/>
        <v>11.071521077402075</v>
      </c>
      <c r="S24" s="61">
        <f t="shared" si="7"/>
        <v>11.326860841423949</v>
      </c>
      <c r="T24" s="61">
        <f t="shared" si="1"/>
        <v>13.864306784660767</v>
      </c>
      <c r="U24" s="61">
        <f t="shared" si="17"/>
        <v>9.9156731608025588</v>
      </c>
      <c r="V24" s="61"/>
      <c r="Y24" s="163" t="s">
        <v>31</v>
      </c>
      <c r="Z24" s="163" t="s">
        <v>57</v>
      </c>
      <c r="AA24" s="163" t="s">
        <v>200</v>
      </c>
      <c r="AB24" s="163">
        <f t="shared" ref="AB24:AB31" si="22">RANK(AH24,$AH$23:$AH$31,1)</f>
        <v>7</v>
      </c>
      <c r="AC24" s="166">
        <f t="shared" ref="AC24:AC31" si="23">MIN($AH$23:$AH$31)</f>
        <v>7.4960127591706547</v>
      </c>
      <c r="AD24" s="166">
        <f t="shared" ref="AD24:AD31" si="24">MAX($AH$23:$AH$31)</f>
        <v>13.864306784660767</v>
      </c>
      <c r="AE24" s="163"/>
      <c r="AF24" s="163">
        <f t="shared" si="10"/>
        <v>22</v>
      </c>
      <c r="AG24" s="168" t="str">
        <f t="shared" si="11"/>
        <v>N/A</v>
      </c>
      <c r="AH24" s="166">
        <f t="shared" si="12"/>
        <v>11.839323467230445</v>
      </c>
      <c r="AI24" s="166">
        <f t="shared" si="13"/>
        <v>10.701971893429272</v>
      </c>
      <c r="AJ24" s="166">
        <f t="shared" si="14"/>
        <v>13.079842420067106</v>
      </c>
      <c r="AK24" s="168">
        <f t="shared" si="15"/>
        <v>5</v>
      </c>
    </row>
    <row r="25" spans="1:37" x14ac:dyDescent="0.2">
      <c r="A25" s="62" t="s">
        <v>48</v>
      </c>
      <c r="B25" s="62" t="s">
        <v>160</v>
      </c>
      <c r="C25" s="62" t="s">
        <v>201</v>
      </c>
      <c r="D25" s="62"/>
      <c r="E25" s="62">
        <f t="shared" si="2"/>
        <v>1</v>
      </c>
      <c r="F25" s="128" t="s">
        <v>79</v>
      </c>
      <c r="G25" s="129">
        <v>4.7904191616766472</v>
      </c>
      <c r="H25" s="129">
        <v>3.2399984463586371</v>
      </c>
      <c r="I25" s="129">
        <v>7.0288607994321861</v>
      </c>
      <c r="J25" s="129"/>
      <c r="K25" s="129"/>
      <c r="L25" s="129"/>
      <c r="M25" s="60">
        <f t="shared" si="0"/>
        <v>2</v>
      </c>
      <c r="N25" s="61">
        <f t="shared" si="3"/>
        <v>4.7904191616766472</v>
      </c>
      <c r="O25" s="61">
        <f t="shared" si="16"/>
        <v>8.8424437299035379</v>
      </c>
      <c r="P25" s="129">
        <f t="shared" si="4"/>
        <v>10.411872986654394</v>
      </c>
      <c r="Q25" s="129">
        <f t="shared" si="5"/>
        <v>9.7872016512742857</v>
      </c>
      <c r="R25" s="129">
        <f t="shared" si="6"/>
        <v>11.071521077402075</v>
      </c>
      <c r="S25" s="61">
        <f t="shared" si="7"/>
        <v>11.326860841423949</v>
      </c>
      <c r="T25" s="61">
        <f t="shared" si="1"/>
        <v>13.864306784660767</v>
      </c>
      <c r="U25" s="61">
        <f t="shared" si="17"/>
        <v>9.8776619845944715</v>
      </c>
      <c r="V25" s="61"/>
      <c r="Y25" s="163" t="s">
        <v>34</v>
      </c>
      <c r="Z25" s="163" t="s">
        <v>59</v>
      </c>
      <c r="AA25" s="163" t="s">
        <v>200</v>
      </c>
      <c r="AB25" s="163">
        <f t="shared" si="22"/>
        <v>6</v>
      </c>
      <c r="AC25" s="166">
        <f t="shared" si="23"/>
        <v>7.4960127591706547</v>
      </c>
      <c r="AD25" s="166">
        <f t="shared" si="24"/>
        <v>13.864306784660767</v>
      </c>
      <c r="AE25" s="163"/>
      <c r="AF25" s="163">
        <f t="shared" si="10"/>
        <v>21</v>
      </c>
      <c r="AG25" s="168" t="str">
        <f t="shared" si="11"/>
        <v>N/A</v>
      </c>
      <c r="AH25" s="166">
        <f t="shared" si="12"/>
        <v>11.367803447011369</v>
      </c>
      <c r="AI25" s="166">
        <f t="shared" si="13"/>
        <v>10.23039517198913</v>
      </c>
      <c r="AJ25" s="166">
        <f t="shared" si="14"/>
        <v>12.613899095100919</v>
      </c>
      <c r="AK25" s="168">
        <f t="shared" si="15"/>
        <v>5</v>
      </c>
    </row>
    <row r="26" spans="1:37" x14ac:dyDescent="0.2">
      <c r="A26" s="62" t="s">
        <v>49</v>
      </c>
      <c r="B26" s="62" t="s">
        <v>70</v>
      </c>
      <c r="C26" s="62" t="s">
        <v>200</v>
      </c>
      <c r="D26" s="62"/>
      <c r="E26" s="62">
        <f t="shared" si="2"/>
        <v>6</v>
      </c>
      <c r="F26" s="128" t="s">
        <v>79</v>
      </c>
      <c r="G26" s="129">
        <v>8.7076076993583875</v>
      </c>
      <c r="H26" s="129">
        <v>7.1761299266868237</v>
      </c>
      <c r="I26" s="129">
        <v>10.528849845406389</v>
      </c>
      <c r="J26" s="129"/>
      <c r="K26" s="129"/>
      <c r="L26" s="129"/>
      <c r="M26" s="60">
        <f t="shared" si="0"/>
        <v>5</v>
      </c>
      <c r="N26" s="61">
        <f t="shared" si="3"/>
        <v>4.7904191616766472</v>
      </c>
      <c r="O26" s="61">
        <f t="shared" si="16"/>
        <v>8.8424437299035379</v>
      </c>
      <c r="P26" s="129">
        <f t="shared" si="4"/>
        <v>10.411872986654394</v>
      </c>
      <c r="Q26" s="129">
        <f t="shared" si="5"/>
        <v>9.7872016512742857</v>
      </c>
      <c r="R26" s="129">
        <f t="shared" si="6"/>
        <v>11.071521077402075</v>
      </c>
      <c r="S26" s="61">
        <f t="shared" si="7"/>
        <v>11.326860841423949</v>
      </c>
      <c r="T26" s="61">
        <f t="shared" si="1"/>
        <v>13.864306784660767</v>
      </c>
      <c r="U26" s="61">
        <f t="shared" si="17"/>
        <v>11.359159553512804</v>
      </c>
      <c r="V26" s="61"/>
      <c r="Y26" s="163" t="s">
        <v>39</v>
      </c>
      <c r="Z26" s="163" t="s">
        <v>158</v>
      </c>
      <c r="AA26" s="163" t="s">
        <v>200</v>
      </c>
      <c r="AB26" s="163">
        <f t="shared" si="22"/>
        <v>4</v>
      </c>
      <c r="AC26" s="166">
        <f t="shared" si="23"/>
        <v>7.4960127591706547</v>
      </c>
      <c r="AD26" s="166">
        <f t="shared" si="24"/>
        <v>13.864306784660767</v>
      </c>
      <c r="AE26" s="163"/>
      <c r="AF26" s="163">
        <f t="shared" si="10"/>
        <v>18</v>
      </c>
      <c r="AG26" s="168" t="str">
        <f t="shared" si="11"/>
        <v>N/A</v>
      </c>
      <c r="AH26" s="166">
        <f t="shared" si="12"/>
        <v>11.102423768569196</v>
      </c>
      <c r="AI26" s="166">
        <f t="shared" si="13"/>
        <v>9.9428145087377491</v>
      </c>
      <c r="AJ26" s="166">
        <f t="shared" si="14"/>
        <v>12.378686177879013</v>
      </c>
      <c r="AK26" s="168">
        <f t="shared" si="15"/>
        <v>5</v>
      </c>
    </row>
    <row r="27" spans="1:37" x14ac:dyDescent="0.2">
      <c r="A27" s="62" t="s">
        <v>50</v>
      </c>
      <c r="B27" s="62" t="s">
        <v>161</v>
      </c>
      <c r="C27" s="62" t="s">
        <v>163</v>
      </c>
      <c r="D27" s="62"/>
      <c r="E27" s="62">
        <f t="shared" si="2"/>
        <v>16</v>
      </c>
      <c r="F27" s="128" t="s">
        <v>79</v>
      </c>
      <c r="G27" s="129">
        <v>10.237659963436929</v>
      </c>
      <c r="H27" s="129">
        <v>8.5782153917967516</v>
      </c>
      <c r="I27" s="129">
        <v>12.175369471489645</v>
      </c>
      <c r="J27" s="129"/>
      <c r="K27" s="129"/>
      <c r="L27" s="129"/>
      <c r="M27" s="60">
        <f t="shared" si="0"/>
        <v>5</v>
      </c>
      <c r="N27" s="61">
        <f t="shared" si="3"/>
        <v>4.7904191616766472</v>
      </c>
      <c r="O27" s="61">
        <f t="shared" si="16"/>
        <v>8.8424437299035379</v>
      </c>
      <c r="P27" s="129">
        <f t="shared" si="4"/>
        <v>10.411872986654394</v>
      </c>
      <c r="Q27" s="129">
        <f t="shared" si="5"/>
        <v>9.7872016512742857</v>
      </c>
      <c r="R27" s="129">
        <f t="shared" si="6"/>
        <v>11.071521077402075</v>
      </c>
      <c r="S27" s="61">
        <f t="shared" si="7"/>
        <v>11.326860841423949</v>
      </c>
      <c r="T27" s="61">
        <f t="shared" si="1"/>
        <v>13.864306784660767</v>
      </c>
      <c r="U27" s="61">
        <f t="shared" si="17"/>
        <v>9.9156731608025588</v>
      </c>
      <c r="V27" s="61"/>
      <c r="Y27" s="163" t="s">
        <v>40</v>
      </c>
      <c r="Z27" s="163" t="s">
        <v>63</v>
      </c>
      <c r="AA27" s="163" t="s">
        <v>200</v>
      </c>
      <c r="AB27" s="163">
        <f t="shared" si="22"/>
        <v>8</v>
      </c>
      <c r="AC27" s="166">
        <f t="shared" si="23"/>
        <v>7.4960127591706547</v>
      </c>
      <c r="AD27" s="166">
        <f t="shared" si="24"/>
        <v>13.864306784660767</v>
      </c>
      <c r="AE27" s="163"/>
      <c r="AF27" s="163">
        <f t="shared" si="10"/>
        <v>25</v>
      </c>
      <c r="AG27" s="168" t="str">
        <f t="shared" si="11"/>
        <v>N/A</v>
      </c>
      <c r="AH27" s="166">
        <f t="shared" si="12"/>
        <v>12.735326688815062</v>
      </c>
      <c r="AI27" s="166">
        <f t="shared" si="13"/>
        <v>10.717713365091837</v>
      </c>
      <c r="AJ27" s="166">
        <f t="shared" si="14"/>
        <v>15.068652768277746</v>
      </c>
      <c r="AK27" s="168">
        <f t="shared" si="15"/>
        <v>5</v>
      </c>
    </row>
    <row r="28" spans="1:37" x14ac:dyDescent="0.2">
      <c r="A28" s="62" t="s">
        <v>51</v>
      </c>
      <c r="B28" s="62" t="s">
        <v>71</v>
      </c>
      <c r="C28" s="62" t="s">
        <v>200</v>
      </c>
      <c r="D28" s="62"/>
      <c r="E28" s="62">
        <f t="shared" si="2"/>
        <v>19</v>
      </c>
      <c r="F28" s="128" t="s">
        <v>79</v>
      </c>
      <c r="G28" s="129">
        <v>11.178247734138973</v>
      </c>
      <c r="H28" s="129">
        <v>9.5920302703041003</v>
      </c>
      <c r="I28" s="129">
        <v>12.989088644825619</v>
      </c>
      <c r="J28" s="129"/>
      <c r="K28" s="129"/>
      <c r="L28" s="129"/>
      <c r="M28" s="60">
        <f t="shared" si="0"/>
        <v>5</v>
      </c>
      <c r="N28" s="61">
        <f t="shared" si="3"/>
        <v>4.7904191616766472</v>
      </c>
      <c r="O28" s="61">
        <f t="shared" si="16"/>
        <v>8.8424437299035379</v>
      </c>
      <c r="P28" s="129">
        <f t="shared" si="4"/>
        <v>10.411872986654394</v>
      </c>
      <c r="Q28" s="129">
        <f t="shared" si="5"/>
        <v>9.7872016512742857</v>
      </c>
      <c r="R28" s="129">
        <f t="shared" si="6"/>
        <v>11.071521077402075</v>
      </c>
      <c r="S28" s="61">
        <f t="shared" si="7"/>
        <v>11.326860841423949</v>
      </c>
      <c r="T28" s="61">
        <f t="shared" si="1"/>
        <v>13.864306784660767</v>
      </c>
      <c r="U28" s="61">
        <f t="shared" si="17"/>
        <v>11.359159553512804</v>
      </c>
      <c r="V28" s="61"/>
      <c r="Y28" s="163" t="s">
        <v>42</v>
      </c>
      <c r="Z28" s="163" t="s">
        <v>65</v>
      </c>
      <c r="AA28" s="163" t="s">
        <v>200</v>
      </c>
      <c r="AB28" s="163">
        <f t="shared" si="22"/>
        <v>3</v>
      </c>
      <c r="AC28" s="166">
        <f t="shared" si="23"/>
        <v>7.4960127591706547</v>
      </c>
      <c r="AD28" s="166">
        <f t="shared" si="24"/>
        <v>13.864306784660767</v>
      </c>
      <c r="AE28" s="163"/>
      <c r="AF28" s="163">
        <f t="shared" si="10"/>
        <v>15</v>
      </c>
      <c r="AG28" s="168" t="str">
        <f t="shared" si="11"/>
        <v>N/A</v>
      </c>
      <c r="AH28" s="166">
        <f t="shared" si="12"/>
        <v>10.220440881763526</v>
      </c>
      <c r="AI28" s="166">
        <f t="shared" si="13"/>
        <v>7.8593305706292718</v>
      </c>
      <c r="AJ28" s="166">
        <f t="shared" si="14"/>
        <v>13.189343313366367</v>
      </c>
      <c r="AK28" s="168">
        <f t="shared" si="15"/>
        <v>5</v>
      </c>
    </row>
    <row r="29" spans="1:37" x14ac:dyDescent="0.2">
      <c r="A29" s="62" t="s">
        <v>52</v>
      </c>
      <c r="B29" s="62" t="s">
        <v>72</v>
      </c>
      <c r="C29" s="62" t="s">
        <v>201</v>
      </c>
      <c r="D29" s="62"/>
      <c r="E29" s="62">
        <f t="shared" si="2"/>
        <v>17</v>
      </c>
      <c r="F29" s="128" t="s">
        <v>79</v>
      </c>
      <c r="G29" s="129">
        <v>10.507246376811596</v>
      </c>
      <c r="H29" s="129">
        <v>7.4159237854357105</v>
      </c>
      <c r="I29" s="129">
        <v>14.68282422756635</v>
      </c>
      <c r="J29" s="129"/>
      <c r="K29" s="129"/>
      <c r="L29" s="129"/>
      <c r="M29" s="60">
        <f t="shared" si="0"/>
        <v>5</v>
      </c>
      <c r="N29" s="61">
        <f t="shared" si="3"/>
        <v>4.7904191616766472</v>
      </c>
      <c r="O29" s="61">
        <f t="shared" si="16"/>
        <v>8.8424437299035379</v>
      </c>
      <c r="P29" s="129">
        <f t="shared" si="4"/>
        <v>10.411872986654394</v>
      </c>
      <c r="Q29" s="129">
        <f t="shared" si="5"/>
        <v>9.7872016512742857</v>
      </c>
      <c r="R29" s="129">
        <f t="shared" si="6"/>
        <v>11.071521077402075</v>
      </c>
      <c r="S29" s="61">
        <f t="shared" si="7"/>
        <v>11.326860841423949</v>
      </c>
      <c r="T29" s="61">
        <f t="shared" si="1"/>
        <v>13.864306784660767</v>
      </c>
      <c r="U29" s="61">
        <f t="shared" si="17"/>
        <v>9.8776619845944715</v>
      </c>
      <c r="V29" s="61"/>
      <c r="Y29" s="163" t="s">
        <v>44</v>
      </c>
      <c r="Z29" s="163" t="s">
        <v>66</v>
      </c>
      <c r="AA29" s="163" t="s">
        <v>200</v>
      </c>
      <c r="AB29" s="163">
        <f t="shared" si="22"/>
        <v>1</v>
      </c>
      <c r="AC29" s="166">
        <f t="shared" si="23"/>
        <v>7.4960127591706547</v>
      </c>
      <c r="AD29" s="166">
        <f t="shared" si="24"/>
        <v>13.864306784660767</v>
      </c>
      <c r="AE29" s="163"/>
      <c r="AF29" s="163">
        <f t="shared" si="10"/>
        <v>4</v>
      </c>
      <c r="AG29" s="168" t="str">
        <f t="shared" si="11"/>
        <v>N/A</v>
      </c>
      <c r="AH29" s="166">
        <f t="shared" si="12"/>
        <v>7.4960127591706547</v>
      </c>
      <c r="AI29" s="166">
        <f t="shared" si="13"/>
        <v>5.6837358439395596</v>
      </c>
      <c r="AJ29" s="166">
        <f t="shared" si="14"/>
        <v>9.825938964624962</v>
      </c>
      <c r="AK29" s="168">
        <f t="shared" si="15"/>
        <v>5</v>
      </c>
    </row>
    <row r="30" spans="1:37" x14ac:dyDescent="0.2">
      <c r="A30" s="62" t="s">
        <v>53</v>
      </c>
      <c r="B30" s="62" t="s">
        <v>162</v>
      </c>
      <c r="C30" s="62" t="s">
        <v>163</v>
      </c>
      <c r="D30" s="62"/>
      <c r="E30" s="62">
        <f t="shared" si="2"/>
        <v>14</v>
      </c>
      <c r="F30" s="128" t="s">
        <v>79</v>
      </c>
      <c r="G30" s="129">
        <v>9.9651365485183021</v>
      </c>
      <c r="H30" s="129">
        <v>9.0086632360120955</v>
      </c>
      <c r="I30" s="129">
        <v>11.010872400336819</v>
      </c>
      <c r="J30" s="129"/>
      <c r="K30" s="129"/>
      <c r="L30" s="129"/>
      <c r="M30" s="60">
        <f t="shared" si="0"/>
        <v>5</v>
      </c>
      <c r="N30" s="61">
        <f t="shared" si="3"/>
        <v>4.7904191616766472</v>
      </c>
      <c r="O30" s="61">
        <f t="shared" si="16"/>
        <v>8.8424437299035379</v>
      </c>
      <c r="P30" s="129">
        <f>$G$32</f>
        <v>10.411872986654394</v>
      </c>
      <c r="Q30" s="129">
        <f t="shared" si="5"/>
        <v>9.7872016512742857</v>
      </c>
      <c r="R30" s="129">
        <f t="shared" si="6"/>
        <v>11.071521077402075</v>
      </c>
      <c r="S30" s="61">
        <f t="shared" si="7"/>
        <v>11.326860841423949</v>
      </c>
      <c r="T30" s="61">
        <f t="shared" si="1"/>
        <v>13.864306784660767</v>
      </c>
      <c r="U30" s="61">
        <f t="shared" si="17"/>
        <v>9.9156731608025588</v>
      </c>
      <c r="V30" s="61"/>
      <c r="Y30" s="163" t="s">
        <v>49</v>
      </c>
      <c r="Z30" s="163" t="s">
        <v>70</v>
      </c>
      <c r="AA30" s="163" t="s">
        <v>200</v>
      </c>
      <c r="AB30" s="163">
        <f t="shared" si="22"/>
        <v>2</v>
      </c>
      <c r="AC30" s="166">
        <f t="shared" si="23"/>
        <v>7.4960127591706547</v>
      </c>
      <c r="AD30" s="166">
        <f t="shared" si="24"/>
        <v>13.864306784660767</v>
      </c>
      <c r="AE30" s="163"/>
      <c r="AF30" s="163">
        <f t="shared" si="10"/>
        <v>6</v>
      </c>
      <c r="AG30" s="168" t="str">
        <f t="shared" si="11"/>
        <v>N/A</v>
      </c>
      <c r="AH30" s="166">
        <f t="shared" si="12"/>
        <v>8.7076076993583875</v>
      </c>
      <c r="AI30" s="166">
        <f t="shared" si="13"/>
        <v>7.1761299266868237</v>
      </c>
      <c r="AJ30" s="166">
        <f t="shared" si="14"/>
        <v>10.528849845406389</v>
      </c>
      <c r="AK30" s="168">
        <f t="shared" si="15"/>
        <v>5</v>
      </c>
    </row>
    <row r="31" spans="1:37" x14ac:dyDescent="0.2">
      <c r="A31" s="62" t="s">
        <v>54</v>
      </c>
      <c r="B31" s="62" t="s">
        <v>73</v>
      </c>
      <c r="C31" s="62" t="s">
        <v>201</v>
      </c>
      <c r="D31" s="62"/>
      <c r="E31" s="62">
        <f t="shared" si="2"/>
        <v>2</v>
      </c>
      <c r="F31" s="128" t="s">
        <v>79</v>
      </c>
      <c r="G31" s="129">
        <v>7.1146245059288535</v>
      </c>
      <c r="H31" s="129">
        <v>5.4936106509668372</v>
      </c>
      <c r="I31" s="129">
        <v>9.1675561652146182</v>
      </c>
      <c r="J31" s="129"/>
      <c r="K31" s="129"/>
      <c r="L31" s="129"/>
      <c r="M31" s="60">
        <f t="shared" si="0"/>
        <v>2</v>
      </c>
      <c r="N31" s="61">
        <f t="shared" si="3"/>
        <v>4.7904191616766472</v>
      </c>
      <c r="O31" s="61">
        <f t="shared" si="16"/>
        <v>8.8424437299035379</v>
      </c>
      <c r="P31" s="129">
        <f t="shared" si="4"/>
        <v>10.411872986654394</v>
      </c>
      <c r="Q31" s="129">
        <f t="shared" si="5"/>
        <v>9.7872016512742857</v>
      </c>
      <c r="R31" s="129">
        <f t="shared" si="6"/>
        <v>11.071521077402075</v>
      </c>
      <c r="S31" s="61">
        <f t="shared" si="7"/>
        <v>11.326860841423949</v>
      </c>
      <c r="T31" s="61">
        <f t="shared" si="1"/>
        <v>13.864306784660767</v>
      </c>
      <c r="U31" s="61">
        <f t="shared" si="17"/>
        <v>9.8776619845944715</v>
      </c>
      <c r="V31" s="61"/>
      <c r="Y31" s="163" t="s">
        <v>51</v>
      </c>
      <c r="Z31" s="163" t="s">
        <v>71</v>
      </c>
      <c r="AA31" s="163" t="s">
        <v>200</v>
      </c>
      <c r="AB31" s="163">
        <f t="shared" si="22"/>
        <v>5</v>
      </c>
      <c r="AC31" s="166">
        <f t="shared" si="23"/>
        <v>7.4960127591706547</v>
      </c>
      <c r="AD31" s="166">
        <f t="shared" si="24"/>
        <v>13.864306784660767</v>
      </c>
      <c r="AE31" s="163"/>
      <c r="AF31" s="163">
        <f t="shared" si="10"/>
        <v>19</v>
      </c>
      <c r="AG31" s="168" t="str">
        <f t="shared" si="11"/>
        <v>N/A</v>
      </c>
      <c r="AH31" s="166">
        <f t="shared" si="12"/>
        <v>11.178247734138973</v>
      </c>
      <c r="AI31" s="166">
        <f t="shared" si="13"/>
        <v>9.5920302703041003</v>
      </c>
      <c r="AJ31" s="166">
        <f t="shared" si="14"/>
        <v>12.989088644825619</v>
      </c>
      <c r="AK31" s="168">
        <f t="shared" si="15"/>
        <v>5</v>
      </c>
    </row>
    <row r="32" spans="1:37" x14ac:dyDescent="0.2">
      <c r="A32" s="62"/>
      <c r="B32" s="62" t="s">
        <v>171</v>
      </c>
      <c r="C32" s="62"/>
      <c r="D32" s="62"/>
      <c r="E32" s="62"/>
      <c r="F32" s="128">
        <v>905</v>
      </c>
      <c r="G32" s="129">
        <v>10.411872986654394</v>
      </c>
      <c r="H32" s="129">
        <v>9.7872016512742857</v>
      </c>
      <c r="I32" s="129">
        <v>11.071521077402075</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254">
        <v>341</v>
      </c>
      <c r="G44" s="254">
        <v>9.9156731608025588</v>
      </c>
      <c r="H44" s="254">
        <v>8.9610644580442234</v>
      </c>
      <c r="I44" s="254">
        <v>10.95973256452972</v>
      </c>
      <c r="J44" s="254">
        <f>VLOOKUP($C44,$AA$6:$AD$13,3,FALSE)</f>
        <v>9.2256214149139577</v>
      </c>
      <c r="K44" s="254">
        <f>VLOOKUP($C44,$AA$6:$AD$13,4,FALSE)</f>
        <v>12.5</v>
      </c>
      <c r="L44" s="254"/>
      <c r="M44" s="343">
        <f>IF($C$2="Significance not measured",6,IF(AND($C$2="Better / Worse",$K$2="Low = Worst",I44&lt;Q44),1,IF(AND($C$2="Better / Worse",$K$2="Low = Worst",H44&gt;R44),2,IF(AND($C$2="Better / Worse",$K$2="High = Worst",I44&lt;Q44),2,IF(AND($C$2="Better / Worse",$K$2="High = Worst",H44&gt;R44),1,IF(AND($C$2="Higher / Lower",I44&lt;Q44),3,IF(AND($C$2="Higher / Lower",H44&gt;R44),4,5)))))))</f>
        <v>5</v>
      </c>
      <c r="N44" s="343">
        <f>MIN($G$6:$G$31)</f>
        <v>4.7904191616766472</v>
      </c>
      <c r="O44" s="343">
        <f>VLOOKUP(7,$E$5:$G$39,3,FALSE)</f>
        <v>8.8424437299035379</v>
      </c>
      <c r="P44" s="254">
        <f>$G$32</f>
        <v>10.411872986654394</v>
      </c>
      <c r="Q44" s="129">
        <f>$H$32</f>
        <v>9.7872016512742857</v>
      </c>
      <c r="R44" s="129">
        <f>$I$32</f>
        <v>11.071521077402075</v>
      </c>
      <c r="S44" s="61">
        <f>VLOOKUP(20,$E$5:$G$39,3,FALSE)</f>
        <v>11.326860841423949</v>
      </c>
      <c r="T44" s="61">
        <f>MAX($G$6:$G$31)</f>
        <v>13.864306784660767</v>
      </c>
    </row>
    <row r="45" spans="1:22" x14ac:dyDescent="0.2">
      <c r="C45" s="62" t="s">
        <v>201</v>
      </c>
      <c r="D45" s="62"/>
      <c r="E45" s="62"/>
      <c r="F45" s="254">
        <v>218</v>
      </c>
      <c r="G45" s="254">
        <v>9.8776619845944715</v>
      </c>
      <c r="H45" s="254">
        <v>8.7017330687735317</v>
      </c>
      <c r="I45" s="254">
        <v>11.193020445361945</v>
      </c>
      <c r="J45" s="254">
        <f>VLOOKUP($C45,$AA$14:$AD$22,3,FALSE)</f>
        <v>4.7904191616766472</v>
      </c>
      <c r="K45" s="254">
        <f>VLOOKUP($C45,$AA$14:$AD$22,4,FALSE)</f>
        <v>11.971197119711972</v>
      </c>
      <c r="L45" s="254"/>
      <c r="M45" s="343">
        <f>IF($C$2="Significance not measured",6,IF(AND($C$2="Better / Worse",$K$2="Low = Worst",I45&lt;Q45),1,IF(AND($C$2="Better / Worse",$K$2="Low = Worst",H45&gt;R45),2,IF(AND($C$2="Better / Worse",$K$2="High = Worst",I45&lt;Q45),2,IF(AND($C$2="Better / Worse",$K$2="High = Worst",H45&gt;R45),1,IF(AND($C$2="Higher / Lower",I45&lt;Q45),3,IF(AND($C$2="Higher / Lower",H45&gt;R45),4,5)))))))</f>
        <v>5</v>
      </c>
      <c r="N45" s="343">
        <f>MIN($G$6:$G$31)</f>
        <v>4.7904191616766472</v>
      </c>
      <c r="O45" s="343">
        <f>VLOOKUP(7,$E$5:$G$39,3,FALSE)</f>
        <v>8.8424437299035379</v>
      </c>
      <c r="P45" s="254">
        <f>$G$32</f>
        <v>10.411872986654394</v>
      </c>
      <c r="Q45" s="129">
        <f t="shared" ref="Q45:Q46" si="25">$H$32</f>
        <v>9.7872016512742857</v>
      </c>
      <c r="R45" s="129">
        <f t="shared" ref="R45:R46" si="26">$I$32</f>
        <v>11.071521077402075</v>
      </c>
      <c r="S45" s="61">
        <f>VLOOKUP(20,$E$5:$G$39,3,FALSE)</f>
        <v>11.326860841423949</v>
      </c>
      <c r="T45" s="61">
        <f t="shared" ref="T45:T46" si="27">MAX($G$6:$G$31)</f>
        <v>13.864306784660767</v>
      </c>
    </row>
    <row r="46" spans="1:22" x14ac:dyDescent="0.2">
      <c r="C46" s="62" t="s">
        <v>200</v>
      </c>
      <c r="D46" s="62"/>
      <c r="E46" s="62"/>
      <c r="F46" s="254">
        <v>346</v>
      </c>
      <c r="G46" s="254">
        <v>11.359159553512804</v>
      </c>
      <c r="H46" s="254">
        <v>10.280620355845933</v>
      </c>
      <c r="I46" s="254">
        <v>12.535039678159917</v>
      </c>
      <c r="J46" s="254">
        <f>VLOOKUP($C46,$AA$23:$AD$31,3,FALSE)</f>
        <v>7.4960127591706547</v>
      </c>
      <c r="K46" s="254">
        <f>VLOOKUP($C46,$AA$23:$AD$31,4,FALSE)</f>
        <v>13.864306784660767</v>
      </c>
      <c r="L46" s="254"/>
      <c r="M46" s="343">
        <f>IF($C$2="Significance not measured",6,IF(AND($C$2="Better / Worse",$K$2="Low = Worst",I46&lt;Q46),1,IF(AND($C$2="Better / Worse",$K$2="Low = Worst",H46&gt;R46),2,IF(AND($C$2="Better / Worse",$K$2="High = Worst",I46&lt;Q46),2,IF(AND($C$2="Better / Worse",$K$2="High = Worst",H46&gt;R46),1,IF(AND($C$2="Higher / Lower",I46&lt;Q46),3,IF(AND($C$2="Higher / Lower",H46&gt;R46),4,5)))))))</f>
        <v>5</v>
      </c>
      <c r="N46" s="343">
        <f>MIN($G$6:$G$31)</f>
        <v>4.7904191616766472</v>
      </c>
      <c r="O46" s="343">
        <f>VLOOKUP(7,$E$5:$G$39,3,FALSE)</f>
        <v>8.8424437299035379</v>
      </c>
      <c r="P46" s="254">
        <f t="shared" ref="P46" si="28">$G$32</f>
        <v>10.411872986654394</v>
      </c>
      <c r="Q46" s="129">
        <f t="shared" si="25"/>
        <v>9.7872016512742857</v>
      </c>
      <c r="R46" s="129">
        <f t="shared" si="26"/>
        <v>11.071521077402075</v>
      </c>
      <c r="S46" s="61">
        <f>VLOOKUP(20,$E$5:$G$39,3,FALSE)</f>
        <v>11.326860841423949</v>
      </c>
      <c r="T46" s="61">
        <f t="shared" si="27"/>
        <v>13.864306784660767</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K2:N2" xr:uid="{00000000-0002-0000-3900-000000000000}">
      <formula1>"High = Worst,Low = Worst"</formula1>
    </dataValidation>
    <dataValidation type="list" allowBlank="1" showInputMessage="1" showErrorMessage="1" sqref="C2:D2" xr:uid="{00000000-0002-0000-3900-000001000000}">
      <formula1>"Better / Worse,Higher / Lower,Significance not measured"</formula1>
    </dataValidation>
  </dataValidations>
  <pageMargins left="0.75" right="0.75" top="1" bottom="1" header="0.5" footer="0.5"/>
  <pageSetup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7">
    <tabColor theme="6" tint="0.39997558519241921"/>
  </sheetPr>
  <dimension ref="A1:AK55"/>
  <sheetViews>
    <sheetView workbookViewId="0">
      <selection activeCell="A46" sqref="A46:XFD46"/>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8" width="7.33203125" style="21" customWidth="1"/>
    <col min="9" max="9" width="6.886718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5.554687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10</v>
      </c>
      <c r="F6" s="128" t="s">
        <v>79</v>
      </c>
      <c r="G6" s="129">
        <v>21.503496503496503</v>
      </c>
      <c r="H6" s="129">
        <v>18.332569855521179</v>
      </c>
      <c r="I6" s="129">
        <v>25.054625525020167</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5</v>
      </c>
      <c r="N6" s="61">
        <f>MIN($G$6:$G$32)</f>
        <v>14.986376021798366</v>
      </c>
      <c r="O6" s="61">
        <f>VLOOKUP(7,$E$5:$G$39,3,FALSE)</f>
        <v>21.113689095127611</v>
      </c>
      <c r="P6" s="129">
        <f>$G$32</f>
        <v>22.175305765870704</v>
      </c>
      <c r="Q6" s="129">
        <f>$H$32</f>
        <v>21.208525450343544</v>
      </c>
      <c r="R6" s="129">
        <f>$I$32</f>
        <v>23.173194894876563</v>
      </c>
      <c r="S6" s="61">
        <f>VLOOKUP(20,$E$5:$G$39,3,FALSE)</f>
        <v>23.246217331499313</v>
      </c>
      <c r="T6" s="61">
        <f t="shared" ref="T6:T31" si="1">MAX($G$6:$G$31)</f>
        <v>26.717557251908396</v>
      </c>
      <c r="U6" s="61">
        <f>VLOOKUP(C6,$C$43:$I$46,5,FALSE)</f>
        <v>22.82471626733922</v>
      </c>
      <c r="V6" s="61"/>
      <c r="Y6" s="159" t="s">
        <v>33</v>
      </c>
      <c r="Z6" s="159" t="s">
        <v>58</v>
      </c>
      <c r="AA6" s="159" t="s">
        <v>163</v>
      </c>
      <c r="AB6" s="159">
        <f>RANK(AH6,$AH$6:$AH$13,1)</f>
        <v>2</v>
      </c>
      <c r="AC6" s="164">
        <f>MIN($AH$6:$AH$13)</f>
        <v>18.827160493827158</v>
      </c>
      <c r="AD6" s="164">
        <f>MAX($AH$6:$AH$13)</f>
        <v>21.810182275298555</v>
      </c>
      <c r="AE6" s="159"/>
      <c r="AF6" s="159">
        <f>VLOOKUP($Y6,$A$6:$I$31,5,FALSE)</f>
        <v>4</v>
      </c>
      <c r="AG6" s="160" t="str">
        <f>VLOOKUP($Y6,$A$6:$I$31,6,FALSE)</f>
        <v>N/A</v>
      </c>
      <c r="AH6" s="161">
        <f>VLOOKUP($Y6,$A$6:$I$31,7,FALSE)</f>
        <v>20.391949152542374</v>
      </c>
      <c r="AI6" s="161">
        <f>VLOOKUP($Y6,$A$6:$I$31,8,FALSE)</f>
        <v>18.635501877535535</v>
      </c>
      <c r="AJ6" s="161">
        <f>VLOOKUP($Y6,$A$6:$I$31,9,FALSE)</f>
        <v>22.268637061415465</v>
      </c>
      <c r="AK6" s="160">
        <f>VLOOKUP($Y6,$A$6:$M$31,13,FALSE)</f>
        <v>5</v>
      </c>
    </row>
    <row r="7" spans="1:37" x14ac:dyDescent="0.2">
      <c r="A7" s="62" t="s">
        <v>30</v>
      </c>
      <c r="B7" s="62" t="s">
        <v>56</v>
      </c>
      <c r="C7" s="62" t="s">
        <v>200</v>
      </c>
      <c r="D7" s="62"/>
      <c r="E7" s="62">
        <f t="shared" ref="E7:E31" si="2">RANK(G7,$G$6:$G$31,1)</f>
        <v>22</v>
      </c>
      <c r="F7" s="128" t="s">
        <v>79</v>
      </c>
      <c r="G7" s="129">
        <v>24.280782508630612</v>
      </c>
      <c r="H7" s="129">
        <v>21.547165932402972</v>
      </c>
      <c r="I7" s="129">
        <v>27.240784561613808</v>
      </c>
      <c r="J7" s="129"/>
      <c r="K7" s="129"/>
      <c r="L7" s="129"/>
      <c r="M7" s="60">
        <f t="shared" si="0"/>
        <v>5</v>
      </c>
      <c r="N7" s="61">
        <f t="shared" ref="N7:N31" si="3">MIN($G$6:$G$32)</f>
        <v>14.986376021798366</v>
      </c>
      <c r="O7" s="61">
        <f>VLOOKUP(7,$E$5:$G$39,3,FALSE)</f>
        <v>21.113689095127611</v>
      </c>
      <c r="P7" s="129">
        <f t="shared" ref="P7:P31" si="4">$G$32</f>
        <v>22.175305765870704</v>
      </c>
      <c r="Q7" s="129">
        <f t="shared" ref="Q7:Q31" si="5">$H$32</f>
        <v>21.208525450343544</v>
      </c>
      <c r="R7" s="129">
        <f t="shared" ref="R7:R31" si="6">$I$32</f>
        <v>23.173194894876563</v>
      </c>
      <c r="S7" s="61">
        <f t="shared" ref="S7:S31" si="7">VLOOKUP(20,$E$5:$G$39,3,FALSE)</f>
        <v>23.246217331499313</v>
      </c>
      <c r="T7" s="61">
        <f t="shared" si="1"/>
        <v>26.717557251908396</v>
      </c>
      <c r="U7" s="61">
        <f>VLOOKUP(C7,$C$43:$I$46,5,FALSE)</f>
        <v>23.15251572327044</v>
      </c>
      <c r="V7" s="61"/>
      <c r="Y7" s="159" t="s">
        <v>35</v>
      </c>
      <c r="Z7" s="159" t="s">
        <v>60</v>
      </c>
      <c r="AA7" s="159" t="s">
        <v>163</v>
      </c>
      <c r="AB7" s="159">
        <f t="shared" ref="AB7:AB12" si="8">RANK(AH7,$AH$6:$AH$13,1)</f>
        <v>8</v>
      </c>
      <c r="AC7" s="164">
        <f>MIN($AH$6:$AH$13)</f>
        <v>18.827160493827158</v>
      </c>
      <c r="AD7" s="164">
        <f t="shared" ref="AD7:AD13" si="9">MAX($AH$6:$AH$13)</f>
        <v>21.810182275298555</v>
      </c>
      <c r="AE7" s="159"/>
      <c r="AF7" s="159">
        <f t="shared" ref="AF7:AF31" si="10">VLOOKUP($Y7,$A$6:$I$31,5,FALSE)</f>
        <v>14</v>
      </c>
      <c r="AG7" s="160" t="str">
        <f t="shared" ref="AG7:AG31" si="11">VLOOKUP($Y7,$A$6:$I$31,6,FALSE)</f>
        <v>N/A</v>
      </c>
      <c r="AH7" s="161">
        <f t="shared" ref="AH7:AH31" si="12">VLOOKUP($Y7,$A$6:$I$31,7,FALSE)</f>
        <v>21.810182275298555</v>
      </c>
      <c r="AI7" s="161">
        <f t="shared" ref="AI7:AI31" si="13">VLOOKUP($Y7,$A$6:$I$31,8,FALSE)</f>
        <v>19.850223836033727</v>
      </c>
      <c r="AJ7" s="161">
        <f t="shared" ref="AJ7:AJ31" si="14">VLOOKUP($Y7,$A$6:$I$31,9,FALSE)</f>
        <v>23.905941076854429</v>
      </c>
      <c r="AK7" s="160">
        <f t="shared" ref="AK7:AK31" si="15">VLOOKUP($Y7,$A$6:$M$31,13,FALSE)</f>
        <v>5</v>
      </c>
    </row>
    <row r="8" spans="1:37" x14ac:dyDescent="0.2">
      <c r="A8" s="62" t="s">
        <v>31</v>
      </c>
      <c r="B8" s="62" t="s">
        <v>57</v>
      </c>
      <c r="C8" s="62" t="s">
        <v>200</v>
      </c>
      <c r="D8" s="62"/>
      <c r="E8" s="62">
        <f t="shared" si="2"/>
        <v>18</v>
      </c>
      <c r="F8" s="128" t="s">
        <v>79</v>
      </c>
      <c r="G8" s="129">
        <v>22.663252240717028</v>
      </c>
      <c r="H8" s="129">
        <v>21.013615004223784</v>
      </c>
      <c r="I8" s="129">
        <v>24.402382519370651</v>
      </c>
      <c r="J8" s="129"/>
      <c r="K8" s="129"/>
      <c r="L8" s="129"/>
      <c r="M8" s="60">
        <f t="shared" si="0"/>
        <v>5</v>
      </c>
      <c r="N8" s="61">
        <f t="shared" si="3"/>
        <v>14.986376021798366</v>
      </c>
      <c r="O8" s="61">
        <f t="shared" ref="O8:O31" si="16">VLOOKUP(7,$E$5:$G$39,3,FALSE)</f>
        <v>21.113689095127611</v>
      </c>
      <c r="P8" s="129">
        <f t="shared" si="4"/>
        <v>22.175305765870704</v>
      </c>
      <c r="Q8" s="129">
        <f t="shared" si="5"/>
        <v>21.208525450343544</v>
      </c>
      <c r="R8" s="129">
        <f t="shared" si="6"/>
        <v>23.173194894876563</v>
      </c>
      <c r="S8" s="61">
        <f t="shared" si="7"/>
        <v>23.246217331499313</v>
      </c>
      <c r="T8" s="61">
        <f t="shared" si="1"/>
        <v>26.717557251908396</v>
      </c>
      <c r="U8" s="61">
        <f t="shared" ref="U8:U31" si="17">VLOOKUP(C8,$C$43:$I$46,5,FALSE)</f>
        <v>23.15251572327044</v>
      </c>
      <c r="V8" s="61"/>
      <c r="Y8" s="159" t="s">
        <v>41</v>
      </c>
      <c r="Z8" s="159" t="s">
        <v>64</v>
      </c>
      <c r="AA8" s="159" t="s">
        <v>163</v>
      </c>
      <c r="AB8" s="159">
        <f t="shared" si="8"/>
        <v>7</v>
      </c>
      <c r="AC8" s="164">
        <f t="shared" ref="AC8:AC13" si="18">MIN($AH$6:$AH$13)</f>
        <v>18.827160493827158</v>
      </c>
      <c r="AD8" s="164">
        <f>MAX($AH$6:$AH$13)</f>
        <v>21.810182275298555</v>
      </c>
      <c r="AE8" s="159"/>
      <c r="AF8" s="159">
        <f t="shared" si="10"/>
        <v>12</v>
      </c>
      <c r="AG8" s="160" t="str">
        <f t="shared" si="11"/>
        <v>N/A</v>
      </c>
      <c r="AH8" s="161">
        <f t="shared" si="12"/>
        <v>21.543026706231451</v>
      </c>
      <c r="AI8" s="161">
        <f t="shared" si="13"/>
        <v>19.645934618798723</v>
      </c>
      <c r="AJ8" s="161">
        <f t="shared" si="14"/>
        <v>23.569575931868197</v>
      </c>
      <c r="AK8" s="160">
        <f t="shared" si="15"/>
        <v>5</v>
      </c>
    </row>
    <row r="9" spans="1:37" x14ac:dyDescent="0.2">
      <c r="A9" s="62" t="s">
        <v>32</v>
      </c>
      <c r="B9" s="62" t="s">
        <v>156</v>
      </c>
      <c r="C9" s="62" t="s">
        <v>201</v>
      </c>
      <c r="D9" s="62"/>
      <c r="E9" s="62">
        <f t="shared" si="2"/>
        <v>21</v>
      </c>
      <c r="F9" s="128" t="s">
        <v>79</v>
      </c>
      <c r="G9" s="129">
        <v>23.670827554322702</v>
      </c>
      <c r="H9" s="129">
        <v>21.927170435345385</v>
      </c>
      <c r="I9" s="129">
        <v>25.507839386743669</v>
      </c>
      <c r="J9" s="129"/>
      <c r="K9" s="129"/>
      <c r="L9" s="129"/>
      <c r="M9" s="60">
        <f t="shared" si="0"/>
        <v>5</v>
      </c>
      <c r="N9" s="61">
        <f t="shared" si="3"/>
        <v>14.986376021798366</v>
      </c>
      <c r="O9" s="61">
        <f t="shared" si="16"/>
        <v>21.113689095127611</v>
      </c>
      <c r="P9" s="129">
        <f t="shared" si="4"/>
        <v>22.175305765870704</v>
      </c>
      <c r="Q9" s="129">
        <f t="shared" si="5"/>
        <v>21.208525450343544</v>
      </c>
      <c r="R9" s="129">
        <f t="shared" si="6"/>
        <v>23.173194894876563</v>
      </c>
      <c r="S9" s="61">
        <f t="shared" si="7"/>
        <v>23.246217331499313</v>
      </c>
      <c r="T9" s="61">
        <f t="shared" si="1"/>
        <v>26.717557251908396</v>
      </c>
      <c r="U9" s="61">
        <f t="shared" si="17"/>
        <v>22.82471626733922</v>
      </c>
      <c r="V9" s="61"/>
      <c r="X9" s="63"/>
      <c r="Y9" s="159" t="s">
        <v>45</v>
      </c>
      <c r="Z9" s="159" t="s">
        <v>67</v>
      </c>
      <c r="AA9" s="159" t="s">
        <v>163</v>
      </c>
      <c r="AB9" s="159">
        <f t="shared" si="8"/>
        <v>5</v>
      </c>
      <c r="AC9" s="164">
        <f t="shared" si="18"/>
        <v>18.827160493827158</v>
      </c>
      <c r="AD9" s="164">
        <f t="shared" si="9"/>
        <v>21.810182275298555</v>
      </c>
      <c r="AE9" s="159"/>
      <c r="AF9" s="159">
        <f t="shared" si="10"/>
        <v>8</v>
      </c>
      <c r="AG9" s="160" t="str">
        <f t="shared" si="11"/>
        <v>N/A</v>
      </c>
      <c r="AH9" s="161">
        <f t="shared" si="12"/>
        <v>21.348314606741575</v>
      </c>
      <c r="AI9" s="161">
        <f t="shared" si="13"/>
        <v>19.234061019258188</v>
      </c>
      <c r="AJ9" s="161">
        <f t="shared" si="14"/>
        <v>23.626985375746415</v>
      </c>
      <c r="AK9" s="160">
        <f t="shared" si="15"/>
        <v>5</v>
      </c>
    </row>
    <row r="10" spans="1:37" x14ac:dyDescent="0.2">
      <c r="A10" s="62" t="s">
        <v>33</v>
      </c>
      <c r="B10" s="62" t="s">
        <v>58</v>
      </c>
      <c r="C10" s="62" t="s">
        <v>163</v>
      </c>
      <c r="D10" s="62"/>
      <c r="E10" s="62">
        <f t="shared" si="2"/>
        <v>4</v>
      </c>
      <c r="F10" s="128" t="s">
        <v>79</v>
      </c>
      <c r="G10" s="129">
        <v>20.391949152542374</v>
      </c>
      <c r="H10" s="129">
        <v>18.635501877535535</v>
      </c>
      <c r="I10" s="129">
        <v>22.268637061415465</v>
      </c>
      <c r="J10" s="129"/>
      <c r="K10" s="129"/>
      <c r="L10" s="129"/>
      <c r="M10" s="60">
        <f t="shared" si="0"/>
        <v>5</v>
      </c>
      <c r="N10" s="61">
        <f t="shared" si="3"/>
        <v>14.986376021798366</v>
      </c>
      <c r="O10" s="61">
        <f t="shared" si="16"/>
        <v>21.113689095127611</v>
      </c>
      <c r="P10" s="129">
        <f t="shared" si="4"/>
        <v>22.175305765870704</v>
      </c>
      <c r="Q10" s="129">
        <f t="shared" si="5"/>
        <v>21.208525450343544</v>
      </c>
      <c r="R10" s="129">
        <f t="shared" si="6"/>
        <v>23.173194894876563</v>
      </c>
      <c r="S10" s="61">
        <f t="shared" si="7"/>
        <v>23.246217331499313</v>
      </c>
      <c r="T10" s="61">
        <f t="shared" si="1"/>
        <v>26.717557251908396</v>
      </c>
      <c r="U10" s="61">
        <f t="shared" si="17"/>
        <v>20.891161431701974</v>
      </c>
      <c r="V10" s="61"/>
      <c r="Y10" s="159" t="s">
        <v>46</v>
      </c>
      <c r="Z10" s="159" t="s">
        <v>68</v>
      </c>
      <c r="AA10" s="159" t="s">
        <v>163</v>
      </c>
      <c r="AB10" s="159">
        <f t="shared" si="8"/>
        <v>6</v>
      </c>
      <c r="AC10" s="164">
        <f t="shared" si="18"/>
        <v>18.827160493827158</v>
      </c>
      <c r="AD10" s="164">
        <f t="shared" si="9"/>
        <v>21.810182275298555</v>
      </c>
      <c r="AE10" s="159"/>
      <c r="AF10" s="159">
        <f t="shared" si="10"/>
        <v>10</v>
      </c>
      <c r="AG10" s="160" t="str">
        <f t="shared" si="11"/>
        <v>N/A</v>
      </c>
      <c r="AH10" s="161">
        <f t="shared" si="12"/>
        <v>21.503496503496503</v>
      </c>
      <c r="AI10" s="161">
        <f t="shared" si="13"/>
        <v>19.624397191868827</v>
      </c>
      <c r="AJ10" s="161">
        <f t="shared" si="14"/>
        <v>23.509896089407196</v>
      </c>
      <c r="AK10" s="160">
        <f t="shared" si="15"/>
        <v>5</v>
      </c>
    </row>
    <row r="11" spans="1:37" x14ac:dyDescent="0.2">
      <c r="A11" s="62" t="s">
        <v>34</v>
      </c>
      <c r="B11" s="62" t="s">
        <v>59</v>
      </c>
      <c r="C11" s="62" t="s">
        <v>200</v>
      </c>
      <c r="D11" s="62"/>
      <c r="E11" s="62">
        <f t="shared" si="2"/>
        <v>17</v>
      </c>
      <c r="F11" s="128" t="s">
        <v>79</v>
      </c>
      <c r="G11" s="129">
        <v>22.550750220653132</v>
      </c>
      <c r="H11" s="129">
        <v>20.87732599195942</v>
      </c>
      <c r="I11" s="129">
        <v>24.317084165377043</v>
      </c>
      <c r="J11" s="129"/>
      <c r="K11" s="129"/>
      <c r="L11" s="129"/>
      <c r="M11" s="60">
        <f t="shared" si="0"/>
        <v>5</v>
      </c>
      <c r="N11" s="61">
        <f t="shared" si="3"/>
        <v>14.986376021798366</v>
      </c>
      <c r="O11" s="61">
        <f t="shared" si="16"/>
        <v>21.113689095127611</v>
      </c>
      <c r="P11" s="129">
        <f t="shared" si="4"/>
        <v>22.175305765870704</v>
      </c>
      <c r="Q11" s="129">
        <f t="shared" si="5"/>
        <v>21.208525450343544</v>
      </c>
      <c r="R11" s="129">
        <f t="shared" si="6"/>
        <v>23.173194894876563</v>
      </c>
      <c r="S11" s="61">
        <f t="shared" si="7"/>
        <v>23.246217331499313</v>
      </c>
      <c r="T11" s="61">
        <f t="shared" si="1"/>
        <v>26.717557251908396</v>
      </c>
      <c r="U11" s="61">
        <f t="shared" si="17"/>
        <v>23.15251572327044</v>
      </c>
      <c r="V11" s="61"/>
      <c r="Y11" s="159" t="s">
        <v>47</v>
      </c>
      <c r="Z11" s="159" t="s">
        <v>69</v>
      </c>
      <c r="AA11" s="159" t="s">
        <v>163</v>
      </c>
      <c r="AB11" s="159">
        <f t="shared" si="8"/>
        <v>1</v>
      </c>
      <c r="AC11" s="164">
        <f t="shared" si="18"/>
        <v>18.827160493827158</v>
      </c>
      <c r="AD11" s="164">
        <f t="shared" si="9"/>
        <v>21.810182275298555</v>
      </c>
      <c r="AE11" s="159"/>
      <c r="AF11" s="159">
        <f t="shared" si="10"/>
        <v>2</v>
      </c>
      <c r="AG11" s="160" t="str">
        <f t="shared" si="11"/>
        <v>N/A</v>
      </c>
      <c r="AH11" s="161">
        <f t="shared" si="12"/>
        <v>18.827160493827158</v>
      </c>
      <c r="AI11" s="161">
        <f t="shared" si="13"/>
        <v>14.945000126692193</v>
      </c>
      <c r="AJ11" s="161">
        <f t="shared" si="14"/>
        <v>23.439851890916849</v>
      </c>
      <c r="AK11" s="160">
        <f t="shared" si="15"/>
        <v>5</v>
      </c>
    </row>
    <row r="12" spans="1:37" x14ac:dyDescent="0.2">
      <c r="A12" s="62" t="s">
        <v>35</v>
      </c>
      <c r="B12" s="62" t="s">
        <v>60</v>
      </c>
      <c r="C12" s="62" t="s">
        <v>163</v>
      </c>
      <c r="D12" s="62"/>
      <c r="E12" s="62">
        <f t="shared" si="2"/>
        <v>14</v>
      </c>
      <c r="F12" s="128" t="s">
        <v>79</v>
      </c>
      <c r="G12" s="129">
        <v>21.810182275298555</v>
      </c>
      <c r="H12" s="129">
        <v>19.850223836033727</v>
      </c>
      <c r="I12" s="129">
        <v>23.905941076854429</v>
      </c>
      <c r="J12" s="129"/>
      <c r="K12" s="129"/>
      <c r="L12" s="129"/>
      <c r="M12" s="60">
        <f t="shared" si="0"/>
        <v>5</v>
      </c>
      <c r="N12" s="61">
        <f t="shared" si="3"/>
        <v>14.986376021798366</v>
      </c>
      <c r="O12" s="61">
        <f t="shared" si="16"/>
        <v>21.113689095127611</v>
      </c>
      <c r="P12" s="129">
        <f t="shared" si="4"/>
        <v>22.175305765870704</v>
      </c>
      <c r="Q12" s="129">
        <f t="shared" si="5"/>
        <v>21.208525450343544</v>
      </c>
      <c r="R12" s="129">
        <f t="shared" si="6"/>
        <v>23.173194894876563</v>
      </c>
      <c r="S12" s="61">
        <f t="shared" si="7"/>
        <v>23.246217331499313</v>
      </c>
      <c r="T12" s="61">
        <f t="shared" si="1"/>
        <v>26.717557251908396</v>
      </c>
      <c r="U12" s="61">
        <f t="shared" si="17"/>
        <v>20.891161431701974</v>
      </c>
      <c r="V12" s="61"/>
      <c r="Y12" s="159" t="s">
        <v>50</v>
      </c>
      <c r="Z12" s="159" t="s">
        <v>161</v>
      </c>
      <c r="AA12" s="159" t="s">
        <v>163</v>
      </c>
      <c r="AB12" s="159">
        <f t="shared" si="8"/>
        <v>4</v>
      </c>
      <c r="AC12" s="164">
        <f t="shared" si="18"/>
        <v>18.827160493827158</v>
      </c>
      <c r="AD12" s="164">
        <f t="shared" si="9"/>
        <v>21.810182275298555</v>
      </c>
      <c r="AE12" s="159"/>
      <c r="AF12" s="159">
        <f t="shared" si="10"/>
        <v>6</v>
      </c>
      <c r="AG12" s="160" t="str">
        <f t="shared" si="11"/>
        <v>N/A</v>
      </c>
      <c r="AH12" s="161">
        <f t="shared" si="12"/>
        <v>20.86021505376344</v>
      </c>
      <c r="AI12" s="161">
        <f t="shared" si="13"/>
        <v>18.371365738440893</v>
      </c>
      <c r="AJ12" s="161">
        <f t="shared" si="14"/>
        <v>23.588803744239055</v>
      </c>
      <c r="AK12" s="160">
        <f t="shared" si="15"/>
        <v>5</v>
      </c>
    </row>
    <row r="13" spans="1:37" x14ac:dyDescent="0.2">
      <c r="A13" s="62" t="s">
        <v>36</v>
      </c>
      <c r="B13" s="62" t="s">
        <v>61</v>
      </c>
      <c r="C13" s="62" t="s">
        <v>201</v>
      </c>
      <c r="D13" s="62"/>
      <c r="E13" s="62">
        <f t="shared" si="2"/>
        <v>13</v>
      </c>
      <c r="F13" s="128" t="s">
        <v>79</v>
      </c>
      <c r="G13" s="129">
        <v>21.668597914252604</v>
      </c>
      <c r="H13" s="129">
        <v>19.048683328957917</v>
      </c>
      <c r="I13" s="129">
        <v>24.539617043146286</v>
      </c>
      <c r="J13" s="129"/>
      <c r="K13" s="129"/>
      <c r="L13" s="129"/>
      <c r="M13" s="60">
        <f t="shared" si="0"/>
        <v>5</v>
      </c>
      <c r="N13" s="61">
        <f t="shared" si="3"/>
        <v>14.986376021798366</v>
      </c>
      <c r="O13" s="61">
        <f t="shared" si="16"/>
        <v>21.113689095127611</v>
      </c>
      <c r="P13" s="129">
        <f t="shared" si="4"/>
        <v>22.175305765870704</v>
      </c>
      <c r="Q13" s="129">
        <f t="shared" si="5"/>
        <v>21.208525450343544</v>
      </c>
      <c r="R13" s="129">
        <f t="shared" si="6"/>
        <v>23.173194894876563</v>
      </c>
      <c r="S13" s="61">
        <f t="shared" si="7"/>
        <v>23.246217331499313</v>
      </c>
      <c r="T13" s="61">
        <f t="shared" si="1"/>
        <v>26.717557251908396</v>
      </c>
      <c r="U13" s="61">
        <f t="shared" si="17"/>
        <v>22.82471626733922</v>
      </c>
      <c r="V13" s="61"/>
      <c r="Y13" s="159" t="s">
        <v>53</v>
      </c>
      <c r="Z13" s="159" t="s">
        <v>162</v>
      </c>
      <c r="AA13" s="159" t="s">
        <v>163</v>
      </c>
      <c r="AB13" s="159">
        <f>RANK(AH13,$AH$6:$AH$13,1)</f>
        <v>3</v>
      </c>
      <c r="AC13" s="164">
        <f t="shared" si="18"/>
        <v>18.827160493827158</v>
      </c>
      <c r="AD13" s="164">
        <f t="shared" si="9"/>
        <v>21.810182275298555</v>
      </c>
      <c r="AE13" s="159"/>
      <c r="AF13" s="159">
        <f t="shared" si="10"/>
        <v>5</v>
      </c>
      <c r="AG13" s="160" t="str">
        <f t="shared" si="11"/>
        <v>N/A</v>
      </c>
      <c r="AH13" s="161">
        <f t="shared" si="12"/>
        <v>20.809037900874635</v>
      </c>
      <c r="AI13" s="161">
        <f t="shared" si="13"/>
        <v>19.331492808602</v>
      </c>
      <c r="AJ13" s="161">
        <f t="shared" si="14"/>
        <v>22.368200423061406</v>
      </c>
      <c r="AK13" s="160">
        <f t="shared" si="15"/>
        <v>5</v>
      </c>
    </row>
    <row r="14" spans="1:37" x14ac:dyDescent="0.2">
      <c r="A14" s="62" t="s">
        <v>37</v>
      </c>
      <c r="B14" s="62" t="s">
        <v>157</v>
      </c>
      <c r="C14" s="62" t="s">
        <v>201</v>
      </c>
      <c r="D14" s="62"/>
      <c r="E14" s="62">
        <f t="shared" si="2"/>
        <v>25</v>
      </c>
      <c r="F14" s="128" t="s">
        <v>79</v>
      </c>
      <c r="G14" s="129">
        <v>26.666666666666668</v>
      </c>
      <c r="H14" s="129">
        <v>23.62655959423736</v>
      </c>
      <c r="I14" s="129">
        <v>29.944579813836818</v>
      </c>
      <c r="J14" s="129"/>
      <c r="K14" s="129"/>
      <c r="L14" s="129"/>
      <c r="M14" s="60">
        <f t="shared" si="0"/>
        <v>1</v>
      </c>
      <c r="N14" s="61">
        <f t="shared" si="3"/>
        <v>14.986376021798366</v>
      </c>
      <c r="O14" s="61">
        <f t="shared" si="16"/>
        <v>21.113689095127611</v>
      </c>
      <c r="P14" s="129">
        <f t="shared" si="4"/>
        <v>22.175305765870704</v>
      </c>
      <c r="Q14" s="129">
        <f t="shared" si="5"/>
        <v>21.208525450343544</v>
      </c>
      <c r="R14" s="129">
        <f t="shared" si="6"/>
        <v>23.173194894876563</v>
      </c>
      <c r="S14" s="61">
        <f t="shared" si="7"/>
        <v>23.246217331499313</v>
      </c>
      <c r="T14" s="61">
        <f t="shared" si="1"/>
        <v>26.717557251908396</v>
      </c>
      <c r="U14" s="61">
        <f t="shared" si="17"/>
        <v>22.82471626733922</v>
      </c>
      <c r="V14" s="61"/>
      <c r="Y14" s="162" t="s">
        <v>29</v>
      </c>
      <c r="Z14" s="162" t="s">
        <v>55</v>
      </c>
      <c r="AA14" s="162" t="s">
        <v>201</v>
      </c>
      <c r="AB14" s="162">
        <f>RANK(AH14,$AH$14:$AH$22,1)</f>
        <v>3</v>
      </c>
      <c r="AC14" s="165">
        <f t="shared" ref="AC14:AC22" si="19">MIN($AH$14:$AH$22)</f>
        <v>14.986376021798366</v>
      </c>
      <c r="AD14" s="165">
        <f>MAX($AH$14:$AH$22)</f>
        <v>26.666666666666668</v>
      </c>
      <c r="AE14" s="162"/>
      <c r="AF14" s="162">
        <f t="shared" si="10"/>
        <v>10</v>
      </c>
      <c r="AG14" s="167" t="str">
        <f t="shared" si="11"/>
        <v>N/A</v>
      </c>
      <c r="AH14" s="165">
        <f t="shared" si="12"/>
        <v>21.503496503496503</v>
      </c>
      <c r="AI14" s="165">
        <f t="shared" si="13"/>
        <v>18.332569855521179</v>
      </c>
      <c r="AJ14" s="165">
        <f t="shared" si="14"/>
        <v>25.054625525020167</v>
      </c>
      <c r="AK14" s="167">
        <f t="shared" si="15"/>
        <v>5</v>
      </c>
    </row>
    <row r="15" spans="1:37" x14ac:dyDescent="0.2">
      <c r="A15" s="62" t="s">
        <v>38</v>
      </c>
      <c r="B15" s="62" t="s">
        <v>62</v>
      </c>
      <c r="C15" s="62" t="s">
        <v>201</v>
      </c>
      <c r="D15" s="62"/>
      <c r="E15" s="62">
        <f t="shared" si="2"/>
        <v>15</v>
      </c>
      <c r="F15" s="128" t="s">
        <v>79</v>
      </c>
      <c r="G15" s="129">
        <v>22.307692307692307</v>
      </c>
      <c r="H15" s="129">
        <v>18.939946993687418</v>
      </c>
      <c r="I15" s="129">
        <v>26.081586687826778</v>
      </c>
      <c r="J15" s="129"/>
      <c r="K15" s="129"/>
      <c r="L15" s="129"/>
      <c r="M15" s="60">
        <f t="shared" si="0"/>
        <v>5</v>
      </c>
      <c r="N15" s="61">
        <f t="shared" si="3"/>
        <v>14.986376021798366</v>
      </c>
      <c r="O15" s="61">
        <f t="shared" si="16"/>
        <v>21.113689095127611</v>
      </c>
      <c r="P15" s="129">
        <f t="shared" si="4"/>
        <v>22.175305765870704</v>
      </c>
      <c r="Q15" s="129">
        <f t="shared" si="5"/>
        <v>21.208525450343544</v>
      </c>
      <c r="R15" s="129">
        <f t="shared" si="6"/>
        <v>23.173194894876563</v>
      </c>
      <c r="S15" s="61">
        <f t="shared" si="7"/>
        <v>23.246217331499313</v>
      </c>
      <c r="T15" s="61">
        <f t="shared" si="1"/>
        <v>26.717557251908396</v>
      </c>
      <c r="U15" s="61">
        <f t="shared" si="17"/>
        <v>22.82471626733922</v>
      </c>
      <c r="V15" s="61"/>
      <c r="Y15" s="162" t="s">
        <v>32</v>
      </c>
      <c r="Z15" s="162" t="s">
        <v>156</v>
      </c>
      <c r="AA15" s="162" t="s">
        <v>201</v>
      </c>
      <c r="AB15" s="162">
        <f>RANK(AH15,$AH$14:$AH$22,1)</f>
        <v>7</v>
      </c>
      <c r="AC15" s="165">
        <f t="shared" si="19"/>
        <v>14.986376021798366</v>
      </c>
      <c r="AD15" s="165">
        <f t="shared" ref="AD15:AD22" si="20">MAX($AH$14:$AH$22)</f>
        <v>26.666666666666668</v>
      </c>
      <c r="AE15" s="162"/>
      <c r="AF15" s="162">
        <f t="shared" si="10"/>
        <v>21</v>
      </c>
      <c r="AG15" s="167" t="str">
        <f t="shared" si="11"/>
        <v>N/A</v>
      </c>
      <c r="AH15" s="165">
        <f t="shared" si="12"/>
        <v>23.670827554322702</v>
      </c>
      <c r="AI15" s="165">
        <f t="shared" si="13"/>
        <v>21.927170435345385</v>
      </c>
      <c r="AJ15" s="165">
        <f t="shared" si="14"/>
        <v>25.507839386743669</v>
      </c>
      <c r="AK15" s="167">
        <f t="shared" si="15"/>
        <v>5</v>
      </c>
    </row>
    <row r="16" spans="1:37" x14ac:dyDescent="0.2">
      <c r="A16" s="62" t="s">
        <v>39</v>
      </c>
      <c r="B16" s="62" t="s">
        <v>158</v>
      </c>
      <c r="C16" s="62" t="s">
        <v>200</v>
      </c>
      <c r="D16" s="62"/>
      <c r="E16" s="62">
        <f t="shared" si="2"/>
        <v>16</v>
      </c>
      <c r="F16" s="128" t="s">
        <v>79</v>
      </c>
      <c r="G16" s="129">
        <v>22.454804947668887</v>
      </c>
      <c r="H16" s="129">
        <v>20.722099725082455</v>
      </c>
      <c r="I16" s="129">
        <v>24.28800561074377</v>
      </c>
      <c r="J16" s="129"/>
      <c r="K16" s="129"/>
      <c r="L16" s="129"/>
      <c r="M16" s="60">
        <f t="shared" si="0"/>
        <v>5</v>
      </c>
      <c r="N16" s="61">
        <f t="shared" si="3"/>
        <v>14.986376021798366</v>
      </c>
      <c r="O16" s="61">
        <f t="shared" si="16"/>
        <v>21.113689095127611</v>
      </c>
      <c r="P16" s="129">
        <f t="shared" si="4"/>
        <v>22.175305765870704</v>
      </c>
      <c r="Q16" s="129">
        <f t="shared" si="5"/>
        <v>21.208525450343544</v>
      </c>
      <c r="R16" s="129">
        <f t="shared" si="6"/>
        <v>23.173194894876563</v>
      </c>
      <c r="S16" s="61">
        <f t="shared" si="7"/>
        <v>23.246217331499313</v>
      </c>
      <c r="T16" s="61">
        <f t="shared" si="1"/>
        <v>26.717557251908396</v>
      </c>
      <c r="U16" s="61">
        <f t="shared" si="17"/>
        <v>23.15251572327044</v>
      </c>
      <c r="V16" s="61"/>
      <c r="Y16" s="162" t="s">
        <v>36</v>
      </c>
      <c r="Z16" s="162" t="s">
        <v>61</v>
      </c>
      <c r="AA16" s="162" t="s">
        <v>201</v>
      </c>
      <c r="AB16" s="162">
        <f>RANK(AH16,$AH$14:$AH$22,1)</f>
        <v>4</v>
      </c>
      <c r="AC16" s="165">
        <f t="shared" si="19"/>
        <v>14.986376021798366</v>
      </c>
      <c r="AD16" s="165">
        <f t="shared" si="20"/>
        <v>26.666666666666668</v>
      </c>
      <c r="AE16" s="162"/>
      <c r="AF16" s="162">
        <f t="shared" si="10"/>
        <v>13</v>
      </c>
      <c r="AG16" s="167" t="str">
        <f t="shared" si="11"/>
        <v>N/A</v>
      </c>
      <c r="AH16" s="165">
        <f t="shared" si="12"/>
        <v>21.668597914252604</v>
      </c>
      <c r="AI16" s="165">
        <f t="shared" si="13"/>
        <v>19.048683328957917</v>
      </c>
      <c r="AJ16" s="165">
        <f t="shared" si="14"/>
        <v>24.539617043146286</v>
      </c>
      <c r="AK16" s="167">
        <f t="shared" si="15"/>
        <v>5</v>
      </c>
    </row>
    <row r="17" spans="1:37" x14ac:dyDescent="0.2">
      <c r="A17" s="62" t="s">
        <v>40</v>
      </c>
      <c r="B17" s="62" t="s">
        <v>63</v>
      </c>
      <c r="C17" s="62" t="s">
        <v>200</v>
      </c>
      <c r="D17" s="62"/>
      <c r="E17" s="62">
        <f t="shared" si="2"/>
        <v>20</v>
      </c>
      <c r="F17" s="128" t="s">
        <v>79</v>
      </c>
      <c r="G17" s="129">
        <v>23.246217331499313</v>
      </c>
      <c r="H17" s="129">
        <v>20.321209528896432</v>
      </c>
      <c r="I17" s="129">
        <v>26.452472327124561</v>
      </c>
      <c r="J17" s="129"/>
      <c r="K17" s="129"/>
      <c r="L17" s="129"/>
      <c r="M17" s="60">
        <f t="shared" si="0"/>
        <v>5</v>
      </c>
      <c r="N17" s="61">
        <f t="shared" si="3"/>
        <v>14.986376021798366</v>
      </c>
      <c r="O17" s="61">
        <f t="shared" si="16"/>
        <v>21.113689095127611</v>
      </c>
      <c r="P17" s="129">
        <f t="shared" si="4"/>
        <v>22.175305765870704</v>
      </c>
      <c r="Q17" s="129">
        <f t="shared" si="5"/>
        <v>21.208525450343544</v>
      </c>
      <c r="R17" s="129">
        <f t="shared" si="6"/>
        <v>23.173194894876563</v>
      </c>
      <c r="S17" s="61">
        <f t="shared" si="7"/>
        <v>23.246217331499313</v>
      </c>
      <c r="T17" s="61">
        <f t="shared" si="1"/>
        <v>26.717557251908396</v>
      </c>
      <c r="U17" s="61">
        <f t="shared" si="17"/>
        <v>23.15251572327044</v>
      </c>
      <c r="V17" s="61"/>
      <c r="Y17" s="162" t="s">
        <v>37</v>
      </c>
      <c r="Z17" s="162" t="s">
        <v>157</v>
      </c>
      <c r="AA17" s="162" t="s">
        <v>201</v>
      </c>
      <c r="AB17" s="162">
        <f t="shared" ref="AB17:AB22" si="21">RANK(AH17,$AH$14:$AH$22,1)</f>
        <v>9</v>
      </c>
      <c r="AC17" s="165">
        <f t="shared" si="19"/>
        <v>14.986376021798366</v>
      </c>
      <c r="AD17" s="165">
        <f>MAX($AH$14:$AH$22)</f>
        <v>26.666666666666668</v>
      </c>
      <c r="AE17" s="162"/>
      <c r="AF17" s="162">
        <f t="shared" si="10"/>
        <v>25</v>
      </c>
      <c r="AG17" s="167" t="str">
        <f t="shared" si="11"/>
        <v>N/A</v>
      </c>
      <c r="AH17" s="165">
        <f t="shared" si="12"/>
        <v>26.666666666666668</v>
      </c>
      <c r="AI17" s="165">
        <f t="shared" si="13"/>
        <v>23.62655959423736</v>
      </c>
      <c r="AJ17" s="165">
        <f t="shared" si="14"/>
        <v>29.944579813836818</v>
      </c>
      <c r="AK17" s="167">
        <f t="shared" si="15"/>
        <v>1</v>
      </c>
    </row>
    <row r="18" spans="1:37" x14ac:dyDescent="0.2">
      <c r="A18" s="62" t="s">
        <v>41</v>
      </c>
      <c r="B18" s="62" t="s">
        <v>64</v>
      </c>
      <c r="C18" s="62" t="s">
        <v>163</v>
      </c>
      <c r="D18" s="62"/>
      <c r="E18" s="62">
        <f t="shared" si="2"/>
        <v>12</v>
      </c>
      <c r="F18" s="128" t="s">
        <v>79</v>
      </c>
      <c r="G18" s="129">
        <v>21.543026706231451</v>
      </c>
      <c r="H18" s="129">
        <v>19.645934618798723</v>
      </c>
      <c r="I18" s="129">
        <v>23.569575931868197</v>
      </c>
      <c r="J18" s="129"/>
      <c r="K18" s="129"/>
      <c r="L18" s="129"/>
      <c r="M18" s="60">
        <f t="shared" si="0"/>
        <v>5</v>
      </c>
      <c r="N18" s="61">
        <f t="shared" si="3"/>
        <v>14.986376021798366</v>
      </c>
      <c r="O18" s="61">
        <f t="shared" si="16"/>
        <v>21.113689095127611</v>
      </c>
      <c r="P18" s="129">
        <f t="shared" si="4"/>
        <v>22.175305765870704</v>
      </c>
      <c r="Q18" s="129">
        <f t="shared" si="5"/>
        <v>21.208525450343544</v>
      </c>
      <c r="R18" s="129">
        <f t="shared" si="6"/>
        <v>23.173194894876563</v>
      </c>
      <c r="S18" s="61">
        <f t="shared" si="7"/>
        <v>23.246217331499313</v>
      </c>
      <c r="T18" s="61">
        <f t="shared" si="1"/>
        <v>26.717557251908396</v>
      </c>
      <c r="U18" s="61">
        <f t="shared" si="17"/>
        <v>20.891161431701974</v>
      </c>
      <c r="V18" s="61"/>
      <c r="Y18" s="162" t="s">
        <v>38</v>
      </c>
      <c r="Z18" s="162" t="s">
        <v>62</v>
      </c>
      <c r="AA18" s="162" t="s">
        <v>201</v>
      </c>
      <c r="AB18" s="162">
        <f t="shared" si="21"/>
        <v>5</v>
      </c>
      <c r="AC18" s="165">
        <f t="shared" si="19"/>
        <v>14.986376021798366</v>
      </c>
      <c r="AD18" s="165">
        <f t="shared" si="20"/>
        <v>26.666666666666668</v>
      </c>
      <c r="AE18" s="162"/>
      <c r="AF18" s="162">
        <f t="shared" si="10"/>
        <v>15</v>
      </c>
      <c r="AG18" s="167" t="str">
        <f t="shared" si="11"/>
        <v>N/A</v>
      </c>
      <c r="AH18" s="165">
        <f t="shared" si="12"/>
        <v>22.307692307692307</v>
      </c>
      <c r="AI18" s="165">
        <f t="shared" si="13"/>
        <v>18.939946993687418</v>
      </c>
      <c r="AJ18" s="165">
        <f t="shared" si="14"/>
        <v>26.081586687826778</v>
      </c>
      <c r="AK18" s="167">
        <f t="shared" si="15"/>
        <v>5</v>
      </c>
    </row>
    <row r="19" spans="1:37" x14ac:dyDescent="0.2">
      <c r="A19" s="62" t="s">
        <v>42</v>
      </c>
      <c r="B19" s="62" t="s">
        <v>65</v>
      </c>
      <c r="C19" s="62" t="s">
        <v>200</v>
      </c>
      <c r="D19" s="62"/>
      <c r="E19" s="62">
        <f t="shared" si="2"/>
        <v>26</v>
      </c>
      <c r="F19" s="128" t="s">
        <v>79</v>
      </c>
      <c r="G19" s="129">
        <v>26.717557251908396</v>
      </c>
      <c r="H19" s="129">
        <v>22.583609771276112</v>
      </c>
      <c r="I19" s="129">
        <v>31.30225675491128</v>
      </c>
      <c r="J19" s="129"/>
      <c r="K19" s="129"/>
      <c r="L19" s="129"/>
      <c r="M19" s="60">
        <f t="shared" si="0"/>
        <v>5</v>
      </c>
      <c r="N19" s="61">
        <f t="shared" si="3"/>
        <v>14.986376021798366</v>
      </c>
      <c r="O19" s="61">
        <f t="shared" si="16"/>
        <v>21.113689095127611</v>
      </c>
      <c r="P19" s="129">
        <f t="shared" si="4"/>
        <v>22.175305765870704</v>
      </c>
      <c r="Q19" s="129">
        <f t="shared" si="5"/>
        <v>21.208525450343544</v>
      </c>
      <c r="R19" s="129">
        <f t="shared" si="6"/>
        <v>23.173194894876563</v>
      </c>
      <c r="S19" s="61">
        <f t="shared" si="7"/>
        <v>23.246217331499313</v>
      </c>
      <c r="T19" s="61">
        <f t="shared" si="1"/>
        <v>26.717557251908396</v>
      </c>
      <c r="U19" s="61">
        <f t="shared" si="17"/>
        <v>23.15251572327044</v>
      </c>
      <c r="V19" s="61"/>
      <c r="Y19" s="162" t="s">
        <v>43</v>
      </c>
      <c r="Z19" s="162" t="s">
        <v>159</v>
      </c>
      <c r="AA19" s="162" t="s">
        <v>201</v>
      </c>
      <c r="AB19" s="162">
        <f t="shared" si="21"/>
        <v>6</v>
      </c>
      <c r="AC19" s="165">
        <f t="shared" si="19"/>
        <v>14.986376021798366</v>
      </c>
      <c r="AD19" s="165">
        <f t="shared" si="20"/>
        <v>26.666666666666668</v>
      </c>
      <c r="AE19" s="162"/>
      <c r="AF19" s="162">
        <f t="shared" si="10"/>
        <v>19</v>
      </c>
      <c r="AG19" s="167" t="str">
        <f t="shared" si="11"/>
        <v>N/A</v>
      </c>
      <c r="AH19" s="165">
        <f t="shared" si="12"/>
        <v>22.760290556900728</v>
      </c>
      <c r="AI19" s="165">
        <f t="shared" si="13"/>
        <v>20.030877767002227</v>
      </c>
      <c r="AJ19" s="165">
        <f t="shared" si="14"/>
        <v>25.741896632639744</v>
      </c>
      <c r="AK19" s="167">
        <f t="shared" si="15"/>
        <v>5</v>
      </c>
    </row>
    <row r="20" spans="1:37" x14ac:dyDescent="0.2">
      <c r="A20" s="62" t="s">
        <v>43</v>
      </c>
      <c r="B20" s="62" t="s">
        <v>159</v>
      </c>
      <c r="C20" s="62" t="s">
        <v>201</v>
      </c>
      <c r="D20" s="62"/>
      <c r="E20" s="62">
        <f t="shared" si="2"/>
        <v>19</v>
      </c>
      <c r="F20" s="128" t="s">
        <v>79</v>
      </c>
      <c r="G20" s="129">
        <v>22.760290556900728</v>
      </c>
      <c r="H20" s="129">
        <v>20.030877767002227</v>
      </c>
      <c r="I20" s="129">
        <v>25.741896632639744</v>
      </c>
      <c r="J20" s="129"/>
      <c r="K20" s="129"/>
      <c r="L20" s="129"/>
      <c r="M20" s="60">
        <f t="shared" si="0"/>
        <v>5</v>
      </c>
      <c r="N20" s="61">
        <f t="shared" si="3"/>
        <v>14.986376021798366</v>
      </c>
      <c r="O20" s="61">
        <f t="shared" si="16"/>
        <v>21.113689095127611</v>
      </c>
      <c r="P20" s="129">
        <f t="shared" si="4"/>
        <v>22.175305765870704</v>
      </c>
      <c r="Q20" s="129">
        <f t="shared" si="5"/>
        <v>21.208525450343544</v>
      </c>
      <c r="R20" s="129">
        <f t="shared" si="6"/>
        <v>23.173194894876563</v>
      </c>
      <c r="S20" s="61">
        <f t="shared" si="7"/>
        <v>23.246217331499313</v>
      </c>
      <c r="T20" s="61">
        <f t="shared" si="1"/>
        <v>26.717557251908396</v>
      </c>
      <c r="U20" s="61">
        <f t="shared" si="17"/>
        <v>22.82471626733922</v>
      </c>
      <c r="V20" s="61"/>
      <c r="Y20" s="162" t="s">
        <v>48</v>
      </c>
      <c r="Z20" s="162" t="s">
        <v>160</v>
      </c>
      <c r="AA20" s="162" t="s">
        <v>201</v>
      </c>
      <c r="AB20" s="162">
        <f t="shared" si="21"/>
        <v>1</v>
      </c>
      <c r="AC20" s="165">
        <f t="shared" si="19"/>
        <v>14.986376021798366</v>
      </c>
      <c r="AD20" s="165">
        <f t="shared" si="20"/>
        <v>26.666666666666668</v>
      </c>
      <c r="AE20" s="162"/>
      <c r="AF20" s="162">
        <f t="shared" si="10"/>
        <v>1</v>
      </c>
      <c r="AG20" s="167" t="str">
        <f t="shared" si="11"/>
        <v>N/A</v>
      </c>
      <c r="AH20" s="165">
        <f t="shared" si="12"/>
        <v>14.986376021798366</v>
      </c>
      <c r="AI20" s="165">
        <f t="shared" si="13"/>
        <v>11.698170979967806</v>
      </c>
      <c r="AJ20" s="165">
        <f t="shared" si="14"/>
        <v>18.999976735964278</v>
      </c>
      <c r="AK20" s="167">
        <f t="shared" si="15"/>
        <v>2</v>
      </c>
    </row>
    <row r="21" spans="1:37" x14ac:dyDescent="0.2">
      <c r="A21" s="62" t="s">
        <v>44</v>
      </c>
      <c r="B21" s="62" t="s">
        <v>66</v>
      </c>
      <c r="C21" s="62" t="s">
        <v>200</v>
      </c>
      <c r="D21" s="62"/>
      <c r="E21" s="62">
        <f t="shared" si="2"/>
        <v>3</v>
      </c>
      <c r="F21" s="128" t="s">
        <v>79</v>
      </c>
      <c r="G21" s="129">
        <v>18.939393939393938</v>
      </c>
      <c r="H21" s="129">
        <v>15.826188415225632</v>
      </c>
      <c r="I21" s="129">
        <v>22.501297236737724</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5</v>
      </c>
      <c r="N21" s="61">
        <f t="shared" si="3"/>
        <v>14.986376021798366</v>
      </c>
      <c r="O21" s="61">
        <f t="shared" si="16"/>
        <v>21.113689095127611</v>
      </c>
      <c r="P21" s="129">
        <f t="shared" si="4"/>
        <v>22.175305765870704</v>
      </c>
      <c r="Q21" s="129">
        <f t="shared" si="5"/>
        <v>21.208525450343544</v>
      </c>
      <c r="R21" s="129">
        <f t="shared" si="6"/>
        <v>23.173194894876563</v>
      </c>
      <c r="S21" s="61">
        <f t="shared" si="7"/>
        <v>23.246217331499313</v>
      </c>
      <c r="T21" s="61">
        <f t="shared" si="1"/>
        <v>26.717557251908396</v>
      </c>
      <c r="U21" s="61">
        <f t="shared" si="17"/>
        <v>23.15251572327044</v>
      </c>
      <c r="V21" s="61"/>
      <c r="Y21" s="162" t="s">
        <v>52</v>
      </c>
      <c r="Z21" s="162" t="s">
        <v>72</v>
      </c>
      <c r="AA21" s="162" t="s">
        <v>201</v>
      </c>
      <c r="AB21" s="162">
        <f t="shared" si="21"/>
        <v>8</v>
      </c>
      <c r="AC21" s="165">
        <f t="shared" si="19"/>
        <v>14.986376021798366</v>
      </c>
      <c r="AD21" s="165">
        <f t="shared" si="20"/>
        <v>26.666666666666668</v>
      </c>
      <c r="AE21" s="162"/>
      <c r="AF21" s="162">
        <f t="shared" si="10"/>
        <v>24</v>
      </c>
      <c r="AG21" s="167" t="str">
        <f t="shared" si="11"/>
        <v>N/A</v>
      </c>
      <c r="AH21" s="165">
        <f t="shared" si="12"/>
        <v>26.589595375722542</v>
      </c>
      <c r="AI21" s="165">
        <f t="shared" si="13"/>
        <v>20.566658343382503</v>
      </c>
      <c r="AJ21" s="165">
        <f t="shared" si="14"/>
        <v>33.629602793476366</v>
      </c>
      <c r="AK21" s="167">
        <f t="shared" si="15"/>
        <v>5</v>
      </c>
    </row>
    <row r="22" spans="1:37" x14ac:dyDescent="0.2">
      <c r="A22" s="62" t="s">
        <v>45</v>
      </c>
      <c r="B22" s="62" t="s">
        <v>67</v>
      </c>
      <c r="C22" s="62" t="s">
        <v>163</v>
      </c>
      <c r="D22" s="62"/>
      <c r="E22" s="62">
        <f t="shared" si="2"/>
        <v>8</v>
      </c>
      <c r="F22" s="128" t="s">
        <v>79</v>
      </c>
      <c r="G22" s="129">
        <v>21.348314606741575</v>
      </c>
      <c r="H22" s="129">
        <v>19.234061019258188</v>
      </c>
      <c r="I22" s="129">
        <v>23.626985375746415</v>
      </c>
      <c r="J22" s="129"/>
      <c r="K22" s="129"/>
      <c r="L22" s="129"/>
      <c r="M22" s="60">
        <f t="shared" si="0"/>
        <v>5</v>
      </c>
      <c r="N22" s="61">
        <f t="shared" si="3"/>
        <v>14.986376021798366</v>
      </c>
      <c r="O22" s="61">
        <f t="shared" si="16"/>
        <v>21.113689095127611</v>
      </c>
      <c r="P22" s="129">
        <f t="shared" si="4"/>
        <v>22.175305765870704</v>
      </c>
      <c r="Q22" s="129">
        <f t="shared" si="5"/>
        <v>21.208525450343544</v>
      </c>
      <c r="R22" s="129">
        <f t="shared" si="6"/>
        <v>23.173194894876563</v>
      </c>
      <c r="S22" s="61">
        <f t="shared" si="7"/>
        <v>23.246217331499313</v>
      </c>
      <c r="T22" s="61">
        <f t="shared" si="1"/>
        <v>26.717557251908396</v>
      </c>
      <c r="U22" s="61">
        <f>VLOOKUP(C22,$C$43:$I$46,5,FALSE)</f>
        <v>20.891161431701974</v>
      </c>
      <c r="V22" s="61"/>
      <c r="Y22" s="162" t="s">
        <v>54</v>
      </c>
      <c r="Z22" s="162" t="s">
        <v>73</v>
      </c>
      <c r="AA22" s="162" t="s">
        <v>201</v>
      </c>
      <c r="AB22" s="162">
        <f t="shared" si="21"/>
        <v>2</v>
      </c>
      <c r="AC22" s="165">
        <f t="shared" si="19"/>
        <v>14.986376021798366</v>
      </c>
      <c r="AD22" s="165">
        <f t="shared" si="20"/>
        <v>26.666666666666668</v>
      </c>
      <c r="AE22" s="162"/>
      <c r="AF22" s="162">
        <f t="shared" si="10"/>
        <v>9</v>
      </c>
      <c r="AG22" s="167" t="str">
        <f t="shared" si="11"/>
        <v>N/A</v>
      </c>
      <c r="AH22" s="165">
        <f t="shared" si="12"/>
        <v>21.497120921305182</v>
      </c>
      <c r="AI22" s="165">
        <f t="shared" si="13"/>
        <v>18.185027309357672</v>
      </c>
      <c r="AJ22" s="165">
        <f t="shared" si="14"/>
        <v>25.226455337735089</v>
      </c>
      <c r="AK22" s="167">
        <f t="shared" si="15"/>
        <v>5</v>
      </c>
    </row>
    <row r="23" spans="1:37" x14ac:dyDescent="0.2">
      <c r="A23" s="62" t="s">
        <v>46</v>
      </c>
      <c r="B23" s="62" t="s">
        <v>68</v>
      </c>
      <c r="C23" s="62" t="s">
        <v>163</v>
      </c>
      <c r="D23" s="62"/>
      <c r="E23" s="62">
        <f t="shared" si="2"/>
        <v>10</v>
      </c>
      <c r="F23" s="128" t="s">
        <v>79</v>
      </c>
      <c r="G23" s="129">
        <v>21.503496503496503</v>
      </c>
      <c r="H23" s="129">
        <v>19.624397191868827</v>
      </c>
      <c r="I23" s="129">
        <v>23.509896089407196</v>
      </c>
      <c r="J23" s="129"/>
      <c r="K23" s="129"/>
      <c r="L23" s="129"/>
      <c r="M23" s="60">
        <f t="shared" si="0"/>
        <v>5</v>
      </c>
      <c r="N23" s="61">
        <f t="shared" si="3"/>
        <v>14.986376021798366</v>
      </c>
      <c r="O23" s="61">
        <f t="shared" si="16"/>
        <v>21.113689095127611</v>
      </c>
      <c r="P23" s="129">
        <f t="shared" si="4"/>
        <v>22.175305765870704</v>
      </c>
      <c r="Q23" s="129">
        <f t="shared" si="5"/>
        <v>21.208525450343544</v>
      </c>
      <c r="R23" s="129">
        <f t="shared" si="6"/>
        <v>23.173194894876563</v>
      </c>
      <c r="S23" s="61">
        <f t="shared" si="7"/>
        <v>23.246217331499313</v>
      </c>
      <c r="T23" s="61">
        <f t="shared" si="1"/>
        <v>26.717557251908396</v>
      </c>
      <c r="U23" s="61">
        <f t="shared" si="17"/>
        <v>20.891161431701974</v>
      </c>
      <c r="V23" s="61"/>
      <c r="Y23" s="163" t="s">
        <v>30</v>
      </c>
      <c r="Z23" s="163" t="s">
        <v>56</v>
      </c>
      <c r="AA23" s="163" t="s">
        <v>200</v>
      </c>
      <c r="AB23" s="163">
        <f>RANK(AH23,$AH$23:$AH$31,1)</f>
        <v>7</v>
      </c>
      <c r="AC23" s="166">
        <f>MIN($AH$23:$AH$31)</f>
        <v>18.939393939393938</v>
      </c>
      <c r="AD23" s="166">
        <f>MAX($AH$23:$AH$31)</f>
        <v>26.717557251908396</v>
      </c>
      <c r="AE23" s="163"/>
      <c r="AF23" s="163">
        <f t="shared" si="10"/>
        <v>22</v>
      </c>
      <c r="AG23" s="168" t="str">
        <f t="shared" si="11"/>
        <v>N/A</v>
      </c>
      <c r="AH23" s="166">
        <f t="shared" si="12"/>
        <v>24.280782508630612</v>
      </c>
      <c r="AI23" s="166">
        <f t="shared" si="13"/>
        <v>21.547165932402972</v>
      </c>
      <c r="AJ23" s="166">
        <f t="shared" si="14"/>
        <v>27.240784561613808</v>
      </c>
      <c r="AK23" s="168">
        <f t="shared" si="15"/>
        <v>5</v>
      </c>
    </row>
    <row r="24" spans="1:37" x14ac:dyDescent="0.2">
      <c r="A24" s="62" t="s">
        <v>47</v>
      </c>
      <c r="B24" s="62" t="s">
        <v>69</v>
      </c>
      <c r="C24" s="62" t="s">
        <v>163</v>
      </c>
      <c r="D24" s="62"/>
      <c r="E24" s="62">
        <f t="shared" si="2"/>
        <v>2</v>
      </c>
      <c r="F24" s="128" t="s">
        <v>79</v>
      </c>
      <c r="G24" s="129">
        <v>18.827160493827158</v>
      </c>
      <c r="H24" s="129">
        <v>14.945000126692193</v>
      </c>
      <c r="I24" s="129">
        <v>23.439851890916849</v>
      </c>
      <c r="J24" s="129"/>
      <c r="K24" s="129"/>
      <c r="L24" s="129"/>
      <c r="M24" s="60">
        <f t="shared" si="0"/>
        <v>5</v>
      </c>
      <c r="N24" s="61">
        <f t="shared" si="3"/>
        <v>14.986376021798366</v>
      </c>
      <c r="O24" s="61">
        <f t="shared" si="16"/>
        <v>21.113689095127611</v>
      </c>
      <c r="P24" s="129">
        <f t="shared" si="4"/>
        <v>22.175305765870704</v>
      </c>
      <c r="Q24" s="129">
        <f t="shared" si="5"/>
        <v>21.208525450343544</v>
      </c>
      <c r="R24" s="129">
        <f t="shared" si="6"/>
        <v>23.173194894876563</v>
      </c>
      <c r="S24" s="61">
        <f t="shared" si="7"/>
        <v>23.246217331499313</v>
      </c>
      <c r="T24" s="61">
        <f t="shared" si="1"/>
        <v>26.717557251908396</v>
      </c>
      <c r="U24" s="61">
        <f t="shared" si="17"/>
        <v>20.891161431701974</v>
      </c>
      <c r="V24" s="61"/>
      <c r="Y24" s="163" t="s">
        <v>31</v>
      </c>
      <c r="Z24" s="163" t="s">
        <v>57</v>
      </c>
      <c r="AA24" s="163" t="s">
        <v>200</v>
      </c>
      <c r="AB24" s="163">
        <f t="shared" ref="AB24:AB31" si="22">RANK(AH24,$AH$23:$AH$31,1)</f>
        <v>5</v>
      </c>
      <c r="AC24" s="166">
        <f t="shared" ref="AC24:AC31" si="23">MIN($AH$23:$AH$31)</f>
        <v>18.939393939393938</v>
      </c>
      <c r="AD24" s="166">
        <f t="shared" ref="AD24:AD31" si="24">MAX($AH$23:$AH$31)</f>
        <v>26.717557251908396</v>
      </c>
      <c r="AE24" s="163"/>
      <c r="AF24" s="163">
        <f t="shared" si="10"/>
        <v>18</v>
      </c>
      <c r="AG24" s="168" t="str">
        <f t="shared" si="11"/>
        <v>N/A</v>
      </c>
      <c r="AH24" s="166">
        <f t="shared" si="12"/>
        <v>22.663252240717028</v>
      </c>
      <c r="AI24" s="166">
        <f t="shared" si="13"/>
        <v>21.013615004223784</v>
      </c>
      <c r="AJ24" s="166">
        <f t="shared" si="14"/>
        <v>24.402382519370651</v>
      </c>
      <c r="AK24" s="168">
        <f t="shared" si="15"/>
        <v>5</v>
      </c>
    </row>
    <row r="25" spans="1:37" x14ac:dyDescent="0.2">
      <c r="A25" s="62" t="s">
        <v>48</v>
      </c>
      <c r="B25" s="62" t="s">
        <v>160</v>
      </c>
      <c r="C25" s="62" t="s">
        <v>201</v>
      </c>
      <c r="D25" s="62"/>
      <c r="E25" s="62">
        <f t="shared" si="2"/>
        <v>1</v>
      </c>
      <c r="F25" s="128" t="s">
        <v>79</v>
      </c>
      <c r="G25" s="129">
        <v>14.986376021798366</v>
      </c>
      <c r="H25" s="129">
        <v>11.698170979967806</v>
      </c>
      <c r="I25" s="129">
        <v>18.999976735964278</v>
      </c>
      <c r="J25" s="129"/>
      <c r="K25" s="129"/>
      <c r="L25" s="129"/>
      <c r="M25" s="60">
        <f t="shared" si="0"/>
        <v>2</v>
      </c>
      <c r="N25" s="61">
        <f t="shared" si="3"/>
        <v>14.986376021798366</v>
      </c>
      <c r="O25" s="61">
        <f t="shared" si="16"/>
        <v>21.113689095127611</v>
      </c>
      <c r="P25" s="129">
        <f t="shared" si="4"/>
        <v>22.175305765870704</v>
      </c>
      <c r="Q25" s="129">
        <f t="shared" si="5"/>
        <v>21.208525450343544</v>
      </c>
      <c r="R25" s="129">
        <f t="shared" si="6"/>
        <v>23.173194894876563</v>
      </c>
      <c r="S25" s="61">
        <f t="shared" si="7"/>
        <v>23.246217331499313</v>
      </c>
      <c r="T25" s="61">
        <f t="shared" si="1"/>
        <v>26.717557251908396</v>
      </c>
      <c r="U25" s="61">
        <f t="shared" si="17"/>
        <v>22.82471626733922</v>
      </c>
      <c r="V25" s="61"/>
      <c r="Y25" s="163" t="s">
        <v>34</v>
      </c>
      <c r="Z25" s="163" t="s">
        <v>59</v>
      </c>
      <c r="AA25" s="163" t="s">
        <v>200</v>
      </c>
      <c r="AB25" s="163">
        <f t="shared" si="22"/>
        <v>4</v>
      </c>
      <c r="AC25" s="166">
        <f t="shared" si="23"/>
        <v>18.939393939393938</v>
      </c>
      <c r="AD25" s="166">
        <f t="shared" si="24"/>
        <v>26.717557251908396</v>
      </c>
      <c r="AE25" s="163"/>
      <c r="AF25" s="163">
        <f t="shared" si="10"/>
        <v>17</v>
      </c>
      <c r="AG25" s="168" t="str">
        <f t="shared" si="11"/>
        <v>N/A</v>
      </c>
      <c r="AH25" s="166">
        <f t="shared" si="12"/>
        <v>22.550750220653132</v>
      </c>
      <c r="AI25" s="166">
        <f t="shared" si="13"/>
        <v>20.87732599195942</v>
      </c>
      <c r="AJ25" s="166">
        <f t="shared" si="14"/>
        <v>24.317084165377043</v>
      </c>
      <c r="AK25" s="168">
        <f t="shared" si="15"/>
        <v>5</v>
      </c>
    </row>
    <row r="26" spans="1:37" x14ac:dyDescent="0.2">
      <c r="A26" s="62" t="s">
        <v>49</v>
      </c>
      <c r="B26" s="62" t="s">
        <v>70</v>
      </c>
      <c r="C26" s="62" t="s">
        <v>200</v>
      </c>
      <c r="D26" s="62"/>
      <c r="E26" s="62">
        <f t="shared" si="2"/>
        <v>7</v>
      </c>
      <c r="F26" s="128" t="s">
        <v>79</v>
      </c>
      <c r="G26" s="129">
        <v>21.113689095127611</v>
      </c>
      <c r="H26" s="129">
        <v>18.520438806202343</v>
      </c>
      <c r="I26" s="129">
        <v>23.963257842108636</v>
      </c>
      <c r="J26" s="129"/>
      <c r="K26" s="129"/>
      <c r="L26" s="129"/>
      <c r="M26" s="60">
        <f t="shared" si="0"/>
        <v>5</v>
      </c>
      <c r="N26" s="61">
        <f t="shared" si="3"/>
        <v>14.986376021798366</v>
      </c>
      <c r="O26" s="61">
        <f t="shared" si="16"/>
        <v>21.113689095127611</v>
      </c>
      <c r="P26" s="129">
        <f t="shared" si="4"/>
        <v>22.175305765870704</v>
      </c>
      <c r="Q26" s="129">
        <f t="shared" si="5"/>
        <v>21.208525450343544</v>
      </c>
      <c r="R26" s="129">
        <f t="shared" si="6"/>
        <v>23.173194894876563</v>
      </c>
      <c r="S26" s="61">
        <f t="shared" si="7"/>
        <v>23.246217331499313</v>
      </c>
      <c r="T26" s="61">
        <f t="shared" si="1"/>
        <v>26.717557251908396</v>
      </c>
      <c r="U26" s="61">
        <f t="shared" si="17"/>
        <v>23.15251572327044</v>
      </c>
      <c r="V26" s="61"/>
      <c r="Y26" s="163" t="s">
        <v>39</v>
      </c>
      <c r="Z26" s="163" t="s">
        <v>158</v>
      </c>
      <c r="AA26" s="163" t="s">
        <v>200</v>
      </c>
      <c r="AB26" s="163">
        <f t="shared" si="22"/>
        <v>3</v>
      </c>
      <c r="AC26" s="166">
        <f t="shared" si="23"/>
        <v>18.939393939393938</v>
      </c>
      <c r="AD26" s="166">
        <f t="shared" si="24"/>
        <v>26.717557251908396</v>
      </c>
      <c r="AE26" s="163"/>
      <c r="AF26" s="163">
        <f t="shared" si="10"/>
        <v>16</v>
      </c>
      <c r="AG26" s="168" t="str">
        <f t="shared" si="11"/>
        <v>N/A</v>
      </c>
      <c r="AH26" s="166">
        <f t="shared" si="12"/>
        <v>22.454804947668887</v>
      </c>
      <c r="AI26" s="166">
        <f t="shared" si="13"/>
        <v>20.722099725082455</v>
      </c>
      <c r="AJ26" s="166">
        <f t="shared" si="14"/>
        <v>24.28800561074377</v>
      </c>
      <c r="AK26" s="168">
        <f t="shared" si="15"/>
        <v>5</v>
      </c>
    </row>
    <row r="27" spans="1:37" x14ac:dyDescent="0.2">
      <c r="A27" s="62" t="s">
        <v>50</v>
      </c>
      <c r="B27" s="62" t="s">
        <v>161</v>
      </c>
      <c r="C27" s="62" t="s">
        <v>163</v>
      </c>
      <c r="D27" s="62"/>
      <c r="E27" s="62">
        <f t="shared" si="2"/>
        <v>6</v>
      </c>
      <c r="F27" s="128" t="s">
        <v>79</v>
      </c>
      <c r="G27" s="129">
        <v>20.86021505376344</v>
      </c>
      <c r="H27" s="129">
        <v>18.371365738440893</v>
      </c>
      <c r="I27" s="129">
        <v>23.588803744239055</v>
      </c>
      <c r="J27" s="129"/>
      <c r="K27" s="129"/>
      <c r="L27" s="129"/>
      <c r="M27" s="60">
        <f t="shared" si="0"/>
        <v>5</v>
      </c>
      <c r="N27" s="61">
        <f t="shared" si="3"/>
        <v>14.986376021798366</v>
      </c>
      <c r="O27" s="61">
        <f t="shared" si="16"/>
        <v>21.113689095127611</v>
      </c>
      <c r="P27" s="129">
        <f t="shared" si="4"/>
        <v>22.175305765870704</v>
      </c>
      <c r="Q27" s="129">
        <f t="shared" si="5"/>
        <v>21.208525450343544</v>
      </c>
      <c r="R27" s="129">
        <f t="shared" si="6"/>
        <v>23.173194894876563</v>
      </c>
      <c r="S27" s="61">
        <f t="shared" si="7"/>
        <v>23.246217331499313</v>
      </c>
      <c r="T27" s="61">
        <f t="shared" si="1"/>
        <v>26.717557251908396</v>
      </c>
      <c r="U27" s="61">
        <f t="shared" si="17"/>
        <v>20.891161431701974</v>
      </c>
      <c r="V27" s="61"/>
      <c r="Y27" s="163" t="s">
        <v>40</v>
      </c>
      <c r="Z27" s="163" t="s">
        <v>63</v>
      </c>
      <c r="AA27" s="163" t="s">
        <v>200</v>
      </c>
      <c r="AB27" s="163">
        <f t="shared" si="22"/>
        <v>6</v>
      </c>
      <c r="AC27" s="166">
        <f t="shared" si="23"/>
        <v>18.939393939393938</v>
      </c>
      <c r="AD27" s="166">
        <f t="shared" si="24"/>
        <v>26.717557251908396</v>
      </c>
      <c r="AE27" s="163"/>
      <c r="AF27" s="163">
        <f t="shared" si="10"/>
        <v>20</v>
      </c>
      <c r="AG27" s="168" t="str">
        <f t="shared" si="11"/>
        <v>N/A</v>
      </c>
      <c r="AH27" s="166">
        <f t="shared" si="12"/>
        <v>23.246217331499313</v>
      </c>
      <c r="AI27" s="166">
        <f t="shared" si="13"/>
        <v>20.321209528896432</v>
      </c>
      <c r="AJ27" s="166">
        <f t="shared" si="14"/>
        <v>26.452472327124561</v>
      </c>
      <c r="AK27" s="168">
        <f t="shared" si="15"/>
        <v>5</v>
      </c>
    </row>
    <row r="28" spans="1:37" x14ac:dyDescent="0.2">
      <c r="A28" s="62" t="s">
        <v>51</v>
      </c>
      <c r="B28" s="62" t="s">
        <v>71</v>
      </c>
      <c r="C28" s="62" t="s">
        <v>200</v>
      </c>
      <c r="D28" s="62"/>
      <c r="E28" s="62">
        <f t="shared" si="2"/>
        <v>23</v>
      </c>
      <c r="F28" s="128" t="s">
        <v>79</v>
      </c>
      <c r="G28" s="129">
        <v>24.293286219081271</v>
      </c>
      <c r="H28" s="129">
        <v>21.884694496138341</v>
      </c>
      <c r="I28" s="129">
        <v>26.875760100731988</v>
      </c>
      <c r="J28" s="129"/>
      <c r="K28" s="129"/>
      <c r="L28" s="129"/>
      <c r="M28" s="60">
        <f t="shared" si="0"/>
        <v>5</v>
      </c>
      <c r="N28" s="61">
        <f t="shared" si="3"/>
        <v>14.986376021798366</v>
      </c>
      <c r="O28" s="61">
        <f t="shared" si="16"/>
        <v>21.113689095127611</v>
      </c>
      <c r="P28" s="129">
        <f t="shared" si="4"/>
        <v>22.175305765870704</v>
      </c>
      <c r="Q28" s="129">
        <f t="shared" si="5"/>
        <v>21.208525450343544</v>
      </c>
      <c r="R28" s="129">
        <f t="shared" si="6"/>
        <v>23.173194894876563</v>
      </c>
      <c r="S28" s="61">
        <f t="shared" si="7"/>
        <v>23.246217331499313</v>
      </c>
      <c r="T28" s="61">
        <f t="shared" si="1"/>
        <v>26.717557251908396</v>
      </c>
      <c r="U28" s="61">
        <f t="shared" si="17"/>
        <v>23.15251572327044</v>
      </c>
      <c r="V28" s="61"/>
      <c r="Y28" s="163" t="s">
        <v>42</v>
      </c>
      <c r="Z28" s="163" t="s">
        <v>65</v>
      </c>
      <c r="AA28" s="163" t="s">
        <v>200</v>
      </c>
      <c r="AB28" s="163">
        <f t="shared" si="22"/>
        <v>9</v>
      </c>
      <c r="AC28" s="166">
        <f t="shared" si="23"/>
        <v>18.939393939393938</v>
      </c>
      <c r="AD28" s="166">
        <f t="shared" si="24"/>
        <v>26.717557251908396</v>
      </c>
      <c r="AE28" s="163"/>
      <c r="AF28" s="163">
        <f t="shared" si="10"/>
        <v>26</v>
      </c>
      <c r="AG28" s="168" t="str">
        <f t="shared" si="11"/>
        <v>N/A</v>
      </c>
      <c r="AH28" s="166">
        <f t="shared" si="12"/>
        <v>26.717557251908396</v>
      </c>
      <c r="AI28" s="166">
        <f t="shared" si="13"/>
        <v>22.583609771276112</v>
      </c>
      <c r="AJ28" s="166">
        <f t="shared" si="14"/>
        <v>31.30225675491128</v>
      </c>
      <c r="AK28" s="168">
        <f t="shared" si="15"/>
        <v>5</v>
      </c>
    </row>
    <row r="29" spans="1:37" x14ac:dyDescent="0.2">
      <c r="A29" s="62" t="s">
        <v>52</v>
      </c>
      <c r="B29" s="62" t="s">
        <v>72</v>
      </c>
      <c r="C29" s="62" t="s">
        <v>201</v>
      </c>
      <c r="D29" s="62"/>
      <c r="E29" s="62">
        <f t="shared" si="2"/>
        <v>24</v>
      </c>
      <c r="F29" s="128" t="s">
        <v>79</v>
      </c>
      <c r="G29" s="129">
        <v>26.589595375722542</v>
      </c>
      <c r="H29" s="129">
        <v>20.566658343382503</v>
      </c>
      <c r="I29" s="129">
        <v>33.629602793476366</v>
      </c>
      <c r="J29" s="129"/>
      <c r="K29" s="129"/>
      <c r="L29" s="129"/>
      <c r="M29" s="60">
        <f t="shared" si="0"/>
        <v>5</v>
      </c>
      <c r="N29" s="61">
        <f t="shared" si="3"/>
        <v>14.986376021798366</v>
      </c>
      <c r="O29" s="61">
        <f t="shared" si="16"/>
        <v>21.113689095127611</v>
      </c>
      <c r="P29" s="129">
        <f t="shared" si="4"/>
        <v>22.175305765870704</v>
      </c>
      <c r="Q29" s="129">
        <f t="shared" si="5"/>
        <v>21.208525450343544</v>
      </c>
      <c r="R29" s="129">
        <f t="shared" si="6"/>
        <v>23.173194894876563</v>
      </c>
      <c r="S29" s="61">
        <f t="shared" si="7"/>
        <v>23.246217331499313</v>
      </c>
      <c r="T29" s="61">
        <f t="shared" si="1"/>
        <v>26.717557251908396</v>
      </c>
      <c r="U29" s="61">
        <f t="shared" si="17"/>
        <v>22.82471626733922</v>
      </c>
      <c r="V29" s="61"/>
      <c r="Y29" s="163" t="s">
        <v>44</v>
      </c>
      <c r="Z29" s="163" t="s">
        <v>66</v>
      </c>
      <c r="AA29" s="163" t="s">
        <v>200</v>
      </c>
      <c r="AB29" s="163">
        <f t="shared" si="22"/>
        <v>1</v>
      </c>
      <c r="AC29" s="166">
        <f t="shared" si="23"/>
        <v>18.939393939393938</v>
      </c>
      <c r="AD29" s="166">
        <f t="shared" si="24"/>
        <v>26.717557251908396</v>
      </c>
      <c r="AE29" s="163"/>
      <c r="AF29" s="163">
        <f t="shared" si="10"/>
        <v>3</v>
      </c>
      <c r="AG29" s="168" t="str">
        <f t="shared" si="11"/>
        <v>N/A</v>
      </c>
      <c r="AH29" s="166">
        <f t="shared" si="12"/>
        <v>18.939393939393938</v>
      </c>
      <c r="AI29" s="166">
        <f t="shared" si="13"/>
        <v>15.826188415225632</v>
      </c>
      <c r="AJ29" s="166">
        <f t="shared" si="14"/>
        <v>22.501297236737724</v>
      </c>
      <c r="AK29" s="168">
        <f t="shared" si="15"/>
        <v>5</v>
      </c>
    </row>
    <row r="30" spans="1:37" x14ac:dyDescent="0.2">
      <c r="A30" s="62" t="s">
        <v>53</v>
      </c>
      <c r="B30" s="62" t="s">
        <v>162</v>
      </c>
      <c r="C30" s="62" t="s">
        <v>163</v>
      </c>
      <c r="D30" s="62"/>
      <c r="E30" s="62">
        <f t="shared" si="2"/>
        <v>5</v>
      </c>
      <c r="F30" s="128" t="s">
        <v>79</v>
      </c>
      <c r="G30" s="129">
        <v>20.809037900874635</v>
      </c>
      <c r="H30" s="129">
        <v>19.331492808602</v>
      </c>
      <c r="I30" s="129">
        <v>22.368200423061406</v>
      </c>
      <c r="J30" s="129"/>
      <c r="K30" s="129"/>
      <c r="L30" s="129"/>
      <c r="M30" s="60">
        <f t="shared" si="0"/>
        <v>5</v>
      </c>
      <c r="N30" s="61">
        <f t="shared" si="3"/>
        <v>14.986376021798366</v>
      </c>
      <c r="O30" s="61">
        <f t="shared" si="16"/>
        <v>21.113689095127611</v>
      </c>
      <c r="P30" s="129">
        <f>$G$32</f>
        <v>22.175305765870704</v>
      </c>
      <c r="Q30" s="129">
        <f t="shared" si="5"/>
        <v>21.208525450343544</v>
      </c>
      <c r="R30" s="129">
        <f t="shared" si="6"/>
        <v>23.173194894876563</v>
      </c>
      <c r="S30" s="61">
        <f t="shared" si="7"/>
        <v>23.246217331499313</v>
      </c>
      <c r="T30" s="61">
        <f t="shared" si="1"/>
        <v>26.717557251908396</v>
      </c>
      <c r="U30" s="61">
        <f t="shared" si="17"/>
        <v>20.891161431701974</v>
      </c>
      <c r="V30" s="61"/>
      <c r="Y30" s="163" t="s">
        <v>49</v>
      </c>
      <c r="Z30" s="163" t="s">
        <v>70</v>
      </c>
      <c r="AA30" s="163" t="s">
        <v>200</v>
      </c>
      <c r="AB30" s="163">
        <f t="shared" si="22"/>
        <v>2</v>
      </c>
      <c r="AC30" s="166">
        <f t="shared" si="23"/>
        <v>18.939393939393938</v>
      </c>
      <c r="AD30" s="166">
        <f t="shared" si="24"/>
        <v>26.717557251908396</v>
      </c>
      <c r="AE30" s="163"/>
      <c r="AF30" s="163">
        <f t="shared" si="10"/>
        <v>7</v>
      </c>
      <c r="AG30" s="168" t="str">
        <f t="shared" si="11"/>
        <v>N/A</v>
      </c>
      <c r="AH30" s="166">
        <f t="shared" si="12"/>
        <v>21.113689095127611</v>
      </c>
      <c r="AI30" s="166">
        <f t="shared" si="13"/>
        <v>18.520438806202343</v>
      </c>
      <c r="AJ30" s="166">
        <f t="shared" si="14"/>
        <v>23.963257842108636</v>
      </c>
      <c r="AK30" s="168">
        <f t="shared" si="15"/>
        <v>5</v>
      </c>
    </row>
    <row r="31" spans="1:37" x14ac:dyDescent="0.2">
      <c r="A31" s="62" t="s">
        <v>54</v>
      </c>
      <c r="B31" s="62" t="s">
        <v>73</v>
      </c>
      <c r="C31" s="62" t="s">
        <v>201</v>
      </c>
      <c r="D31" s="62"/>
      <c r="E31" s="62">
        <f t="shared" si="2"/>
        <v>9</v>
      </c>
      <c r="F31" s="128" t="s">
        <v>79</v>
      </c>
      <c r="G31" s="129">
        <v>21.497120921305182</v>
      </c>
      <c r="H31" s="129">
        <v>18.185027309357672</v>
      </c>
      <c r="I31" s="129">
        <v>25.226455337735089</v>
      </c>
      <c r="J31" s="129"/>
      <c r="K31" s="129"/>
      <c r="L31" s="129"/>
      <c r="M31" s="60">
        <f t="shared" si="0"/>
        <v>5</v>
      </c>
      <c r="N31" s="61">
        <f t="shared" si="3"/>
        <v>14.986376021798366</v>
      </c>
      <c r="O31" s="61">
        <f t="shared" si="16"/>
        <v>21.113689095127611</v>
      </c>
      <c r="P31" s="129">
        <f t="shared" si="4"/>
        <v>22.175305765870704</v>
      </c>
      <c r="Q31" s="129">
        <f t="shared" si="5"/>
        <v>21.208525450343544</v>
      </c>
      <c r="R31" s="129">
        <f t="shared" si="6"/>
        <v>23.173194894876563</v>
      </c>
      <c r="S31" s="61">
        <f t="shared" si="7"/>
        <v>23.246217331499313</v>
      </c>
      <c r="T31" s="61">
        <f t="shared" si="1"/>
        <v>26.717557251908396</v>
      </c>
      <c r="U31" s="61">
        <f t="shared" si="17"/>
        <v>22.82471626733922</v>
      </c>
      <c r="V31" s="61"/>
      <c r="Y31" s="163" t="s">
        <v>51</v>
      </c>
      <c r="Z31" s="163" t="s">
        <v>71</v>
      </c>
      <c r="AA31" s="163" t="s">
        <v>200</v>
      </c>
      <c r="AB31" s="163">
        <f t="shared" si="22"/>
        <v>8</v>
      </c>
      <c r="AC31" s="166">
        <f t="shared" si="23"/>
        <v>18.939393939393938</v>
      </c>
      <c r="AD31" s="166">
        <f t="shared" si="24"/>
        <v>26.717557251908396</v>
      </c>
      <c r="AE31" s="163"/>
      <c r="AF31" s="163">
        <f t="shared" si="10"/>
        <v>23</v>
      </c>
      <c r="AG31" s="168" t="str">
        <f t="shared" si="11"/>
        <v>N/A</v>
      </c>
      <c r="AH31" s="166">
        <f t="shared" si="12"/>
        <v>24.293286219081271</v>
      </c>
      <c r="AI31" s="166">
        <f t="shared" si="13"/>
        <v>21.884694496138341</v>
      </c>
      <c r="AJ31" s="166">
        <f t="shared" si="14"/>
        <v>26.875760100731988</v>
      </c>
      <c r="AK31" s="168">
        <f t="shared" si="15"/>
        <v>5</v>
      </c>
    </row>
    <row r="32" spans="1:37" x14ac:dyDescent="0.2">
      <c r="A32" s="62"/>
      <c r="B32" s="62" t="s">
        <v>171</v>
      </c>
      <c r="C32" s="62"/>
      <c r="D32" s="62"/>
      <c r="E32" s="62"/>
      <c r="F32" s="128">
        <v>1523</v>
      </c>
      <c r="G32" s="129">
        <v>22.175305765870704</v>
      </c>
      <c r="H32" s="129">
        <v>21.208525450343544</v>
      </c>
      <c r="I32" s="129">
        <v>23.173194894876563</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254">
        <v>572</v>
      </c>
      <c r="G44" s="254">
        <v>20.891161431701974</v>
      </c>
      <c r="H44" s="254">
        <v>19.409727126813788</v>
      </c>
      <c r="I44" s="254">
        <v>22.454161652313406</v>
      </c>
      <c r="J44" s="254">
        <f>VLOOKUP($C44,$AA$6:$AD$13,3,FALSE)</f>
        <v>18.827160493827158</v>
      </c>
      <c r="K44" s="254">
        <f>VLOOKUP($C44,$AA$6:$AD$13,4,FALSE)</f>
        <v>21.810182275298555</v>
      </c>
      <c r="L44" s="254"/>
      <c r="M44" s="343">
        <f>IF($C$2="Significance not measured",6,IF(AND($C$2="Better / Worse",$K$2="Low = Worst",I44&lt;Q44),1,IF(AND($C$2="Better / Worse",$K$2="Low = Worst",H44&gt;R44),2,IF(AND($C$2="Better / Worse",$K$2="High = Worst",I44&lt;Q44),2,IF(AND($C$2="Better / Worse",$K$2="High = Worst",H44&gt;R44),1,IF(AND($C$2="Higher / Lower",I44&lt;Q44),3,IF(AND($C$2="Higher / Lower",H44&gt;R44),4,5)))))))</f>
        <v>5</v>
      </c>
      <c r="N44" s="343">
        <f>MIN($G$6:$G$31)</f>
        <v>14.986376021798366</v>
      </c>
      <c r="O44" s="343">
        <f>VLOOKUP(7,$E$5:$G$39,3,FALSE)</f>
        <v>21.113689095127611</v>
      </c>
      <c r="P44" s="254">
        <f>$G$32</f>
        <v>22.175305765870704</v>
      </c>
      <c r="Q44" s="129">
        <f>$H$32</f>
        <v>21.208525450343544</v>
      </c>
      <c r="R44" s="129">
        <f>$I$32</f>
        <v>23.173194894876563</v>
      </c>
      <c r="S44" s="61">
        <f>VLOOKUP(20,$E$5:$G$39,3,FALSE)</f>
        <v>23.246217331499313</v>
      </c>
      <c r="T44" s="61">
        <f>MAX($G$6:$G$31)</f>
        <v>26.717557251908396</v>
      </c>
    </row>
    <row r="45" spans="1:22" x14ac:dyDescent="0.2">
      <c r="C45" s="62" t="s">
        <v>201</v>
      </c>
      <c r="D45" s="62"/>
      <c r="E45" s="62"/>
      <c r="F45" s="254">
        <v>362</v>
      </c>
      <c r="G45" s="254">
        <v>22.82471626733922</v>
      </c>
      <c r="H45" s="254">
        <v>20.826268560723992</v>
      </c>
      <c r="I45" s="254">
        <v>24.954488682868671</v>
      </c>
      <c r="J45" s="254">
        <f>VLOOKUP($C45,$AA$14:$AD$22,3,FALSE)</f>
        <v>14.986376021798366</v>
      </c>
      <c r="K45" s="254">
        <f>VLOOKUP($C45,$AA$14:$AD$22,4,FALSE)</f>
        <v>26.666666666666668</v>
      </c>
      <c r="L45" s="254"/>
      <c r="M45" s="343">
        <f>IF($C$2="Significance not measured",6,IF(AND($C$2="Better / Worse",$K$2="Low = Worst",I45&lt;Q45),1,IF(AND($C$2="Better / Worse",$K$2="Low = Worst",H45&gt;R45),2,IF(AND($C$2="Better / Worse",$K$2="High = Worst",I45&lt;Q45),2,IF(AND($C$2="Better / Worse",$K$2="High = Worst",H45&gt;R45),1,IF(AND($C$2="Higher / Lower",I45&lt;Q45),3,IF(AND($C$2="Higher / Lower",H45&gt;R45),4,5)))))))</f>
        <v>5</v>
      </c>
      <c r="N45" s="343">
        <f>MIN($G$6:$G$31)</f>
        <v>14.986376021798366</v>
      </c>
      <c r="O45" s="343">
        <f>VLOOKUP(7,$E$5:$G$39,3,FALSE)</f>
        <v>21.113689095127611</v>
      </c>
      <c r="P45" s="254">
        <f>$G$32</f>
        <v>22.175305765870704</v>
      </c>
      <c r="Q45" s="129">
        <f t="shared" ref="Q45:Q46" si="25">$H$32</f>
        <v>21.208525450343544</v>
      </c>
      <c r="R45" s="129">
        <f t="shared" ref="R45:R46" si="26">$I$32</f>
        <v>23.173194894876563</v>
      </c>
      <c r="S45" s="61">
        <f>VLOOKUP(20,$E$5:$G$39,3,FALSE)</f>
        <v>23.246217331499313</v>
      </c>
      <c r="T45" s="61">
        <f t="shared" ref="T45:T46" si="27">MAX($G$6:$G$31)</f>
        <v>26.717557251908396</v>
      </c>
    </row>
    <row r="46" spans="1:22" x14ac:dyDescent="0.2">
      <c r="C46" s="62" t="s">
        <v>200</v>
      </c>
      <c r="D46" s="62"/>
      <c r="E46" s="62"/>
      <c r="F46" s="254">
        <v>589</v>
      </c>
      <c r="G46" s="254">
        <v>23.15251572327044</v>
      </c>
      <c r="H46" s="254">
        <v>21.554638007487078</v>
      </c>
      <c r="I46" s="254">
        <v>24.831350992304401</v>
      </c>
      <c r="J46" s="254">
        <f>VLOOKUP($C46,$AA$23:$AD$31,3,FALSE)</f>
        <v>18.939393939393938</v>
      </c>
      <c r="K46" s="254">
        <f>VLOOKUP($C46,$AA$23:$AD$31,4,FALSE)</f>
        <v>26.717557251908396</v>
      </c>
      <c r="L46" s="254"/>
      <c r="M46" s="343">
        <f>IF($C$2="Significance not measured",6,IF(AND($C$2="Better / Worse",$K$2="Low = Worst",I46&lt;Q46),1,IF(AND($C$2="Better / Worse",$K$2="Low = Worst",H46&gt;R46),2,IF(AND($C$2="Better / Worse",$K$2="High = Worst",I46&lt;Q46),2,IF(AND($C$2="Better / Worse",$K$2="High = Worst",H46&gt;R46),1,IF(AND($C$2="Higher / Lower",I46&lt;Q46),3,IF(AND($C$2="Higher / Lower",H46&gt;R46),4,5)))))))</f>
        <v>5</v>
      </c>
      <c r="N46" s="343">
        <f>MIN($G$6:$G$31)</f>
        <v>14.986376021798366</v>
      </c>
      <c r="O46" s="343">
        <f>VLOOKUP(7,$E$5:$G$39,3,FALSE)</f>
        <v>21.113689095127611</v>
      </c>
      <c r="P46" s="254">
        <f t="shared" ref="P46" si="28">$G$32</f>
        <v>22.175305765870704</v>
      </c>
      <c r="Q46" s="129">
        <f t="shared" si="25"/>
        <v>21.208525450343544</v>
      </c>
      <c r="R46" s="129">
        <f t="shared" si="26"/>
        <v>23.173194894876563</v>
      </c>
      <c r="S46" s="61">
        <f>VLOOKUP(20,$E$5:$G$39,3,FALSE)</f>
        <v>23.246217331499313</v>
      </c>
      <c r="T46" s="61">
        <f t="shared" si="27"/>
        <v>26.717557251908396</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C2:D2" xr:uid="{00000000-0002-0000-3A00-000000000000}">
      <formula1>"Better / Worse,Higher / Lower,Significance not measured"</formula1>
    </dataValidation>
    <dataValidation type="list" allowBlank="1" showInputMessage="1" showErrorMessage="1" sqref="K2:N2" xr:uid="{00000000-0002-0000-3A00-000001000000}">
      <formula1>"High = Worst,Low = Worst"</formula1>
    </dataValidation>
  </dataValidations>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3"/>
  <dimension ref="A1:AO170"/>
  <sheetViews>
    <sheetView topLeftCell="A31" zoomScaleNormal="100" workbookViewId="0">
      <selection activeCell="C76" sqref="C76"/>
    </sheetView>
  </sheetViews>
  <sheetFormatPr defaultRowHeight="13.2" x14ac:dyDescent="0.25"/>
  <cols>
    <col min="1" max="1" width="6" bestFit="1" customWidth="1"/>
    <col min="2" max="2" width="3" customWidth="1"/>
    <col min="3" max="3" width="90.109375" customWidth="1"/>
    <col min="4" max="4" width="27" customWidth="1"/>
    <col min="5" max="5" width="5.5546875" customWidth="1"/>
    <col min="6" max="6" width="5.33203125" customWidth="1"/>
    <col min="7" max="7" width="7" customWidth="1"/>
    <col min="8" max="8" width="6.44140625" customWidth="1"/>
    <col min="9" max="9" width="7.109375" customWidth="1"/>
    <col min="10" max="10" width="6.109375" customWidth="1"/>
    <col min="11" max="21" width="6.44140625" customWidth="1"/>
    <col min="22" max="22" width="2" customWidth="1"/>
    <col min="23" max="23" width="7.44140625" customWidth="1"/>
    <col min="24" max="25" width="6.5546875" customWidth="1"/>
    <col min="26" max="26" width="7.109375" customWidth="1"/>
    <col min="27" max="33" width="4.88671875" customWidth="1"/>
    <col min="34" max="40" width="7" customWidth="1"/>
    <col min="41" max="41" width="6.33203125" customWidth="1"/>
  </cols>
  <sheetData>
    <row r="1" spans="1:41" x14ac:dyDescent="0.25">
      <c r="AN1" s="5"/>
      <c r="AO1" s="5"/>
    </row>
    <row r="2" spans="1:41" ht="17.399999999999999" x14ac:dyDescent="0.3">
      <c r="C2" s="32" t="s">
        <v>127</v>
      </c>
      <c r="D2" s="32"/>
      <c r="E2" s="33"/>
      <c r="F2" s="33"/>
      <c r="G2" s="33"/>
      <c r="H2" s="32" t="s">
        <v>76</v>
      </c>
      <c r="I2" s="33"/>
      <c r="J2" s="33"/>
      <c r="K2" s="124"/>
      <c r="L2" s="33"/>
      <c r="M2" s="33"/>
      <c r="N2" s="32" t="s">
        <v>78</v>
      </c>
      <c r="O2" s="33"/>
      <c r="P2" s="33"/>
      <c r="Q2" s="33"/>
      <c r="R2" s="33"/>
      <c r="S2" s="33"/>
      <c r="T2" s="33"/>
      <c r="U2" s="33"/>
      <c r="V2" s="33"/>
      <c r="W2" s="33"/>
      <c r="X2" s="33"/>
      <c r="Y2" s="32" t="s">
        <v>122</v>
      </c>
      <c r="AN2" s="5"/>
      <c r="AO2" s="149">
        <v>0.4395</v>
      </c>
    </row>
    <row r="3" spans="1:41" ht="17.399999999999999" x14ac:dyDescent="0.3">
      <c r="C3" s="34" t="str">
        <f>'Spine Chart (GP Prac)'!B6</f>
        <v>J82207 - Hill Lane Surgery</v>
      </c>
      <c r="D3" s="34"/>
      <c r="E3" s="33"/>
      <c r="F3" s="33"/>
      <c r="G3" s="33"/>
      <c r="H3" s="34" t="str">
        <f>LEFT(C3,6)</f>
        <v>J82207</v>
      </c>
      <c r="I3" s="33"/>
      <c r="J3" s="33"/>
      <c r="K3" s="124"/>
      <c r="L3" s="33"/>
      <c r="M3" s="33"/>
      <c r="N3" s="34" t="e">
        <f>VLOOKUP(H3,#REF!,5,FALSE)</f>
        <v>#REF!</v>
      </c>
      <c r="O3" s="33"/>
      <c r="P3" s="33"/>
      <c r="Q3" s="33"/>
      <c r="R3" s="33"/>
      <c r="S3" s="33"/>
      <c r="T3" s="33"/>
      <c r="U3" s="33"/>
      <c r="V3" s="33"/>
      <c r="W3" s="33"/>
      <c r="X3" s="33"/>
      <c r="Y3" s="34" t="str">
        <f>'Spine Chart (GP Prac)'!E6</f>
        <v>Practice Locality</v>
      </c>
      <c r="AN3" s="5"/>
      <c r="AO3" s="5"/>
    </row>
    <row r="4" spans="1:41" x14ac:dyDescent="0.25">
      <c r="AN4" s="5"/>
      <c r="AO4" s="5"/>
    </row>
    <row r="5" spans="1:41" x14ac:dyDescent="0.25">
      <c r="AN5" s="2"/>
      <c r="AO5" s="2"/>
    </row>
    <row r="6" spans="1:41" x14ac:dyDescent="0.25">
      <c r="O6" s="1"/>
      <c r="P6" s="1"/>
      <c r="Q6" s="1"/>
      <c r="W6" s="1" t="s">
        <v>15</v>
      </c>
    </row>
    <row r="7" spans="1:41" s="21" customFormat="1" ht="10.199999999999999" x14ac:dyDescent="0.2">
      <c r="D7" s="125" t="s">
        <v>17</v>
      </c>
      <c r="E7" s="125" t="s">
        <v>17</v>
      </c>
      <c r="F7" s="125" t="s">
        <v>123</v>
      </c>
      <c r="G7" s="125" t="s">
        <v>123</v>
      </c>
      <c r="H7" s="125" t="s">
        <v>123</v>
      </c>
      <c r="I7" s="125" t="s">
        <v>123</v>
      </c>
      <c r="J7" s="125" t="s">
        <v>123</v>
      </c>
      <c r="K7" s="125" t="s">
        <v>123</v>
      </c>
      <c r="L7" s="125" t="s">
        <v>123</v>
      </c>
      <c r="M7" s="125" t="s">
        <v>123</v>
      </c>
      <c r="N7" s="125" t="s">
        <v>123</v>
      </c>
      <c r="O7" s="125" t="s">
        <v>123</v>
      </c>
      <c r="P7" s="125"/>
      <c r="Q7" s="125"/>
      <c r="R7" s="125" t="s">
        <v>123</v>
      </c>
      <c r="S7" s="126" t="s">
        <v>18</v>
      </c>
      <c r="T7" s="126" t="s">
        <v>18</v>
      </c>
      <c r="U7" s="126" t="s">
        <v>18</v>
      </c>
      <c r="W7" s="126" t="s">
        <v>18</v>
      </c>
      <c r="X7" s="126" t="s">
        <v>18</v>
      </c>
      <c r="Y7" s="126" t="s">
        <v>18</v>
      </c>
      <c r="Z7" s="126" t="s">
        <v>18</v>
      </c>
      <c r="AA7" s="126" t="s">
        <v>18</v>
      </c>
      <c r="AB7" s="126" t="s">
        <v>18</v>
      </c>
      <c r="AC7" s="126" t="s">
        <v>18</v>
      </c>
      <c r="AD7" s="126" t="s">
        <v>18</v>
      </c>
      <c r="AE7" s="126" t="s">
        <v>18</v>
      </c>
      <c r="AF7" s="126"/>
      <c r="AG7" s="126"/>
      <c r="AH7" s="126" t="s">
        <v>18</v>
      </c>
      <c r="AI7" s="126" t="s">
        <v>18</v>
      </c>
      <c r="AJ7" s="126" t="s">
        <v>18</v>
      </c>
      <c r="AK7" s="126"/>
      <c r="AL7" s="126"/>
      <c r="AM7" s="126"/>
      <c r="AN7" s="126" t="s">
        <v>18</v>
      </c>
      <c r="AO7" s="125" t="s">
        <v>17</v>
      </c>
    </row>
    <row r="8" spans="1:41" s="23" customFormat="1" x14ac:dyDescent="0.25">
      <c r="AH8" s="181" t="s">
        <v>191</v>
      </c>
    </row>
    <row r="9" spans="1:41" s="21" customFormat="1" ht="181.2" x14ac:dyDescent="0.2">
      <c r="A9" s="439" t="s">
        <v>80</v>
      </c>
      <c r="B9" s="70"/>
      <c r="C9" s="71" t="s">
        <v>0</v>
      </c>
      <c r="D9" s="72" t="s">
        <v>87</v>
      </c>
      <c r="E9" s="114" t="s">
        <v>10</v>
      </c>
      <c r="F9" s="115" t="s">
        <v>19</v>
      </c>
      <c r="G9" s="115" t="s">
        <v>20</v>
      </c>
      <c r="H9" s="115" t="s">
        <v>21</v>
      </c>
      <c r="I9" s="115" t="s">
        <v>22</v>
      </c>
      <c r="J9" s="114" t="s">
        <v>1</v>
      </c>
      <c r="K9" s="119" t="s">
        <v>93</v>
      </c>
      <c r="L9" s="119" t="s">
        <v>94</v>
      </c>
      <c r="M9" s="119" t="s">
        <v>92</v>
      </c>
      <c r="N9" s="119" t="s">
        <v>95</v>
      </c>
      <c r="O9" s="119" t="s">
        <v>96</v>
      </c>
      <c r="P9" s="119"/>
      <c r="Q9" s="119"/>
      <c r="R9" s="119" t="s">
        <v>23</v>
      </c>
      <c r="S9" s="119" t="s">
        <v>97</v>
      </c>
      <c r="T9" s="116" t="s">
        <v>5</v>
      </c>
      <c r="U9" s="117" t="s">
        <v>4</v>
      </c>
      <c r="V9" s="120" t="s">
        <v>14</v>
      </c>
      <c r="W9" s="115" t="s">
        <v>2</v>
      </c>
      <c r="X9" s="115" t="s">
        <v>3</v>
      </c>
      <c r="Y9" s="115" t="s">
        <v>6</v>
      </c>
      <c r="Z9" s="115" t="s">
        <v>7</v>
      </c>
      <c r="AA9" s="116" t="s">
        <v>4</v>
      </c>
      <c r="AB9" s="115" t="s">
        <v>8</v>
      </c>
      <c r="AC9" s="115" t="s">
        <v>92</v>
      </c>
      <c r="AD9" s="115" t="s">
        <v>9</v>
      </c>
      <c r="AE9" s="115" t="s">
        <v>5</v>
      </c>
      <c r="AF9" s="115"/>
      <c r="AG9" s="115"/>
      <c r="AH9" s="115" t="s">
        <v>147</v>
      </c>
      <c r="AI9" s="115" t="s">
        <v>148</v>
      </c>
      <c r="AJ9" s="115" t="s">
        <v>152</v>
      </c>
      <c r="AK9" s="115" t="s">
        <v>149</v>
      </c>
      <c r="AL9" s="115" t="s">
        <v>150</v>
      </c>
      <c r="AM9" s="115" t="s">
        <v>151</v>
      </c>
      <c r="AN9" s="117" t="s">
        <v>97</v>
      </c>
      <c r="AO9" s="118" t="s">
        <v>16</v>
      </c>
    </row>
    <row r="10" spans="1:41" s="21" customFormat="1" ht="10.199999999999999" x14ac:dyDescent="0.2">
      <c r="A10" s="440"/>
      <c r="B10" s="73"/>
      <c r="C10" s="74"/>
      <c r="D10" s="75"/>
      <c r="E10" s="111"/>
      <c r="F10" s="76"/>
      <c r="G10" s="77"/>
      <c r="H10" s="76"/>
      <c r="I10" s="76"/>
      <c r="J10" s="78"/>
      <c r="K10" s="79"/>
      <c r="L10" s="77"/>
      <c r="M10" s="77"/>
      <c r="N10" s="77"/>
      <c r="O10" s="77"/>
      <c r="P10" s="77"/>
      <c r="Q10" s="77"/>
      <c r="R10" s="77"/>
      <c r="S10" s="80"/>
      <c r="T10" s="81"/>
      <c r="U10" s="82"/>
      <c r="V10" s="83"/>
      <c r="W10" s="84"/>
      <c r="X10" s="84"/>
      <c r="Y10" s="84"/>
      <c r="Z10" s="84"/>
      <c r="AA10" s="85"/>
      <c r="AB10" s="86"/>
      <c r="AC10" s="86"/>
      <c r="AD10" s="86"/>
      <c r="AE10" s="86"/>
      <c r="AF10" s="87"/>
      <c r="AG10" s="87"/>
      <c r="AH10" s="87"/>
      <c r="AI10" s="86"/>
      <c r="AJ10" s="86"/>
      <c r="AK10" s="86"/>
      <c r="AL10" s="86"/>
      <c r="AM10" s="86"/>
      <c r="AN10" s="86"/>
      <c r="AO10" s="83"/>
    </row>
    <row r="11" spans="1:41" s="21" customFormat="1" ht="10.199999999999999" x14ac:dyDescent="0.2">
      <c r="A11" s="440"/>
      <c r="B11" s="88">
        <v>1</v>
      </c>
      <c r="C11" s="255" t="s">
        <v>208</v>
      </c>
      <c r="D11" s="90" t="s">
        <v>139</v>
      </c>
      <c r="E11" s="112">
        <f ca="1">IF((INDIRECT(LEFT(D11,(LEN(D11)-10))&amp;"K2"))="Low = Worst",1,IF((INDIRECT(LEFT(D11,(LEN(D11)-10))&amp;"K2"))="High = Worst",2,""))</f>
        <v>1</v>
      </c>
      <c r="F11" s="91">
        <f t="shared" ref="F11:F22" ca="1" si="0">IF((VLOOKUP($H$3,INDIRECT(D11),6,FALSE))="","",VLOOKUP($H$3,INDIRECT(D11),6,FALSE))</f>
        <v>458</v>
      </c>
      <c r="G11" s="92">
        <f t="shared" ref="G11:G22" ca="1" si="1">IF((VLOOKUP($H$3,INDIRECT(D11),7,FALSE))="","",VLOOKUP($H$3,INDIRECT(D11),7,FALSE))</f>
        <v>4.9041653281935966</v>
      </c>
      <c r="H11" s="92">
        <f t="shared" ref="H11:H22" ca="1" si="2">VLOOKUP($H$3,INDIRECT(D11),8,FALSE)</f>
        <v>4.4844178893359041</v>
      </c>
      <c r="I11" s="92">
        <f t="shared" ref="I11:I22" ca="1" si="3">VLOOKUP($H$3,INDIRECT(D11),9,FALSE)</f>
        <v>5.360996515638937</v>
      </c>
      <c r="J11" s="93">
        <f ca="1">VLOOKUP($H$3,INDIRECT(D11),13,FALSE)</f>
        <v>3</v>
      </c>
      <c r="K11" s="94">
        <f t="shared" ref="K11:K22" ca="1" si="4">VLOOKUP($H$3,INDIRECT(D11),14,FALSE)</f>
        <v>1.3017689360138576</v>
      </c>
      <c r="L11" s="92">
        <f t="shared" ref="L11:L22" ca="1" si="5">VLOOKUP($H$3,INDIRECT(D11),15,FALSE)</f>
        <v>4.8160629036787421</v>
      </c>
      <c r="M11" s="92">
        <f t="shared" ref="M11:M22" ca="1" si="6">VLOOKUP($H$3,INDIRECT(D11),16,FALSE)</f>
        <v>5.476312119412877</v>
      </c>
      <c r="N11" s="92">
        <f t="shared" ref="N11:N22" ca="1" si="7">VLOOKUP($H$3,INDIRECT(D11),19,FALSE)</f>
        <v>6.1674292711219953</v>
      </c>
      <c r="O11" s="92">
        <f t="shared" ref="O11:O22" ca="1" si="8">VLOOKUP($H$3,INDIRECT(D11),20,FALSE)</f>
        <v>7.8571935552558738</v>
      </c>
      <c r="P11" s="92"/>
      <c r="Q11" s="92"/>
      <c r="R11" s="92">
        <f t="shared" ref="R11:R22" ca="1" si="9">VLOOKUP($H$3,INDIRECT(D11),21,FALSE)</f>
        <v>5.7919649041791734</v>
      </c>
      <c r="S11" s="95">
        <f ca="1">IF($Y$3="Practice Locality",R11,IF($Y$3="Practice Cluster",#REF!,(VLOOKUP((LEFT($Y$3,6)),INDIRECT(D11),7,FALSE))))</f>
        <v>5.7919649041791734</v>
      </c>
      <c r="T11" s="81">
        <f t="shared" ref="T11:T22" ca="1" si="10">IF($E11=1,O11,K11)</f>
        <v>7.8571935552558738</v>
      </c>
      <c r="U11" s="82">
        <f t="shared" ref="U11:U22" ca="1" si="11">IF($E11=1,K11,O11)</f>
        <v>1.3017689360138576</v>
      </c>
      <c r="V11" s="96"/>
      <c r="W11" s="81">
        <f t="shared" ref="W11:W22" ca="1" si="12">IF((M11-K11)&gt;(O11-M11),K11,(M11-(O11-M11)))</f>
        <v>1.3017689360138576</v>
      </c>
      <c r="X11" s="81">
        <f t="shared" ref="X11:X22" ca="1" si="13">IF(W11=K11,M11+(M11-K11),O11)</f>
        <v>9.6508553028118964</v>
      </c>
      <c r="Y11" s="81">
        <f t="shared" ref="Y11:Y22" ca="1" si="14">IF(E11=1,W11,X11)</f>
        <v>1.3017689360138576</v>
      </c>
      <c r="Z11" s="81">
        <f t="shared" ref="Z11:Z22" ca="1" si="15">IF(E11=1,X11,W11)</f>
        <v>9.6508553028118964</v>
      </c>
      <c r="AA11" s="97">
        <f t="shared" ref="AA11:AA22" ca="1" si="16">IF(ISERROR(IF(E11=1,(K11-$Y11)/($Z11-$Y11),(U11-$Y11)/($Z11-$Y11))),"",IF(E11=1,(K11-$Y11)/($Z11-$Y11),(U11-$Y11)/($Z11-$Y11)))</f>
        <v>0</v>
      </c>
      <c r="AB11" s="87">
        <f t="shared" ref="AB11:AB22" ca="1" si="17">IF(ISERROR(IF(E11=1,(L11-$Y11)/($Z11-$Y11),(N11-$Y11)/($Z11-$Y11))),"",IF(E11=1,(L11-$Y11)/($Z11-$Y11),(N11-$Y11)/($Z11-$Y11)))</f>
        <v>0.42091958488299275</v>
      </c>
      <c r="AC11" s="87">
        <v>0.5</v>
      </c>
      <c r="AD11" s="87">
        <f t="shared" ref="AD11:AD22" ca="1" si="18">IF(ISERROR(IF(E11=1,(N11-$Y11)/($Z11-$Y11),(L11-$Y11)/($Z11-$Y11))),"",IF(E11=1,(N11-$Y11)/($Z11-$Y11),(L11-$Y11)/($Z11-$Y11)))</f>
        <v>0.58277757844948119</v>
      </c>
      <c r="AE11" s="87">
        <f t="shared" ref="AE11:AE22" ca="1" si="19">IF(ISERROR(IF(E11=1,(O11-$Y11)/($Z11-$Y11),(K11-$Y11)/($Z11-$Y11))),"",IF(E11=1,(O11-$Y11)/($Z11-$Y11),(K11-$Y11)/($Z11-$Y11)))</f>
        <v>0.78516670342650796</v>
      </c>
      <c r="AF11" s="87"/>
      <c r="AG11" s="87"/>
      <c r="AH11" s="87">
        <f t="shared" ref="AH11:AH22" ca="1" si="20">IF(G11="",-999,IF(J11=6,(G11-$Y11)/($Z11-$Y11),-999))</f>
        <v>-999</v>
      </c>
      <c r="AI11" s="87">
        <f t="shared" ref="AI11:AI22" ca="1" si="21">IF(G11="",-999,IF(J11=5,(G11-$Y11)/($Z11-$Y11),-999))</f>
        <v>-999</v>
      </c>
      <c r="AJ11" s="87">
        <f ca="1">IF(G11="",-999,IF(J11=1,(G11-$Y11)/($Z11-$Y11),-999))</f>
        <v>-999</v>
      </c>
      <c r="AK11" s="87">
        <f ca="1">IF(G11="",-999,IF(J11=2,(G11-$Y11)/($Z11-$Y11),-999))</f>
        <v>-999</v>
      </c>
      <c r="AL11" s="87">
        <f t="shared" ref="AL11:AL22" ca="1" si="22">IF(G11="",-999,IF(J11=3,(G11-$Y11)/($Z11-$Y11),-999))</f>
        <v>0.43147192805496098</v>
      </c>
      <c r="AM11" s="87">
        <f t="shared" ref="AM11:AM22" ca="1" si="23">IF(G11="",-999,IF(J11=4,(G11-$Y11)/($Z11-$Y11),-999))</f>
        <v>-999</v>
      </c>
      <c r="AN11" s="180">
        <f ca="1">IF(ISERROR((S11-$Y11)/($Z11-$Y11)),-999,(S11-$Y11)/($Z11-$Y11))</f>
        <v>0.53780686543399026</v>
      </c>
      <c r="AO11" s="96">
        <v>0.67300000000000004</v>
      </c>
    </row>
    <row r="12" spans="1:41" s="21" customFormat="1" ht="10.199999999999999" x14ac:dyDescent="0.2">
      <c r="A12" s="440"/>
      <c r="B12" s="88">
        <v>2</v>
      </c>
      <c r="C12" s="255" t="s">
        <v>207</v>
      </c>
      <c r="D12" s="90" t="s">
        <v>172</v>
      </c>
      <c r="E12" s="112">
        <f ca="1">IF((INDIRECT(LEFT(D12,(LEN(D12)-10))&amp;"K2"))="Low = Worst",1,IF((INDIRECT(LEFT(D12,(LEN(D12)-10))&amp;"K2"))="High = Worst",2,""))</f>
        <v>1</v>
      </c>
      <c r="F12" s="91">
        <f t="shared" ca="1" si="0"/>
        <v>1516</v>
      </c>
      <c r="G12" s="92">
        <f t="shared" ca="1" si="1"/>
        <v>16.233001392011992</v>
      </c>
      <c r="H12" s="92">
        <f t="shared" ca="1" si="2"/>
        <v>15.499026887705813</v>
      </c>
      <c r="I12" s="92">
        <f t="shared" ca="1" si="3"/>
        <v>16.994743580319394</v>
      </c>
      <c r="J12" s="93">
        <f t="shared" ref="J12:J22" ca="1" si="24">VLOOKUP($H$3,INDIRECT(D12),13,FALSE)</f>
        <v>3</v>
      </c>
      <c r="K12" s="94">
        <f t="shared" ca="1" si="4"/>
        <v>3.9735446958164928</v>
      </c>
      <c r="L12" s="92">
        <f t="shared" ca="1" si="5"/>
        <v>17.461783112752642</v>
      </c>
      <c r="M12" s="92">
        <f t="shared" ca="1" si="6"/>
        <v>18.814984603913228</v>
      </c>
      <c r="N12" s="92">
        <f t="shared" ca="1" si="7"/>
        <v>21.575234284510898</v>
      </c>
      <c r="O12" s="92">
        <f t="shared" ca="1" si="8"/>
        <v>25.920931222939885</v>
      </c>
      <c r="P12" s="92"/>
      <c r="Q12" s="92"/>
      <c r="R12" s="92">
        <f t="shared" ca="1" si="9"/>
        <v>20.895867005310549</v>
      </c>
      <c r="S12" s="95">
        <f ca="1">IF($Y$3="Practice Locality",R12,IF($Y$3="Practice Cluster",#REF!,(VLOOKUP((LEFT($Y$3,6)),INDIRECT(D12),7,FALSE))))</f>
        <v>20.895867005310549</v>
      </c>
      <c r="T12" s="81">
        <f t="shared" ca="1" si="10"/>
        <v>25.920931222939885</v>
      </c>
      <c r="U12" s="82">
        <f t="shared" ca="1" si="11"/>
        <v>3.9735446958164928</v>
      </c>
      <c r="V12" s="96"/>
      <c r="W12" s="81">
        <f t="shared" ca="1" si="12"/>
        <v>3.9735446958164928</v>
      </c>
      <c r="X12" s="81">
        <f t="shared" ca="1" si="13"/>
        <v>33.656424512009963</v>
      </c>
      <c r="Y12" s="81">
        <f t="shared" ca="1" si="14"/>
        <v>3.9735446958164928</v>
      </c>
      <c r="Z12" s="81">
        <f t="shared" ca="1" si="15"/>
        <v>33.656424512009963</v>
      </c>
      <c r="AA12" s="97">
        <f t="shared" ca="1" si="16"/>
        <v>0</v>
      </c>
      <c r="AB12" s="87">
        <f t="shared" ca="1" si="17"/>
        <v>0.45441138125612907</v>
      </c>
      <c r="AC12" s="87">
        <v>0.5</v>
      </c>
      <c r="AD12" s="87">
        <f t="shared" ca="1" si="18"/>
        <v>0.59299130332670147</v>
      </c>
      <c r="AE12" s="87">
        <f t="shared" ca="1" si="19"/>
        <v>0.73939545835946863</v>
      </c>
      <c r="AF12" s="87"/>
      <c r="AG12" s="87"/>
      <c r="AH12" s="87">
        <f t="shared" ca="1" si="20"/>
        <v>-999</v>
      </c>
      <c r="AI12" s="87">
        <f t="shared" ca="1" si="21"/>
        <v>-999</v>
      </c>
      <c r="AJ12" s="87">
        <f t="shared" ref="AJ12:AJ22" ca="1" si="25">IF(G12="",-999,IF(J12=1,(G12-$Y12)/($Z12-$Y12),-999))</f>
        <v>-999</v>
      </c>
      <c r="AK12" s="87">
        <f t="shared" ref="AK12:AK22" ca="1" si="26">IF(G12="",-999,IF(J12=2,(G12-$Y12)/($Z12-$Y12),-999))</f>
        <v>-999</v>
      </c>
      <c r="AL12" s="87">
        <f t="shared" ca="1" si="22"/>
        <v>0.4130143965851778</v>
      </c>
      <c r="AM12" s="87">
        <f t="shared" ca="1" si="23"/>
        <v>-999</v>
      </c>
      <c r="AN12" s="87">
        <f t="shared" ref="AN12:AN22" ca="1" si="27">IF(ISERROR((S12-$Y12)/($Z12-$Y12)),-999,(S12-$Y12)/($Z12-$Y12))</f>
        <v>0.57010379094895292</v>
      </c>
      <c r="AO12" s="158">
        <f>AO11+$AO$2</f>
        <v>1.1125</v>
      </c>
    </row>
    <row r="13" spans="1:41" s="21" customFormat="1" ht="10.199999999999999" x14ac:dyDescent="0.2">
      <c r="A13" s="440"/>
      <c r="B13" s="88">
        <v>3</v>
      </c>
      <c r="C13" s="255" t="s">
        <v>206</v>
      </c>
      <c r="D13" s="90" t="s">
        <v>175</v>
      </c>
      <c r="E13" s="112">
        <f t="shared" ref="E13:E22" ca="1" si="28">IF((INDIRECT(LEFT(D13,(LEN(D13)-10))&amp;"K2"))="Low = Worst",1,IF((INDIRECT(LEFT(D13,(LEN(D13)-10))&amp;"K2"))="High = Worst",2,""))</f>
        <v>1</v>
      </c>
      <c r="F13" s="91">
        <f t="shared" ca="1" si="0"/>
        <v>6665</v>
      </c>
      <c r="G13" s="92">
        <f t="shared" ca="1" si="1"/>
        <v>71.367384088232143</v>
      </c>
      <c r="H13" s="92">
        <f t="shared" ca="1" si="2"/>
        <v>70.441937128970068</v>
      </c>
      <c r="I13" s="92">
        <f t="shared" ca="1" si="3"/>
        <v>72.275259963484572</v>
      </c>
      <c r="J13" s="93">
        <f t="shared" ca="1" si="24"/>
        <v>4</v>
      </c>
      <c r="K13" s="94">
        <f t="shared" ca="1" si="4"/>
        <v>59.791326566825191</v>
      </c>
      <c r="L13" s="92">
        <f t="shared" ca="1" si="5"/>
        <v>62.407407407407405</v>
      </c>
      <c r="M13" s="92">
        <f t="shared" ca="1" si="6"/>
        <v>68.250231286505297</v>
      </c>
      <c r="N13" s="92">
        <f t="shared" ca="1" si="7"/>
        <v>70.301084790790341</v>
      </c>
      <c r="O13" s="92">
        <f t="shared" ca="1" si="8"/>
        <v>94.782426119363819</v>
      </c>
      <c r="P13" s="92"/>
      <c r="Q13" s="92"/>
      <c r="R13" s="92">
        <f t="shared" ca="1" si="9"/>
        <v>64.061417686446546</v>
      </c>
      <c r="S13" s="95">
        <f ca="1">IF($Y$3="Practice Locality",R13,IF($Y$3="Practice Cluster",#REF!,(VLOOKUP((LEFT($Y$3,6)),INDIRECT(D13),7,FALSE))))</f>
        <v>64.061417686446546</v>
      </c>
      <c r="T13" s="81">
        <f t="shared" ca="1" si="10"/>
        <v>94.782426119363819</v>
      </c>
      <c r="U13" s="82">
        <f t="shared" ca="1" si="11"/>
        <v>59.791326566825191</v>
      </c>
      <c r="V13" s="96"/>
      <c r="W13" s="81">
        <f t="shared" ca="1" si="12"/>
        <v>41.718036453646775</v>
      </c>
      <c r="X13" s="81">
        <f t="shared" ca="1" si="13"/>
        <v>94.782426119363819</v>
      </c>
      <c r="Y13" s="81">
        <f t="shared" ca="1" si="14"/>
        <v>41.718036453646775</v>
      </c>
      <c r="Z13" s="81">
        <f t="shared" ca="1" si="15"/>
        <v>94.782426119363819</v>
      </c>
      <c r="AA13" s="97">
        <f t="shared" ca="1" si="16"/>
        <v>0.34059168921064414</v>
      </c>
      <c r="AB13" s="87">
        <f t="shared" ca="1" si="17"/>
        <v>0.38989181038536042</v>
      </c>
      <c r="AC13" s="87">
        <v>0.5</v>
      </c>
      <c r="AD13" s="87">
        <f t="shared" ca="1" si="18"/>
        <v>0.53864839522709196</v>
      </c>
      <c r="AE13" s="87">
        <f t="shared" ca="1" si="19"/>
        <v>1</v>
      </c>
      <c r="AF13" s="87"/>
      <c r="AG13" s="87"/>
      <c r="AH13" s="87">
        <f t="shared" ca="1" si="20"/>
        <v>-999</v>
      </c>
      <c r="AI13" s="87">
        <f t="shared" ca="1" si="21"/>
        <v>-999</v>
      </c>
      <c r="AJ13" s="87">
        <f t="shared" ca="1" si="25"/>
        <v>-999</v>
      </c>
      <c r="AK13" s="87">
        <f t="shared" ca="1" si="26"/>
        <v>-999</v>
      </c>
      <c r="AL13" s="87">
        <f t="shared" ca="1" si="22"/>
        <v>-999</v>
      </c>
      <c r="AM13" s="87">
        <f t="shared" ca="1" si="23"/>
        <v>0.55874283717128526</v>
      </c>
      <c r="AN13" s="87">
        <f t="shared" ca="1" si="27"/>
        <v>0.42106168324093646</v>
      </c>
      <c r="AO13" s="158">
        <f t="shared" ref="AO13:AO75" si="29">AO12+$AO$2</f>
        <v>1.552</v>
      </c>
    </row>
    <row r="14" spans="1:41" s="21" customFormat="1" ht="10.199999999999999" x14ac:dyDescent="0.2">
      <c r="A14" s="440"/>
      <c r="B14" s="88">
        <v>4</v>
      </c>
      <c r="C14" s="255" t="s">
        <v>212</v>
      </c>
      <c r="D14" s="90" t="s">
        <v>192</v>
      </c>
      <c r="E14" s="112">
        <f t="shared" ca="1" si="28"/>
        <v>1</v>
      </c>
      <c r="F14" s="91">
        <f t="shared" ca="1" si="0"/>
        <v>1158</v>
      </c>
      <c r="G14" s="92">
        <f t="shared" ca="1" si="1"/>
        <v>12.399614519755863</v>
      </c>
      <c r="H14" s="92">
        <f t="shared" ca="1" si="2"/>
        <v>11.746604583233776</v>
      </c>
      <c r="I14" s="92">
        <f t="shared" ca="1" si="3"/>
        <v>13.083544457029589</v>
      </c>
      <c r="J14" s="93">
        <f t="shared" ca="1" si="24"/>
        <v>5</v>
      </c>
      <c r="K14" s="94">
        <f t="shared" ca="1" si="4"/>
        <v>1.2440291848196945</v>
      </c>
      <c r="L14" s="92">
        <f t="shared" ca="1" si="5"/>
        <v>10.094212651413191</v>
      </c>
      <c r="M14" s="92">
        <f t="shared" ca="1" si="6"/>
        <v>12.934784109581475</v>
      </c>
      <c r="N14" s="92">
        <f t="shared" ca="1" si="7"/>
        <v>17.506211881635419</v>
      </c>
      <c r="O14" s="92">
        <f t="shared" ca="1" si="8"/>
        <v>20.986823122054439</v>
      </c>
      <c r="P14" s="92"/>
      <c r="Q14" s="92"/>
      <c r="R14" s="92">
        <f t="shared" ca="1" si="9"/>
        <v>15.042715308242899</v>
      </c>
      <c r="S14" s="95">
        <f ca="1">IF($Y$3="Practice Locality",R14,IF($Y$3="Practice Cluster",#REF!,(VLOOKUP((LEFT($Y$3,6)),INDIRECT(D14),7,FALSE))))</f>
        <v>15.042715308242899</v>
      </c>
      <c r="T14" s="81">
        <f t="shared" ca="1" si="10"/>
        <v>20.986823122054439</v>
      </c>
      <c r="U14" s="82">
        <f t="shared" ca="1" si="11"/>
        <v>1.2440291848196945</v>
      </c>
      <c r="V14" s="96"/>
      <c r="W14" s="81">
        <f t="shared" ca="1" si="12"/>
        <v>1.2440291848196945</v>
      </c>
      <c r="X14" s="81">
        <f t="shared" ca="1" si="13"/>
        <v>24.625539034343255</v>
      </c>
      <c r="Y14" s="81">
        <f t="shared" ca="1" si="14"/>
        <v>1.2440291848196945</v>
      </c>
      <c r="Z14" s="81">
        <f t="shared" ca="1" si="15"/>
        <v>24.625539034343255</v>
      </c>
      <c r="AA14" s="97">
        <f t="shared" ca="1" si="16"/>
        <v>0</v>
      </c>
      <c r="AB14" s="87">
        <f t="shared" ca="1" si="17"/>
        <v>0.37851206032247886</v>
      </c>
      <c r="AC14" s="87">
        <v>0.5</v>
      </c>
      <c r="AD14" s="87">
        <f t="shared" ca="1" si="18"/>
        <v>0.69551465245291233</v>
      </c>
      <c r="AE14" s="87">
        <f t="shared" ca="1" si="19"/>
        <v>0.84437634970083164</v>
      </c>
      <c r="AF14" s="87"/>
      <c r="AG14" s="87"/>
      <c r="AH14" s="87">
        <f t="shared" ca="1" si="20"/>
        <v>-999</v>
      </c>
      <c r="AI14" s="87">
        <f t="shared" ca="1" si="21"/>
        <v>0.47711141866929019</v>
      </c>
      <c r="AJ14" s="87">
        <f t="shared" ca="1" si="25"/>
        <v>-999</v>
      </c>
      <c r="AK14" s="87">
        <f t="shared" ca="1" si="26"/>
        <v>-999</v>
      </c>
      <c r="AL14" s="87">
        <f t="shared" ca="1" si="22"/>
        <v>-999</v>
      </c>
      <c r="AM14" s="87">
        <f t="shared" ca="1" si="23"/>
        <v>-999</v>
      </c>
      <c r="AN14" s="87">
        <f t="shared" ca="1" si="27"/>
        <v>0.5901537673241567</v>
      </c>
      <c r="AO14" s="158">
        <f t="shared" si="29"/>
        <v>1.9915</v>
      </c>
    </row>
    <row r="15" spans="1:41" s="21" customFormat="1" ht="10.199999999999999" x14ac:dyDescent="0.2">
      <c r="A15" s="440"/>
      <c r="B15" s="88">
        <v>5</v>
      </c>
      <c r="C15" s="193" t="s">
        <v>209</v>
      </c>
      <c r="D15" s="90" t="s">
        <v>194</v>
      </c>
      <c r="E15" s="112">
        <f t="shared" ca="1" si="28"/>
        <v>2</v>
      </c>
      <c r="F15" s="91">
        <f t="shared" ca="1" si="0"/>
        <v>645</v>
      </c>
      <c r="G15" s="92">
        <f t="shared" ca="1" si="1"/>
        <v>6.9131832797427659</v>
      </c>
      <c r="H15" s="92">
        <f t="shared" ca="1" si="2"/>
        <v>6.4159737750323558</v>
      </c>
      <c r="I15" s="92">
        <f t="shared" ca="1" si="3"/>
        <v>7.4458586176529105</v>
      </c>
      <c r="J15" s="93">
        <f t="shared" ca="1" si="24"/>
        <v>2</v>
      </c>
      <c r="K15" s="94">
        <f t="shared" ca="1" si="4"/>
        <v>4.4858299595141702</v>
      </c>
      <c r="L15" s="92">
        <f t="shared" ca="1" si="5"/>
        <v>12.113354324874976</v>
      </c>
      <c r="M15" s="92">
        <f t="shared" ca="1" si="6"/>
        <v>27.410865991628796</v>
      </c>
      <c r="N15" s="92">
        <f t="shared" ca="1" si="7"/>
        <v>29.471032745591941</v>
      </c>
      <c r="O15" s="92">
        <f t="shared" ca="1" si="8"/>
        <v>52.974739641037004</v>
      </c>
      <c r="P15" s="92"/>
      <c r="Q15" s="92"/>
      <c r="R15" s="92">
        <f t="shared" ca="1" si="9"/>
        <v>27.095917306692844</v>
      </c>
      <c r="S15" s="95">
        <f ca="1">IF($Y$3="Practice Locality",R15,IF($Y$3="Practice Cluster",#REF!,(VLOOKUP((LEFT($Y$3,6)),INDIRECT(D15),7,FALSE))))</f>
        <v>27.095917306692844</v>
      </c>
      <c r="T15" s="81">
        <f t="shared" ca="1" si="10"/>
        <v>4.4858299595141702</v>
      </c>
      <c r="U15" s="82">
        <f t="shared" ca="1" si="11"/>
        <v>52.974739641037004</v>
      </c>
      <c r="V15" s="96"/>
      <c r="W15" s="81">
        <f t="shared" ca="1" si="12"/>
        <v>1.8469923422205881</v>
      </c>
      <c r="X15" s="81">
        <f t="shared" ca="1" si="13"/>
        <v>52.974739641037004</v>
      </c>
      <c r="Y15" s="81">
        <f t="shared" ca="1" si="14"/>
        <v>52.974739641037004</v>
      </c>
      <c r="Z15" s="81">
        <f t="shared" ca="1" si="15"/>
        <v>1.8469923422205881</v>
      </c>
      <c r="AA15" s="97">
        <f t="shared" ca="1" si="16"/>
        <v>0</v>
      </c>
      <c r="AB15" s="87">
        <f t="shared" ca="1" si="17"/>
        <v>0.45970550507687169</v>
      </c>
      <c r="AC15" s="87">
        <v>0.5</v>
      </c>
      <c r="AD15" s="87">
        <f t="shared" ca="1" si="18"/>
        <v>0.79920175393896042</v>
      </c>
      <c r="AE15" s="87">
        <f t="shared" ca="1" si="19"/>
        <v>0.94838736778542421</v>
      </c>
      <c r="AF15" s="87"/>
      <c r="AG15" s="87"/>
      <c r="AH15" s="87">
        <f t="shared" ca="1" si="20"/>
        <v>-999</v>
      </c>
      <c r="AI15" s="87">
        <f t="shared" ca="1" si="21"/>
        <v>-999</v>
      </c>
      <c r="AJ15" s="87">
        <f t="shared" ca="1" si="25"/>
        <v>-999</v>
      </c>
      <c r="AK15" s="87">
        <f t="shared" ca="1" si="26"/>
        <v>0.90091112546162466</v>
      </c>
      <c r="AL15" s="87">
        <f t="shared" ca="1" si="22"/>
        <v>-999</v>
      </c>
      <c r="AM15" s="87">
        <f t="shared" ca="1" si="23"/>
        <v>-999</v>
      </c>
      <c r="AN15" s="87">
        <f t="shared" ca="1" si="27"/>
        <v>0.50616003445438806</v>
      </c>
      <c r="AO15" s="158">
        <f t="shared" si="29"/>
        <v>2.431</v>
      </c>
    </row>
    <row r="16" spans="1:41" s="21" customFormat="1" ht="10.199999999999999" x14ac:dyDescent="0.2">
      <c r="A16" s="440"/>
      <c r="B16" s="88">
        <v>6</v>
      </c>
      <c r="C16" s="193" t="s">
        <v>216</v>
      </c>
      <c r="D16" s="90" t="s">
        <v>205</v>
      </c>
      <c r="E16" s="112">
        <f t="shared" ca="1" si="28"/>
        <v>1</v>
      </c>
      <c r="F16" s="91" t="str">
        <f t="shared" ca="1" si="0"/>
        <v>N/A</v>
      </c>
      <c r="G16" s="92">
        <f t="shared" ca="1" si="1"/>
        <v>85.028364082383604</v>
      </c>
      <c r="H16" s="92">
        <f t="shared" ca="1" si="2"/>
        <v>84.671428158286531</v>
      </c>
      <c r="I16" s="92">
        <f t="shared" ca="1" si="3"/>
        <v>85.378423795981419</v>
      </c>
      <c r="J16" s="93">
        <f t="shared" ca="1" si="24"/>
        <v>3</v>
      </c>
      <c r="K16" s="94">
        <f t="shared" ca="1" si="4"/>
        <v>74.0476335135792</v>
      </c>
      <c r="L16" s="92">
        <f t="shared" ca="1" si="5"/>
        <v>82.313302973083054</v>
      </c>
      <c r="M16" s="92">
        <f t="shared" ca="1" si="6"/>
        <v>88.151671279165441</v>
      </c>
      <c r="N16" s="92">
        <f t="shared" ca="1" si="7"/>
        <v>95.607169448126839</v>
      </c>
      <c r="O16" s="92">
        <f t="shared" ca="1" si="8"/>
        <v>96.096831575962256</v>
      </c>
      <c r="P16" s="92"/>
      <c r="Q16" s="92"/>
      <c r="R16" s="92">
        <f t="shared" ca="1" si="9"/>
        <v>89.304330675382488</v>
      </c>
      <c r="S16" s="95">
        <f ca="1">IF($Y$3="Practice Locality",R16,IF($Y$3="Practice Cluster",#REF!,(VLOOKUP((LEFT($Y$3,6)),INDIRECT(D16),7,FALSE))))</f>
        <v>89.304330675382488</v>
      </c>
      <c r="T16" s="81">
        <f t="shared" ca="1" si="10"/>
        <v>96.096831575962256</v>
      </c>
      <c r="U16" s="82">
        <f t="shared" ca="1" si="11"/>
        <v>74.0476335135792</v>
      </c>
      <c r="V16" s="96"/>
      <c r="W16" s="81">
        <f t="shared" ca="1" si="12"/>
        <v>74.0476335135792</v>
      </c>
      <c r="X16" s="81">
        <f t="shared" ca="1" si="13"/>
        <v>102.25570904475168</v>
      </c>
      <c r="Y16" s="81">
        <f t="shared" ca="1" si="14"/>
        <v>74.0476335135792</v>
      </c>
      <c r="Z16" s="81">
        <f t="shared" ca="1" si="15"/>
        <v>102.25570904475168</v>
      </c>
      <c r="AA16" s="97">
        <f t="shared" ca="1" si="16"/>
        <v>0</v>
      </c>
      <c r="AB16" s="87">
        <f t="shared" ca="1" si="17"/>
        <v>0.29302493359993809</v>
      </c>
      <c r="AC16" s="87">
        <v>0.5</v>
      </c>
      <c r="AD16" s="87">
        <f t="shared" ca="1" si="18"/>
        <v>0.76430368001256932</v>
      </c>
      <c r="AE16" s="87">
        <f t="shared" ca="1" si="19"/>
        <v>0.78166261424026218</v>
      </c>
      <c r="AF16" s="87"/>
      <c r="AG16" s="87"/>
      <c r="AH16" s="87">
        <f t="shared" ca="1" si="20"/>
        <v>-999</v>
      </c>
      <c r="AI16" s="87">
        <f t="shared" ca="1" si="21"/>
        <v>-999</v>
      </c>
      <c r="AJ16" s="87">
        <f t="shared" ca="1" si="25"/>
        <v>-999</v>
      </c>
      <c r="AK16" s="87">
        <f t="shared" ca="1" si="26"/>
        <v>-999</v>
      </c>
      <c r="AL16" s="87">
        <f t="shared" ca="1" si="22"/>
        <v>0.38927613323601962</v>
      </c>
      <c r="AM16" s="87">
        <f t="shared" ca="1" si="23"/>
        <v>-999</v>
      </c>
      <c r="AN16" s="87">
        <f t="shared" ca="1" si="27"/>
        <v>0.54086274495908992</v>
      </c>
      <c r="AO16" s="158">
        <f t="shared" si="29"/>
        <v>2.8704999999999998</v>
      </c>
    </row>
    <row r="17" spans="1:41" s="21" customFormat="1" ht="10.199999999999999" x14ac:dyDescent="0.2">
      <c r="A17" s="440"/>
      <c r="B17" s="88">
        <v>7</v>
      </c>
      <c r="C17" s="193" t="s">
        <v>217</v>
      </c>
      <c r="D17" s="90" t="s">
        <v>210</v>
      </c>
      <c r="E17" s="112">
        <f t="shared" ca="1" si="28"/>
        <v>1</v>
      </c>
      <c r="F17" s="91" t="str">
        <f t="shared" ca="1" si="0"/>
        <v>N/A</v>
      </c>
      <c r="G17" s="92">
        <f t="shared" ca="1" si="1"/>
        <v>77.157427208422448</v>
      </c>
      <c r="H17" s="92">
        <f t="shared" ca="1" si="2"/>
        <v>76.68204922624345</v>
      </c>
      <c r="I17" s="92">
        <f t="shared" ca="1" si="3"/>
        <v>77.625941498875633</v>
      </c>
      <c r="J17" s="93">
        <f t="shared" ca="1" si="24"/>
        <v>4</v>
      </c>
      <c r="K17" s="94">
        <f t="shared" ca="1" si="4"/>
        <v>55.57344909676516</v>
      </c>
      <c r="L17" s="92">
        <f t="shared" ca="1" si="5"/>
        <v>68.591566460838479</v>
      </c>
      <c r="M17" s="92">
        <f t="shared" ca="1" si="6"/>
        <v>75.04521783464233</v>
      </c>
      <c r="N17" s="92">
        <f t="shared" ca="1" si="7"/>
        <v>82.235252899633053</v>
      </c>
      <c r="O17" s="92">
        <f t="shared" ca="1" si="8"/>
        <v>84.311332767402376</v>
      </c>
      <c r="P17" s="92"/>
      <c r="Q17" s="92"/>
      <c r="R17" s="92">
        <f t="shared" ca="1" si="9"/>
        <v>81.051472060885231</v>
      </c>
      <c r="S17" s="95">
        <f ca="1">IF($Y$3="Practice Locality",R17,IF($Y$3="Practice Cluster",#REF!,(VLOOKUP((LEFT($Y$3,6)),INDIRECT(D17),7,FALSE))))</f>
        <v>81.051472060885231</v>
      </c>
      <c r="T17" s="81">
        <f t="shared" ca="1" si="10"/>
        <v>84.311332767402376</v>
      </c>
      <c r="U17" s="82">
        <f t="shared" ca="1" si="11"/>
        <v>55.57344909676516</v>
      </c>
      <c r="V17" s="96"/>
      <c r="W17" s="81">
        <f t="shared" ca="1" si="12"/>
        <v>55.57344909676516</v>
      </c>
      <c r="X17" s="81">
        <f t="shared" ca="1" si="13"/>
        <v>94.5169865725195</v>
      </c>
      <c r="Y17" s="81">
        <f t="shared" ca="1" si="14"/>
        <v>55.57344909676516</v>
      </c>
      <c r="Z17" s="81">
        <f t="shared" ca="1" si="15"/>
        <v>94.5169865725195</v>
      </c>
      <c r="AA17" s="97">
        <f t="shared" ca="1" si="16"/>
        <v>0</v>
      </c>
      <c r="AB17" s="87">
        <f t="shared" ca="1" si="17"/>
        <v>0.33428184001461608</v>
      </c>
      <c r="AC17" s="87">
        <v>0.5</v>
      </c>
      <c r="AD17" s="87">
        <f t="shared" ca="1" si="18"/>
        <v>0.68462716874313567</v>
      </c>
      <c r="AE17" s="87">
        <f t="shared" ca="1" si="19"/>
        <v>0.7379371657885212</v>
      </c>
      <c r="AF17" s="87"/>
      <c r="AG17" s="87"/>
      <c r="AH17" s="87">
        <f t="shared" ca="1" si="20"/>
        <v>-999</v>
      </c>
      <c r="AI17" s="87">
        <f t="shared" ca="1" si="21"/>
        <v>-999</v>
      </c>
      <c r="AJ17" s="87">
        <f t="shared" ca="1" si="25"/>
        <v>-999</v>
      </c>
      <c r="AK17" s="87">
        <f t="shared" ca="1" si="26"/>
        <v>-999</v>
      </c>
      <c r="AL17" s="87">
        <f t="shared" ca="1" si="22"/>
        <v>-999</v>
      </c>
      <c r="AM17" s="87">
        <f t="shared" ca="1" si="23"/>
        <v>0.55423773777857621</v>
      </c>
      <c r="AN17" s="87">
        <f t="shared" ca="1" si="27"/>
        <v>0.65422980590765045</v>
      </c>
      <c r="AO17" s="158">
        <f t="shared" si="29"/>
        <v>3.3099999999999996</v>
      </c>
    </row>
    <row r="18" spans="1:41" s="21" customFormat="1" ht="10.199999999999999" x14ac:dyDescent="0.2">
      <c r="A18" s="440"/>
      <c r="B18" s="88">
        <v>8</v>
      </c>
      <c r="C18" s="194" t="s">
        <v>214</v>
      </c>
      <c r="D18" s="90" t="s">
        <v>242</v>
      </c>
      <c r="E18" s="112">
        <f t="shared" ca="1" si="28"/>
        <v>1</v>
      </c>
      <c r="F18" s="91" t="str">
        <f t="shared" ca="1" si="0"/>
        <v>N/A</v>
      </c>
      <c r="G18" s="92">
        <f t="shared" ca="1" si="1"/>
        <v>83.079873261921065</v>
      </c>
      <c r="H18" s="92">
        <f t="shared" ca="1" si="2"/>
        <v>80.558117949763002</v>
      </c>
      <c r="I18" s="92">
        <f t="shared" ca="1" si="3"/>
        <v>85.601628574079129</v>
      </c>
      <c r="J18" s="93">
        <f t="shared" ca="1" si="24"/>
        <v>2</v>
      </c>
      <c r="K18" s="94">
        <f t="shared" ca="1" si="4"/>
        <v>74.20453444581581</v>
      </c>
      <c r="L18" s="92">
        <f t="shared" ca="1" si="5"/>
        <v>79.421799056302632</v>
      </c>
      <c r="M18" s="92">
        <f t="shared" ca="1" si="6"/>
        <v>79.996892875729387</v>
      </c>
      <c r="N18" s="92">
        <f t="shared" ca="1" si="7"/>
        <v>82.037535796980265</v>
      </c>
      <c r="O18" s="92">
        <f t="shared" ca="1" si="8"/>
        <v>89.394808474842165</v>
      </c>
      <c r="P18" s="92"/>
      <c r="Q18" s="92"/>
      <c r="R18" s="92">
        <f t="shared" ca="1" si="9"/>
        <v>80.182339242425471</v>
      </c>
      <c r="S18" s="95">
        <f ca="1">IF($Y$3="Practice Locality",R18,IF($Y$3="Practice Cluster",#REF!,(VLOOKUP((LEFT($Y$3,6)),INDIRECT(D18),7,FALSE))))</f>
        <v>80.182339242425471</v>
      </c>
      <c r="T18" s="81">
        <f t="shared" ca="1" si="10"/>
        <v>89.394808474842165</v>
      </c>
      <c r="U18" s="82">
        <f t="shared" ca="1" si="11"/>
        <v>74.20453444581581</v>
      </c>
      <c r="V18" s="96"/>
      <c r="W18" s="81">
        <f t="shared" ca="1" si="12"/>
        <v>70.598977276616608</v>
      </c>
      <c r="X18" s="81">
        <f t="shared" ca="1" si="13"/>
        <v>89.394808474842165</v>
      </c>
      <c r="Y18" s="81">
        <f t="shared" ca="1" si="14"/>
        <v>70.598977276616608</v>
      </c>
      <c r="Z18" s="81">
        <f t="shared" ca="1" si="15"/>
        <v>89.394808474842165</v>
      </c>
      <c r="AA18" s="97">
        <f t="shared" ca="1" si="16"/>
        <v>0.19182749255268841</v>
      </c>
      <c r="AB18" s="87">
        <f t="shared" ca="1" si="17"/>
        <v>0.46940311852337518</v>
      </c>
      <c r="AC18" s="87">
        <v>0.5</v>
      </c>
      <c r="AD18" s="87">
        <f t="shared" ca="1" si="18"/>
        <v>0.60856891082547748</v>
      </c>
      <c r="AE18" s="87">
        <f t="shared" ca="1" si="19"/>
        <v>1</v>
      </c>
      <c r="AF18" s="87"/>
      <c r="AG18" s="87"/>
      <c r="AH18" s="87">
        <f t="shared" ca="1" si="20"/>
        <v>-999</v>
      </c>
      <c r="AI18" s="87">
        <f t="shared" ca="1" si="21"/>
        <v>-999</v>
      </c>
      <c r="AJ18" s="87">
        <f t="shared" ca="1" si="25"/>
        <v>-999</v>
      </c>
      <c r="AK18" s="87">
        <f t="shared" ca="1" si="26"/>
        <v>0.66402469003247544</v>
      </c>
      <c r="AL18" s="87">
        <f t="shared" ca="1" si="22"/>
        <v>-999</v>
      </c>
      <c r="AM18" s="87">
        <f t="shared" ca="1" si="23"/>
        <v>-999</v>
      </c>
      <c r="AN18" s="87">
        <f t="shared" ca="1" si="27"/>
        <v>0.50986635625423105</v>
      </c>
      <c r="AO18" s="158">
        <f t="shared" si="29"/>
        <v>3.7494999999999994</v>
      </c>
    </row>
    <row r="19" spans="1:41" s="21" customFormat="1" ht="10.199999999999999" x14ac:dyDescent="0.2">
      <c r="A19" s="440"/>
      <c r="B19" s="88">
        <v>9</v>
      </c>
      <c r="C19" s="194" t="s">
        <v>215</v>
      </c>
      <c r="D19" s="90" t="s">
        <v>243</v>
      </c>
      <c r="E19" s="112">
        <f t="shared" ca="1" si="28"/>
        <v>1</v>
      </c>
      <c r="F19" s="91" t="str">
        <f t="shared" ca="1" si="0"/>
        <v>N/A</v>
      </c>
      <c r="G19" s="92">
        <f t="shared" ca="1" si="1"/>
        <v>84.881768733522961</v>
      </c>
      <c r="H19" s="92">
        <f t="shared" ca="1" si="2"/>
        <v>82.810792722300647</v>
      </c>
      <c r="I19" s="92">
        <f t="shared" ca="1" si="3"/>
        <v>86.952744744745274</v>
      </c>
      <c r="J19" s="93">
        <f t="shared" ca="1" si="24"/>
        <v>5</v>
      </c>
      <c r="K19" s="94">
        <f t="shared" ca="1" si="4"/>
        <v>77.906537997353666</v>
      </c>
      <c r="L19" s="92">
        <f t="shared" ca="1" si="5"/>
        <v>82.305900903132709</v>
      </c>
      <c r="M19" s="92">
        <f t="shared" ca="1" si="6"/>
        <v>83.310312746401536</v>
      </c>
      <c r="N19" s="92">
        <f t="shared" ca="1" si="7"/>
        <v>84.881768733522961</v>
      </c>
      <c r="O19" s="92">
        <f t="shared" ca="1" si="8"/>
        <v>88.250913297544571</v>
      </c>
      <c r="P19" s="92"/>
      <c r="Q19" s="92"/>
      <c r="R19" s="92">
        <f t="shared" ca="1" si="9"/>
        <v>83.346999062287821</v>
      </c>
      <c r="S19" s="95">
        <f ca="1">IF($Y$3="Practice Locality",R19,IF($Y$3="Practice Cluster",#REF!,(VLOOKUP((LEFT($Y$3,6)),INDIRECT(D19),7,FALSE))))</f>
        <v>83.346999062287821</v>
      </c>
      <c r="T19" s="81">
        <f t="shared" ca="1" si="10"/>
        <v>88.250913297544571</v>
      </c>
      <c r="U19" s="82">
        <f t="shared" ca="1" si="11"/>
        <v>77.906537997353666</v>
      </c>
      <c r="V19" s="96"/>
      <c r="W19" s="81">
        <f t="shared" ca="1" si="12"/>
        <v>77.906537997353666</v>
      </c>
      <c r="X19" s="81">
        <f t="shared" ca="1" si="13"/>
        <v>88.714087495449405</v>
      </c>
      <c r="Y19" s="81">
        <f t="shared" ca="1" si="14"/>
        <v>77.906537997353666</v>
      </c>
      <c r="Z19" s="81">
        <f t="shared" ca="1" si="15"/>
        <v>88.714087495449405</v>
      </c>
      <c r="AA19" s="97">
        <f t="shared" ca="1" si="16"/>
        <v>0</v>
      </c>
      <c r="AB19" s="87">
        <f t="shared" ca="1" si="17"/>
        <v>0.40706386832225</v>
      </c>
      <c r="AC19" s="87">
        <v>0.5</v>
      </c>
      <c r="AD19" s="87">
        <f t="shared" ca="1" si="18"/>
        <v>0.64540354290288571</v>
      </c>
      <c r="AE19" s="87">
        <f t="shared" ca="1" si="19"/>
        <v>0.95714345809968815</v>
      </c>
      <c r="AF19" s="87"/>
      <c r="AG19" s="87"/>
      <c r="AH19" s="87">
        <f t="shared" ca="1" si="20"/>
        <v>-999</v>
      </c>
      <c r="AI19" s="87">
        <f t="shared" ca="1" si="21"/>
        <v>0.64540354290288571</v>
      </c>
      <c r="AJ19" s="87">
        <f t="shared" ca="1" si="25"/>
        <v>-999</v>
      </c>
      <c r="AK19" s="87">
        <f t="shared" ca="1" si="26"/>
        <v>-999</v>
      </c>
      <c r="AL19" s="87">
        <f t="shared" ca="1" si="22"/>
        <v>-999</v>
      </c>
      <c r="AM19" s="87">
        <f t="shared" ca="1" si="23"/>
        <v>-999</v>
      </c>
      <c r="AN19" s="87">
        <f t="shared" ca="1" si="27"/>
        <v>0.50339450824562493</v>
      </c>
      <c r="AO19" s="158">
        <f t="shared" si="29"/>
        <v>4.1889999999999992</v>
      </c>
    </row>
    <row r="20" spans="1:41" s="21" customFormat="1" ht="10.199999999999999" x14ac:dyDescent="0.2">
      <c r="A20" s="440"/>
      <c r="B20" s="88">
        <v>10</v>
      </c>
      <c r="C20" s="194" t="s">
        <v>254</v>
      </c>
      <c r="D20" s="90" t="s">
        <v>244</v>
      </c>
      <c r="E20" s="112">
        <f t="shared" ca="1" si="28"/>
        <v>2</v>
      </c>
      <c r="F20" s="91">
        <f t="shared" ca="1" si="0"/>
        <v>151</v>
      </c>
      <c r="G20" s="92">
        <f t="shared" ca="1" si="1"/>
        <v>833.95267501754768</v>
      </c>
      <c r="H20" s="92">
        <f t="shared" ca="1" si="2"/>
        <v>702.45606091837499</v>
      </c>
      <c r="I20" s="92">
        <f t="shared" ca="1" si="3"/>
        <v>982.35219007709702</v>
      </c>
      <c r="J20" s="93">
        <f t="shared" ca="1" si="24"/>
        <v>5</v>
      </c>
      <c r="K20" s="94">
        <f t="shared" ca="1" si="4"/>
        <v>401.4376879031974</v>
      </c>
      <c r="L20" s="92">
        <f t="shared" ca="1" si="5"/>
        <v>809.80787116797467</v>
      </c>
      <c r="M20" s="92">
        <f t="shared" ca="1" si="6"/>
        <v>961.24571079814052</v>
      </c>
      <c r="N20" s="92">
        <f t="shared" ca="1" si="7"/>
        <v>1122.435537489102</v>
      </c>
      <c r="O20" s="92">
        <f t="shared" ca="1" si="8"/>
        <v>2189.1405588611224</v>
      </c>
      <c r="P20" s="92"/>
      <c r="Q20" s="92"/>
      <c r="R20" s="92">
        <f t="shared" ca="1" si="9"/>
        <v>956.82849521728804</v>
      </c>
      <c r="S20" s="95">
        <f ca="1">IF($Y$3="Practice Locality",R20,IF($Y$3="Practice Cluster",#REF!,(VLOOKUP((LEFT($Y$3,6)),INDIRECT(D20),7,FALSE))))</f>
        <v>956.82849521728804</v>
      </c>
      <c r="T20" s="81">
        <f t="shared" ca="1" si="10"/>
        <v>401.4376879031974</v>
      </c>
      <c r="U20" s="82">
        <f t="shared" ca="1" si="11"/>
        <v>2189.1405588611224</v>
      </c>
      <c r="V20" s="96"/>
      <c r="W20" s="81">
        <f t="shared" ca="1" si="12"/>
        <v>-266.64913726484144</v>
      </c>
      <c r="X20" s="81">
        <f t="shared" ca="1" si="13"/>
        <v>2189.1405588611224</v>
      </c>
      <c r="Y20" s="81">
        <f t="shared" ca="1" si="14"/>
        <v>2189.1405588611224</v>
      </c>
      <c r="Z20" s="81">
        <f t="shared" ca="1" si="15"/>
        <v>-266.64913726484144</v>
      </c>
      <c r="AA20" s="97">
        <f t="shared" ca="1" si="16"/>
        <v>0</v>
      </c>
      <c r="AB20" s="87">
        <f t="shared" ca="1" si="17"/>
        <v>0.43436334269777238</v>
      </c>
      <c r="AC20" s="87">
        <v>0.5</v>
      </c>
      <c r="AD20" s="87">
        <f t="shared" ca="1" si="18"/>
        <v>0.56166563849871221</v>
      </c>
      <c r="AE20" s="87">
        <f t="shared" ca="1" si="19"/>
        <v>0.72795438215985941</v>
      </c>
      <c r="AF20" s="87"/>
      <c r="AG20" s="87"/>
      <c r="AH20" s="87">
        <f t="shared" ca="1" si="20"/>
        <v>-999</v>
      </c>
      <c r="AI20" s="87">
        <f t="shared" ca="1" si="21"/>
        <v>0.55183385042351096</v>
      </c>
      <c r="AJ20" s="87">
        <f ca="1">IF(G20="",-999,IF(J20=1,(G20-$Y20)/($Z20-$Y20),-999))</f>
        <v>-999</v>
      </c>
      <c r="AK20" s="87">
        <f t="shared" ca="1" si="26"/>
        <v>-999</v>
      </c>
      <c r="AL20" s="87">
        <f t="shared" ca="1" si="22"/>
        <v>-999</v>
      </c>
      <c r="AM20" s="87">
        <f t="shared" ca="1" si="23"/>
        <v>-999</v>
      </c>
      <c r="AN20" s="87">
        <f t="shared" ca="1" si="27"/>
        <v>0.50179869456567094</v>
      </c>
      <c r="AO20" s="158">
        <f t="shared" si="29"/>
        <v>4.6284999999999989</v>
      </c>
    </row>
    <row r="21" spans="1:41" s="21" customFormat="1" ht="10.199999999999999" x14ac:dyDescent="0.2">
      <c r="A21" s="440"/>
      <c r="B21" s="88">
        <v>11</v>
      </c>
      <c r="C21" s="194" t="s">
        <v>437</v>
      </c>
      <c r="D21" s="90" t="s">
        <v>245</v>
      </c>
      <c r="E21" s="112">
        <f t="shared" ca="1" si="28"/>
        <v>2</v>
      </c>
      <c r="F21" s="91">
        <f t="shared" ca="1" si="0"/>
        <v>37</v>
      </c>
      <c r="G21" s="92">
        <f t="shared" ca="1" si="1"/>
        <v>200.98363998495768</v>
      </c>
      <c r="H21" s="92">
        <f t="shared" ca="1" si="2"/>
        <v>139.68564444319586</v>
      </c>
      <c r="I21" s="92">
        <f t="shared" ca="1" si="3"/>
        <v>279.34707824104134</v>
      </c>
      <c r="J21" s="93">
        <f t="shared" ca="1" si="24"/>
        <v>2</v>
      </c>
      <c r="K21" s="94">
        <f t="shared" ca="1" si="4"/>
        <v>120.9041189017434</v>
      </c>
      <c r="L21" s="92">
        <f t="shared" ca="1" si="5"/>
        <v>317.03778969541867</v>
      </c>
      <c r="M21" s="92">
        <f t="shared" ca="1" si="6"/>
        <v>344.87164830165528</v>
      </c>
      <c r="N21" s="92">
        <f t="shared" ca="1" si="7"/>
        <v>375.73589550749284</v>
      </c>
      <c r="O21" s="92">
        <f t="shared" ca="1" si="8"/>
        <v>671.86872526024422</v>
      </c>
      <c r="P21" s="92"/>
      <c r="Q21" s="92"/>
      <c r="R21" s="92">
        <f t="shared" ca="1" si="9"/>
        <v>345.90085752495855</v>
      </c>
      <c r="S21" s="95">
        <f ca="1">IF($Y$3="Practice Locality",R21,IF($Y$3="Practice Cluster",#REF!,(VLOOKUP((LEFT($Y$3,6)),INDIRECT(D21),7,FALSE))))</f>
        <v>345.90085752495855</v>
      </c>
      <c r="T21" s="81">
        <f t="shared" ca="1" si="10"/>
        <v>120.9041189017434</v>
      </c>
      <c r="U21" s="82">
        <f t="shared" ca="1" si="11"/>
        <v>671.86872526024422</v>
      </c>
      <c r="V21" s="96"/>
      <c r="W21" s="81">
        <f t="shared" ca="1" si="12"/>
        <v>17.87457134306635</v>
      </c>
      <c r="X21" s="81">
        <f t="shared" ca="1" si="13"/>
        <v>671.86872526024422</v>
      </c>
      <c r="Y21" s="81">
        <f t="shared" ca="1" si="14"/>
        <v>671.86872526024422</v>
      </c>
      <c r="Z21" s="81">
        <f t="shared" ca="1" si="15"/>
        <v>17.87457134306635</v>
      </c>
      <c r="AA21" s="97">
        <f t="shared" ca="1" si="16"/>
        <v>0</v>
      </c>
      <c r="AB21" s="87">
        <f t="shared" ca="1" si="17"/>
        <v>0.45280653959829398</v>
      </c>
      <c r="AC21" s="87">
        <v>0.5</v>
      </c>
      <c r="AD21" s="87">
        <f t="shared" ca="1" si="18"/>
        <v>0.54255979726962744</v>
      </c>
      <c r="AE21" s="87">
        <f t="shared" ca="1" si="19"/>
        <v>0.84246105727158405</v>
      </c>
      <c r="AF21" s="87"/>
      <c r="AG21" s="87"/>
      <c r="AH21" s="87">
        <f t="shared" ca="1" si="20"/>
        <v>-999</v>
      </c>
      <c r="AI21" s="87">
        <f t="shared" ca="1" si="21"/>
        <v>-999</v>
      </c>
      <c r="AJ21" s="87">
        <f t="shared" ca="1" si="25"/>
        <v>-999</v>
      </c>
      <c r="AK21" s="87">
        <f t="shared" ca="1" si="26"/>
        <v>0.72001421183180736</v>
      </c>
      <c r="AL21" s="87">
        <f t="shared" ca="1" si="22"/>
        <v>-999</v>
      </c>
      <c r="AM21" s="87">
        <f t="shared" ca="1" si="23"/>
        <v>-999</v>
      </c>
      <c r="AN21" s="87">
        <f t="shared" ca="1" si="27"/>
        <v>0.49842627152377633</v>
      </c>
      <c r="AO21" s="158">
        <f t="shared" si="29"/>
        <v>5.0679999999999987</v>
      </c>
    </row>
    <row r="22" spans="1:41" s="21" customFormat="1" ht="10.199999999999999" x14ac:dyDescent="0.2">
      <c r="A22" s="440"/>
      <c r="B22" s="88">
        <v>12</v>
      </c>
      <c r="C22" s="194" t="s">
        <v>255</v>
      </c>
      <c r="D22" s="90" t="s">
        <v>250</v>
      </c>
      <c r="E22" s="112">
        <f t="shared" ca="1" si="28"/>
        <v>2</v>
      </c>
      <c r="F22" s="91">
        <f t="shared" ca="1" si="0"/>
        <v>25</v>
      </c>
      <c r="G22" s="92">
        <f t="shared" ca="1" si="1"/>
        <v>116.54035881419082</v>
      </c>
      <c r="H22" s="92">
        <f t="shared" ca="1" si="2"/>
        <v>74.140203435575515</v>
      </c>
      <c r="I22" s="92">
        <f t="shared" ca="1" si="3"/>
        <v>173.74074066064611</v>
      </c>
      <c r="J22" s="93">
        <f t="shared" ca="1" si="24"/>
        <v>2</v>
      </c>
      <c r="K22" s="94">
        <f t="shared" ca="1" si="4"/>
        <v>70.066647490413089</v>
      </c>
      <c r="L22" s="92">
        <f t="shared" ca="1" si="5"/>
        <v>172.35971798956672</v>
      </c>
      <c r="M22" s="92">
        <f t="shared" ca="1" si="6"/>
        <v>204.14706785210666</v>
      </c>
      <c r="N22" s="92">
        <f t="shared" ca="1" si="7"/>
        <v>227.02512790699762</v>
      </c>
      <c r="O22" s="92">
        <f t="shared" ca="1" si="8"/>
        <v>386.97649423620487</v>
      </c>
      <c r="P22" s="92"/>
      <c r="Q22" s="92"/>
      <c r="R22" s="92">
        <f t="shared" ca="1" si="9"/>
        <v>210.94408404142479</v>
      </c>
      <c r="S22" s="95">
        <f ca="1">IF($Y$3="Practice Locality",R22,IF($Y$3="Practice Cluster",#REF!,(VLOOKUP((LEFT($Y$3,6)),INDIRECT(D22),7,FALSE))))</f>
        <v>210.94408404142479</v>
      </c>
      <c r="T22" s="81">
        <f t="shared" ca="1" si="10"/>
        <v>70.066647490413089</v>
      </c>
      <c r="U22" s="82">
        <f t="shared" ca="1" si="11"/>
        <v>386.97649423620487</v>
      </c>
      <c r="V22" s="96"/>
      <c r="W22" s="81">
        <f t="shared" ca="1" si="12"/>
        <v>21.317641468008446</v>
      </c>
      <c r="X22" s="81">
        <f t="shared" ca="1" si="13"/>
        <v>386.97649423620487</v>
      </c>
      <c r="Y22" s="81">
        <f t="shared" ca="1" si="14"/>
        <v>386.97649423620487</v>
      </c>
      <c r="Z22" s="81">
        <f t="shared" ca="1" si="15"/>
        <v>21.317641468008446</v>
      </c>
      <c r="AA22" s="97">
        <f t="shared" ca="1" si="16"/>
        <v>0</v>
      </c>
      <c r="AB22" s="87">
        <f t="shared" ca="1" si="17"/>
        <v>0.43743332102670535</v>
      </c>
      <c r="AC22" s="87">
        <v>0.5</v>
      </c>
      <c r="AD22" s="87">
        <f t="shared" ca="1" si="18"/>
        <v>0.58693171140776679</v>
      </c>
      <c r="AE22" s="87">
        <f t="shared" ca="1" si="19"/>
        <v>0.86668172901229257</v>
      </c>
      <c r="AF22" s="87"/>
      <c r="AG22" s="87"/>
      <c r="AH22" s="87">
        <f t="shared" ca="1" si="20"/>
        <v>-999</v>
      </c>
      <c r="AI22" s="87">
        <f t="shared" ca="1" si="21"/>
        <v>-999</v>
      </c>
      <c r="AJ22" s="87">
        <f t="shared" ca="1" si="25"/>
        <v>-999</v>
      </c>
      <c r="AK22" s="87">
        <f t="shared" ca="1" si="26"/>
        <v>0.73958591013097308</v>
      </c>
      <c r="AL22" s="87">
        <f t="shared" ca="1" si="22"/>
        <v>-999</v>
      </c>
      <c r="AM22" s="87">
        <f t="shared" ca="1" si="23"/>
        <v>-999</v>
      </c>
      <c r="AN22" s="87">
        <f t="shared" ca="1" si="27"/>
        <v>0.48141159132929023</v>
      </c>
      <c r="AO22" s="158">
        <f t="shared" si="29"/>
        <v>5.5074999999999985</v>
      </c>
    </row>
    <row r="23" spans="1:41" s="21" customFormat="1" ht="10.199999999999999" x14ac:dyDescent="0.2">
      <c r="A23" s="440"/>
      <c r="B23" s="88">
        <v>13</v>
      </c>
      <c r="C23" s="215" t="s">
        <v>452</v>
      </c>
      <c r="D23" s="90" t="s">
        <v>252</v>
      </c>
      <c r="E23" s="112">
        <f t="shared" ref="E23" ca="1" si="30">IF((INDIRECT(LEFT(D23,(LEN(D23)-10))&amp;"K2"))="Low = Worst",1,IF((INDIRECT(LEFT(D23,(LEN(D23)-10))&amp;"K2"))="High = Worst",2,""))</f>
        <v>2</v>
      </c>
      <c r="F23" s="91">
        <f t="shared" ref="F23" ca="1" si="31">IF((VLOOKUP($H$3,INDIRECT(D23),6,FALSE))="","",VLOOKUP($H$3,INDIRECT(D23),6,FALSE))</f>
        <v>1100</v>
      </c>
      <c r="G23" s="92">
        <f t="shared" ref="G23" ca="1" si="32">IF((VLOOKUP($H$3,INDIRECT(D23),7,FALSE))="","",VLOOKUP($H$3,INDIRECT(D23),7,FALSE))</f>
        <v>168.97070586946262</v>
      </c>
      <c r="H23" s="92">
        <f t="shared" ref="H23" ca="1" si="33">VLOOKUP($H$3,INDIRECT(D23),8,FALSE)</f>
        <v>158.70444403697545</v>
      </c>
      <c r="I23" s="92">
        <f t="shared" ref="I23" ca="1" si="34">VLOOKUP($H$3,INDIRECT(D23),9,FALSE)</f>
        <v>179.70556551011751</v>
      </c>
      <c r="J23" s="93">
        <f t="shared" ref="J23" ca="1" si="35">VLOOKUP($H$3,INDIRECT(D23),13,FALSE)</f>
        <v>5</v>
      </c>
      <c r="K23" s="94">
        <f t="shared" ref="K23" ca="1" si="36">VLOOKUP($H$3,INDIRECT(D23),14,FALSE)</f>
        <v>85.335855567458964</v>
      </c>
      <c r="L23" s="92">
        <f t="shared" ref="L23" ca="1" si="37">VLOOKUP($H$3,INDIRECT(D23),15,FALSE)</f>
        <v>153.27069412093047</v>
      </c>
      <c r="M23" s="92">
        <f t="shared" ref="M23" ca="1" si="38">VLOOKUP($H$3,INDIRECT(D23),16,FALSE)</f>
        <v>177.10942742743939</v>
      </c>
      <c r="N23" s="92">
        <f t="shared" ref="N23" ca="1" si="39">VLOOKUP($H$3,INDIRECT(D23),19,FALSE)</f>
        <v>198.35777426836756</v>
      </c>
      <c r="O23" s="92">
        <f t="shared" ref="O23" ca="1" si="40">VLOOKUP($H$3,INDIRECT(D23),20,FALSE)</f>
        <v>228.71451664344383</v>
      </c>
      <c r="P23" s="92"/>
      <c r="Q23" s="92"/>
      <c r="R23" s="92">
        <f t="shared" ref="R23" ca="1" si="41">VLOOKUP($H$3,INDIRECT(D23),21,FALSE)</f>
        <v>189.57973969778232</v>
      </c>
      <c r="S23" s="95">
        <f ca="1">IF($Y$3="Practice Locality",R23,IF($Y$3="Practice Cluster",#REF!,(VLOOKUP((LEFT($Y$3,6)),INDIRECT(D23),7,FALSE))))</f>
        <v>189.57973969778232</v>
      </c>
      <c r="T23" s="81">
        <f t="shared" ref="T23" ca="1" si="42">IF($E23=1,O23,K23)</f>
        <v>85.335855567458964</v>
      </c>
      <c r="U23" s="82">
        <f t="shared" ref="U23" ca="1" si="43">IF($E23=1,K23,O23)</f>
        <v>228.71451664344383</v>
      </c>
      <c r="V23" s="96"/>
      <c r="W23" s="81">
        <f t="shared" ref="W23" ca="1" si="44">IF((M23-K23)&gt;(O23-M23),K23,(M23-(O23-M23)))</f>
        <v>85.335855567458964</v>
      </c>
      <c r="X23" s="81">
        <f t="shared" ref="X23" ca="1" si="45">IF(W23=K23,M23+(M23-K23),O23)</f>
        <v>268.88299928741981</v>
      </c>
      <c r="Y23" s="81">
        <f t="shared" ref="Y23" ca="1" si="46">IF(E23=1,W23,X23)</f>
        <v>268.88299928741981</v>
      </c>
      <c r="Z23" s="81">
        <f t="shared" ref="Z23" ca="1" si="47">IF(E23=1,X23,W23)</f>
        <v>85.335855567458964</v>
      </c>
      <c r="AA23" s="97">
        <f t="shared" ref="AA23" ca="1" si="48">IF(ISERROR(IF(E23=1,(K23-$Y23)/($Z23-$Y23),(U23-$Y23)/($Z23-$Y23))),"",IF(E23=1,(K23-$Y23)/($Z23-$Y23),(U23-$Y23)/($Z23-$Y23)))</f>
        <v>0.21884558827709852</v>
      </c>
      <c r="AB23" s="87">
        <f t="shared" ref="AB23" ca="1" si="49">IF(ISERROR(IF(E23=1,(L23-$Y23)/($Z23-$Y23),(N23-$Y23)/($Z23-$Y23))),"",IF(E23=1,(L23-$Y23)/($Z23-$Y23),(N23-$Y23)/($Z23-$Y23)))</f>
        <v>0.38423493599362718</v>
      </c>
      <c r="AC23" s="87">
        <v>0.5</v>
      </c>
      <c r="AD23" s="87">
        <f t="shared" ref="AD23" ca="1" si="50">IF(ISERROR(IF(E23=1,(N23-$Y23)/($Z23-$Y23),(L23-$Y23)/($Z23-$Y23))),"",IF(E23=1,(N23-$Y23)/($Z23-$Y23),(L23-$Y23)/($Z23-$Y23)))</f>
        <v>0.62987798569548892</v>
      </c>
      <c r="AE23" s="87">
        <f t="shared" ref="AE23" ca="1" si="51">IF(ISERROR(IF(E23=1,(O23-$Y23)/($Z23-$Y23),(K23-$Y23)/($Z23-$Y23))),"",IF(E23=1,(O23-$Y23)/($Z23-$Y23),(K23-$Y23)/($Z23-$Y23)))</f>
        <v>1</v>
      </c>
      <c r="AF23" s="87"/>
      <c r="AG23" s="87"/>
      <c r="AH23" s="87">
        <f t="shared" ref="AH23" ca="1" si="52">IF(G23="",-999,IF(J23=6,(G23-$Y23)/($Z23-$Y23),-999))</f>
        <v>-999</v>
      </c>
      <c r="AI23" s="87">
        <f t="shared" ref="AI23" ca="1" si="53">IF(G23="",-999,IF(J23=5,(G23-$Y23)/($Z23-$Y23),-999))</f>
        <v>0.54434131413340903</v>
      </c>
      <c r="AJ23" s="87">
        <f t="shared" ref="AJ23" ca="1" si="54">IF(G23="",-999,IF(J23=1,(G23-$Y23)/($Z23-$Y23),-999))</f>
        <v>-999</v>
      </c>
      <c r="AK23" s="87">
        <f t="shared" ref="AK23" ca="1" si="55">IF(G23="",-999,IF(J23=2,(G23-$Y23)/($Z23-$Y23),-999))</f>
        <v>-999</v>
      </c>
      <c r="AL23" s="87">
        <f t="shared" ref="AL23" ca="1" si="56">IF(G23="",-999,IF(J23=3,(G23-$Y23)/($Z23-$Y23),-999))</f>
        <v>-999</v>
      </c>
      <c r="AM23" s="87">
        <f t="shared" ref="AM23" ca="1" si="57">IF(G23="",-999,IF(J23=4,(G23-$Y23)/($Z23-$Y23),-999))</f>
        <v>-999</v>
      </c>
      <c r="AN23" s="87">
        <f t="shared" ref="AN23" ca="1" si="58">IF(ISERROR((S23-$Y23)/($Z23-$Y23)),-999,(S23-$Y23)/($Z23-$Y23))</f>
        <v>0.43205934988904554</v>
      </c>
      <c r="AO23" s="158">
        <f t="shared" si="29"/>
        <v>5.9469999999999983</v>
      </c>
    </row>
    <row r="24" spans="1:41" s="21" customFormat="1" ht="10.199999999999999" x14ac:dyDescent="0.2">
      <c r="A24" s="440"/>
      <c r="B24" s="88">
        <v>14</v>
      </c>
      <c r="C24" s="215" t="s">
        <v>226</v>
      </c>
      <c r="D24" s="90" t="s">
        <v>261</v>
      </c>
      <c r="E24" s="112">
        <f t="shared" ref="E24:E75" ca="1" si="59">IF((INDIRECT(LEFT(D24,(LEN(D24)-10))&amp;"K2"))="Low = Worst",1,IF((INDIRECT(LEFT(D24,(LEN(D24)-10))&amp;"K2"))="High = Worst",2,""))</f>
        <v>2</v>
      </c>
      <c r="F24" s="91">
        <f t="shared" ref="F24:F75" ca="1" si="60">IF((VLOOKUP($H$3,INDIRECT(D24),6,FALSE))="","",VLOOKUP($H$3,INDIRECT(D24),6,FALSE))</f>
        <v>311</v>
      </c>
      <c r="G24" s="92">
        <f t="shared" ref="G24:G75" ca="1" si="61">IF((VLOOKUP($H$3,INDIRECT(D24),7,FALSE))="","",VLOOKUP($H$3,INDIRECT(D24),7,FALSE))</f>
        <v>4.0754815882584197</v>
      </c>
      <c r="H24" s="92">
        <f t="shared" ref="H24:H75" ca="1" si="62">VLOOKUP($H$3,INDIRECT(D24),8,FALSE)</f>
        <v>3.654477991017</v>
      </c>
      <c r="I24" s="92">
        <f t="shared" ref="I24:I75" ca="1" si="63">VLOOKUP($H$3,INDIRECT(D24),9,FALSE)</f>
        <v>4.5426988881131596</v>
      </c>
      <c r="J24" s="93">
        <f t="shared" ref="J24:J75" ca="1" si="64">VLOOKUP($H$3,INDIRECT(D24),13,FALSE)</f>
        <v>2</v>
      </c>
      <c r="K24" s="94">
        <f t="shared" ref="K24:K75" ca="1" si="65">VLOOKUP($H$3,INDIRECT(D24),14,FALSE)</f>
        <v>0.75834175935288195</v>
      </c>
      <c r="L24" s="92">
        <f t="shared" ref="L24:L75" ca="1" si="66">VLOOKUP($H$3,INDIRECT(D24),15,FALSE)</f>
        <v>5.9499214940913996</v>
      </c>
      <c r="M24" s="92">
        <f t="shared" ref="M24:M75" ca="1" si="67">VLOOKUP($H$3,INDIRECT(D24),16,FALSE)</f>
        <v>5.6964365398100298</v>
      </c>
      <c r="N24" s="92">
        <f t="shared" ref="N24:N75" ca="1" si="68">VLOOKUP($H$3,INDIRECT(D24),19,FALSE)</f>
        <v>6.9905956112852703</v>
      </c>
      <c r="O24" s="92">
        <f t="shared" ref="O24:O75" ca="1" si="69">VLOOKUP($H$3,INDIRECT(D24),20,FALSE)</f>
        <v>7.8422684980061996</v>
      </c>
      <c r="P24" s="92"/>
      <c r="Q24" s="92"/>
      <c r="R24" s="92">
        <f t="shared" ref="R24:R75" ca="1" si="70">VLOOKUP($H$3,INDIRECT(D24),21,FALSE)</f>
        <v>6.4732563363137068</v>
      </c>
      <c r="S24" s="95">
        <f ca="1">IF($Y$3="Practice Locality",R24,IF($Y$3="Practice Cluster",#REF!,(VLOOKUP((LEFT($Y$3,6)),INDIRECT(D24),7,FALSE))))</f>
        <v>6.4732563363137068</v>
      </c>
      <c r="T24" s="81">
        <f t="shared" ref="T24:T75" ca="1" si="71">IF($E24=1,O24,K24)</f>
        <v>0.75834175935288195</v>
      </c>
      <c r="U24" s="82">
        <f t="shared" ref="U24:U75" ca="1" si="72">IF($E24=1,K24,O24)</f>
        <v>7.8422684980061996</v>
      </c>
      <c r="V24" s="96"/>
      <c r="W24" s="81">
        <f t="shared" ref="W24:W75" ca="1" si="73">IF((M24-K24)&gt;(O24-M24),K24,(M24-(O24-M24)))</f>
        <v>0.75834175935288195</v>
      </c>
      <c r="X24" s="81">
        <f t="shared" ref="X24:X75" ca="1" si="74">IF(W24=K24,M24+(M24-K24),O24)</f>
        <v>10.634531320267179</v>
      </c>
      <c r="Y24" s="81">
        <f t="shared" ref="Y24:Y75" ca="1" si="75">IF(E24=1,W24,X24)</f>
        <v>10.634531320267179</v>
      </c>
      <c r="Z24" s="81">
        <f t="shared" ref="Z24:Z75" ca="1" si="76">IF(E24=1,X24,W24)</f>
        <v>0.75834175935288195</v>
      </c>
      <c r="AA24" s="97">
        <f t="shared" ref="AA24:AA75" ca="1" si="77">IF(ISERROR(IF(E24=1,(K24-$Y24)/($Z24-$Y24),(U24-$Y24)/($Z24-$Y24))),"",IF(E24=1,(K24-$Y24)/($Z24-$Y24),(U24-$Y24)/($Z24-$Y24)))</f>
        <v>0.28272673433806422</v>
      </c>
      <c r="AB24" s="87">
        <f t="shared" ref="AB24:AB75" ca="1" si="78">IF(ISERROR(IF(E24=1,(L24-$Y24)/($Z24-$Y24),(N24-$Y24)/($Z24-$Y24))),"",IF(E24=1,(L24-$Y24)/($Z24-$Y24),(N24-$Y24)/($Z24-$Y24)))</f>
        <v>0.36896170193037164</v>
      </c>
      <c r="AC24" s="87">
        <v>0.5</v>
      </c>
      <c r="AD24" s="87">
        <f t="shared" ref="AD24:AD75" ca="1" si="79">IF(ISERROR(IF(E24=1,(N24-$Y24)/($Z24-$Y24),(L24-$Y24)/($Z24-$Y24))),"",IF(E24=1,(N24-$Y24)/($Z24-$Y24),(L24-$Y24)/($Z24-$Y24)))</f>
        <v>0.47433372934795082</v>
      </c>
      <c r="AE24" s="87">
        <f t="shared" ref="AE24:AE75" ca="1" si="80">IF(ISERROR(IF(E24=1,(O24-$Y24)/($Z24-$Y24),(K24-$Y24)/($Z24-$Y24))),"",IF(E24=1,(O24-$Y24)/($Z24-$Y24),(K24-$Y24)/($Z24-$Y24)))</f>
        <v>1</v>
      </c>
      <c r="AF24" s="87"/>
      <c r="AG24" s="87"/>
      <c r="AH24" s="87">
        <f t="shared" ref="AH24:AH75" ca="1" si="81">IF(G24="",-999,IF(J24=6,(G24-$Y24)/($Z24-$Y24),-999))</f>
        <v>-999</v>
      </c>
      <c r="AI24" s="87">
        <f t="shared" ref="AI24:AI75" ca="1" si="82">IF(G24="",-999,IF(J24=5,(G24-$Y24)/($Z24-$Y24),-999))</f>
        <v>-999</v>
      </c>
      <c r="AJ24" s="87">
        <f t="shared" ref="AJ24:AJ75" ca="1" si="83">IF(G24="",-999,IF(J24=1,(G24-$Y24)/($Z24-$Y24),-999))</f>
        <v>-999</v>
      </c>
      <c r="AK24" s="87">
        <f t="shared" ref="AK24:AK75" ca="1" si="84">IF(G24="",-999,IF(J24=2,(G24-$Y24)/($Z24-$Y24),-999))</f>
        <v>0.66412756575336018</v>
      </c>
      <c r="AL24" s="87">
        <f t="shared" ref="AL24:AL75" ca="1" si="85">IF(G24="",-999,IF(J24=3,(G24-$Y24)/($Z24-$Y24),-999))</f>
        <v>-999</v>
      </c>
      <c r="AM24" s="87">
        <f t="shared" ref="AM24:AM75" ca="1" si="86">IF(G24="",-999,IF(J24=4,(G24-$Y24)/($Z24-$Y24),-999))</f>
        <v>-999</v>
      </c>
      <c r="AN24" s="87">
        <f t="shared" ref="AN24:AN75" ca="1" si="87">IF(ISERROR((S24-$Y24)/($Z24-$Y24)),-999,(S24-$Y24)/($Z24-$Y24))</f>
        <v>0.42134417917837519</v>
      </c>
      <c r="AO24" s="158">
        <f t="shared" si="29"/>
        <v>6.3864999999999981</v>
      </c>
    </row>
    <row r="25" spans="1:41" s="21" customFormat="1" ht="10.199999999999999" x14ac:dyDescent="0.2">
      <c r="A25" s="440"/>
      <c r="B25" s="88">
        <v>15</v>
      </c>
      <c r="C25" s="215" t="s">
        <v>219</v>
      </c>
      <c r="D25" s="90" t="s">
        <v>263</v>
      </c>
      <c r="E25" s="112">
        <f t="shared" ca="1" si="59"/>
        <v>2</v>
      </c>
      <c r="F25" s="91">
        <f t="shared" ca="1" si="60"/>
        <v>467</v>
      </c>
      <c r="G25" s="92">
        <f t="shared" ca="1" si="61"/>
        <v>5.1699324698328404</v>
      </c>
      <c r="H25" s="92">
        <f t="shared" ca="1" si="62"/>
        <v>4.7320764626853302</v>
      </c>
      <c r="I25" s="92">
        <f t="shared" ca="1" si="63"/>
        <v>5.6459019835923199</v>
      </c>
      <c r="J25" s="93">
        <f t="shared" ca="1" si="64"/>
        <v>2</v>
      </c>
      <c r="K25" s="94">
        <f t="shared" ca="1" si="65"/>
        <v>2.4640657084188899</v>
      </c>
      <c r="L25" s="92">
        <f t="shared" ca="1" si="66"/>
        <v>5.0266388695853603</v>
      </c>
      <c r="M25" s="92">
        <f t="shared" ca="1" si="67"/>
        <v>5.7934579080787598</v>
      </c>
      <c r="N25" s="92">
        <f t="shared" ca="1" si="68"/>
        <v>6.34071024189398</v>
      </c>
      <c r="O25" s="92">
        <f t="shared" ca="1" si="69"/>
        <v>9.9487977185818899</v>
      </c>
      <c r="P25" s="92"/>
      <c r="Q25" s="92"/>
      <c r="R25" s="92">
        <f t="shared" ca="1" si="70"/>
        <v>6.7167902351862807</v>
      </c>
      <c r="S25" s="95">
        <f ca="1">IF($Y$3="Practice Locality",R25,IF($Y$3="Practice Cluster",#REF!,(VLOOKUP((LEFT($Y$3,6)),INDIRECT(D25),7,FALSE))))</f>
        <v>6.7167902351862807</v>
      </c>
      <c r="T25" s="81">
        <f t="shared" ca="1" si="71"/>
        <v>2.4640657084188899</v>
      </c>
      <c r="U25" s="82">
        <f t="shared" ca="1" si="72"/>
        <v>9.9487977185818899</v>
      </c>
      <c r="V25" s="96"/>
      <c r="W25" s="81">
        <f t="shared" ca="1" si="73"/>
        <v>1.6381180975756298</v>
      </c>
      <c r="X25" s="81">
        <f t="shared" ca="1" si="74"/>
        <v>9.9487977185818899</v>
      </c>
      <c r="Y25" s="81">
        <f t="shared" ca="1" si="75"/>
        <v>9.9487977185818899</v>
      </c>
      <c r="Z25" s="81">
        <f t="shared" ca="1" si="76"/>
        <v>1.6381180975756298</v>
      </c>
      <c r="AA25" s="97">
        <f t="shared" ca="1" si="77"/>
        <v>0</v>
      </c>
      <c r="AB25" s="87">
        <f t="shared" ca="1" si="78"/>
        <v>0.43415071224356033</v>
      </c>
      <c r="AC25" s="87">
        <v>0.5</v>
      </c>
      <c r="AD25" s="87">
        <f t="shared" ca="1" si="79"/>
        <v>0.59226911317278674</v>
      </c>
      <c r="AE25" s="87">
        <f t="shared" ca="1" si="80"/>
        <v>0.90061611703144273</v>
      </c>
      <c r="AF25" s="87"/>
      <c r="AG25" s="87"/>
      <c r="AH25" s="87">
        <f t="shared" ca="1" si="81"/>
        <v>-999</v>
      </c>
      <c r="AI25" s="87">
        <f t="shared" ca="1" si="82"/>
        <v>-999</v>
      </c>
      <c r="AJ25" s="87">
        <f t="shared" ca="1" si="83"/>
        <v>-999</v>
      </c>
      <c r="AK25" s="87">
        <f t="shared" ca="1" si="84"/>
        <v>0.57502700942410079</v>
      </c>
      <c r="AL25" s="87">
        <f t="shared" ca="1" si="85"/>
        <v>-999</v>
      </c>
      <c r="AM25" s="87">
        <f t="shared" ca="1" si="86"/>
        <v>-999</v>
      </c>
      <c r="AN25" s="87">
        <f t="shared" ca="1" si="87"/>
        <v>0.38889809627919175</v>
      </c>
      <c r="AO25" s="158">
        <f t="shared" si="29"/>
        <v>6.8259999999999978</v>
      </c>
    </row>
    <row r="26" spans="1:41" s="21" customFormat="1" ht="10.199999999999999" x14ac:dyDescent="0.2">
      <c r="A26" s="440"/>
      <c r="B26" s="88">
        <v>16</v>
      </c>
      <c r="C26" s="215" t="s">
        <v>394</v>
      </c>
      <c r="D26" s="90" t="s">
        <v>265</v>
      </c>
      <c r="E26" s="112">
        <f t="shared" ca="1" si="59"/>
        <v>2</v>
      </c>
      <c r="F26" s="91">
        <f t="shared" ca="1" si="60"/>
        <v>31</v>
      </c>
      <c r="G26" s="92">
        <f t="shared" ca="1" si="61"/>
        <v>130.82353452873829</v>
      </c>
      <c r="H26" s="92">
        <f t="shared" ca="1" si="62"/>
        <v>86.669922554208384</v>
      </c>
      <c r="I26" s="92">
        <f t="shared" ca="1" si="63"/>
        <v>188.58038899200866</v>
      </c>
      <c r="J26" s="93">
        <f t="shared" ca="1" si="64"/>
        <v>5</v>
      </c>
      <c r="K26" s="94">
        <f t="shared" ca="1" si="65"/>
        <v>35.630369695278844</v>
      </c>
      <c r="L26" s="92">
        <f t="shared" ca="1" si="66"/>
        <v>111.63492272418807</v>
      </c>
      <c r="M26" s="92">
        <f t="shared" ca="1" si="67"/>
        <v>132.33064583324659</v>
      </c>
      <c r="N26" s="92">
        <f t="shared" ca="1" si="68"/>
        <v>157.86774973748336</v>
      </c>
      <c r="O26" s="92">
        <f t="shared" ca="1" si="69"/>
        <v>241.4281734131078</v>
      </c>
      <c r="P26" s="92"/>
      <c r="Q26" s="92"/>
      <c r="R26" s="92">
        <f t="shared" ca="1" si="70"/>
        <v>141.56147325019262</v>
      </c>
      <c r="S26" s="95">
        <f ca="1">IF($Y$3="Practice Locality",R26,IF($Y$3="Practice Cluster",#REF!,(VLOOKUP((LEFT($Y$3,6)),INDIRECT(D26),7,FALSE))))</f>
        <v>141.56147325019262</v>
      </c>
      <c r="T26" s="81">
        <f t="shared" ca="1" si="71"/>
        <v>35.630369695278844</v>
      </c>
      <c r="U26" s="82">
        <f t="shared" ca="1" si="72"/>
        <v>241.4281734131078</v>
      </c>
      <c r="V26" s="96"/>
      <c r="W26" s="81">
        <f t="shared" ca="1" si="73"/>
        <v>23.233118253385385</v>
      </c>
      <c r="X26" s="81">
        <f t="shared" ca="1" si="74"/>
        <v>241.4281734131078</v>
      </c>
      <c r="Y26" s="81">
        <f t="shared" ca="1" si="75"/>
        <v>241.4281734131078</v>
      </c>
      <c r="Z26" s="81">
        <f t="shared" ca="1" si="76"/>
        <v>23.233118253385385</v>
      </c>
      <c r="AA26" s="97">
        <f t="shared" ca="1" si="77"/>
        <v>0</v>
      </c>
      <c r="AB26" s="87">
        <f t="shared" ca="1" si="78"/>
        <v>0.38296204107126447</v>
      </c>
      <c r="AC26" s="87">
        <v>0.5</v>
      </c>
      <c r="AD26" s="87">
        <f t="shared" ca="1" si="79"/>
        <v>0.59484964310446409</v>
      </c>
      <c r="AE26" s="87">
        <f t="shared" ca="1" si="80"/>
        <v>0.94318271130013254</v>
      </c>
      <c r="AF26" s="87"/>
      <c r="AG26" s="87"/>
      <c r="AH26" s="87">
        <f t="shared" ca="1" si="81"/>
        <v>-999</v>
      </c>
      <c r="AI26" s="87">
        <f t="shared" ca="1" si="82"/>
        <v>0.50690717442430155</v>
      </c>
      <c r="AJ26" s="87">
        <f t="shared" ca="1" si="83"/>
        <v>-999</v>
      </c>
      <c r="AK26" s="87">
        <f t="shared" ca="1" si="84"/>
        <v>-999</v>
      </c>
      <c r="AL26" s="87">
        <f t="shared" ca="1" si="85"/>
        <v>-999</v>
      </c>
      <c r="AM26" s="87">
        <f t="shared" ca="1" si="86"/>
        <v>-999</v>
      </c>
      <c r="AN26" s="87">
        <f t="shared" ca="1" si="87"/>
        <v>0.45769460765190617</v>
      </c>
      <c r="AO26" s="158">
        <f t="shared" si="29"/>
        <v>7.2654999999999976</v>
      </c>
    </row>
    <row r="27" spans="1:41" s="21" customFormat="1" ht="10.199999999999999" x14ac:dyDescent="0.2">
      <c r="A27" s="440"/>
      <c r="B27" s="88">
        <v>17</v>
      </c>
      <c r="C27" s="215" t="s">
        <v>220</v>
      </c>
      <c r="D27" s="90" t="s">
        <v>268</v>
      </c>
      <c r="E27" s="112">
        <f t="shared" ca="1" si="59"/>
        <v>2</v>
      </c>
      <c r="F27" s="91">
        <f t="shared" ca="1" si="60"/>
        <v>95</v>
      </c>
      <c r="G27" s="92">
        <f t="shared" ca="1" si="61"/>
        <v>1.0516993246983299</v>
      </c>
      <c r="H27" s="92">
        <f t="shared" ca="1" si="62"/>
        <v>0.86115553014990998</v>
      </c>
      <c r="I27" s="92">
        <f t="shared" ca="1" si="63"/>
        <v>1.28385785427202</v>
      </c>
      <c r="J27" s="93">
        <f t="shared" ca="1" si="64"/>
        <v>2</v>
      </c>
      <c r="K27" s="94">
        <f t="shared" ca="1" si="65"/>
        <v>0.118880363125473</v>
      </c>
      <c r="L27" s="92">
        <f t="shared" ca="1" si="66"/>
        <v>1.5224035522749599</v>
      </c>
      <c r="M27" s="92">
        <f t="shared" ca="1" si="67"/>
        <v>2.04505751615299</v>
      </c>
      <c r="N27" s="92">
        <f t="shared" ca="1" si="68"/>
        <v>2.734375</v>
      </c>
      <c r="O27" s="92">
        <f t="shared" ca="1" si="69"/>
        <v>3.22632682690756</v>
      </c>
      <c r="P27" s="92"/>
      <c r="Q27" s="92"/>
      <c r="R27" s="92">
        <f t="shared" ca="1" si="70"/>
        <v>2.4423636975413925</v>
      </c>
      <c r="S27" s="95">
        <f ca="1">IF($Y$3="Practice Locality",R27,IF($Y$3="Practice Cluster",#REF!,(VLOOKUP((LEFT($Y$3,6)),INDIRECT(D27),7,FALSE))))</f>
        <v>2.4423636975413925</v>
      </c>
      <c r="T27" s="81">
        <f t="shared" ca="1" si="71"/>
        <v>0.118880363125473</v>
      </c>
      <c r="U27" s="82">
        <f t="shared" ca="1" si="72"/>
        <v>3.22632682690756</v>
      </c>
      <c r="V27" s="96"/>
      <c r="W27" s="81">
        <f t="shared" ca="1" si="73"/>
        <v>0.118880363125473</v>
      </c>
      <c r="X27" s="81">
        <f t="shared" ca="1" si="74"/>
        <v>3.9712346691805074</v>
      </c>
      <c r="Y27" s="81">
        <f t="shared" ca="1" si="75"/>
        <v>3.9712346691805074</v>
      </c>
      <c r="Z27" s="81">
        <f t="shared" ca="1" si="76"/>
        <v>0.118880363125473</v>
      </c>
      <c r="AA27" s="97">
        <f t="shared" ca="1" si="77"/>
        <v>0.19336431259765485</v>
      </c>
      <c r="AB27" s="87">
        <f t="shared" ca="1" si="78"/>
        <v>0.32106591733694956</v>
      </c>
      <c r="AC27" s="87">
        <v>0.5</v>
      </c>
      <c r="AD27" s="87">
        <f t="shared" ca="1" si="79"/>
        <v>0.63567131223016948</v>
      </c>
      <c r="AE27" s="87">
        <f t="shared" ca="1" si="80"/>
        <v>1</v>
      </c>
      <c r="AF27" s="87"/>
      <c r="AG27" s="87"/>
      <c r="AH27" s="87">
        <f t="shared" ca="1" si="81"/>
        <v>-999</v>
      </c>
      <c r="AI27" s="87">
        <f t="shared" ca="1" si="82"/>
        <v>-999</v>
      </c>
      <c r="AJ27" s="87">
        <f t="shared" ca="1" si="83"/>
        <v>-999</v>
      </c>
      <c r="AK27" s="87">
        <f t="shared" ca="1" si="84"/>
        <v>0.75785743276347273</v>
      </c>
      <c r="AL27" s="87">
        <f t="shared" ca="1" si="85"/>
        <v>-999</v>
      </c>
      <c r="AM27" s="87">
        <f t="shared" ca="1" si="86"/>
        <v>-999</v>
      </c>
      <c r="AN27" s="87">
        <f t="shared" ca="1" si="87"/>
        <v>0.39686665612144595</v>
      </c>
      <c r="AO27" s="158">
        <f t="shared" si="29"/>
        <v>7.7049999999999974</v>
      </c>
    </row>
    <row r="28" spans="1:41" s="21" customFormat="1" ht="10.199999999999999" x14ac:dyDescent="0.2">
      <c r="A28" s="440"/>
      <c r="B28" s="88">
        <v>18</v>
      </c>
      <c r="C28" s="215" t="s">
        <v>393</v>
      </c>
      <c r="D28" s="90" t="s">
        <v>271</v>
      </c>
      <c r="E28" s="112">
        <f t="shared" ca="1" si="59"/>
        <v>2</v>
      </c>
      <c r="F28" s="91">
        <f t="shared" ca="1" si="60"/>
        <v>21</v>
      </c>
      <c r="G28" s="92">
        <f t="shared" ca="1" si="61"/>
        <v>208.18018996097587</v>
      </c>
      <c r="H28" s="92">
        <f t="shared" ca="1" si="62"/>
        <v>125.73394001232025</v>
      </c>
      <c r="I28" s="92">
        <f t="shared" ca="1" si="63"/>
        <v>322.51736365787059</v>
      </c>
      <c r="J28" s="93">
        <f t="shared" ca="1" si="64"/>
        <v>2</v>
      </c>
      <c r="K28" s="94">
        <f t="shared" ca="1" si="65"/>
        <v>96.15384615384616</v>
      </c>
      <c r="L28" s="92">
        <f t="shared" ca="1" si="66"/>
        <v>403.75755942964616</v>
      </c>
      <c r="M28" s="92">
        <f t="shared" ca="1" si="67"/>
        <v>577.58610687892588</v>
      </c>
      <c r="N28" s="92">
        <f t="shared" ca="1" si="68"/>
        <v>648.66912596249256</v>
      </c>
      <c r="O28" s="92">
        <f t="shared" ca="1" si="69"/>
        <v>1138.9916017903447</v>
      </c>
      <c r="P28" s="92"/>
      <c r="Q28" s="92"/>
      <c r="R28" s="92">
        <f t="shared" ca="1" si="70"/>
        <v>650.31183192481774</v>
      </c>
      <c r="S28" s="95">
        <f ca="1">IF($Y$3="Practice Locality",R28,IF($Y$3="Practice Cluster",#REF!,(VLOOKUP((LEFT($Y$3,6)),INDIRECT(D28),7,FALSE))))</f>
        <v>650.31183192481774</v>
      </c>
      <c r="T28" s="81">
        <f t="shared" ca="1" si="71"/>
        <v>96.15384615384616</v>
      </c>
      <c r="U28" s="82">
        <f t="shared" ca="1" si="72"/>
        <v>1138.9916017903447</v>
      </c>
      <c r="V28" s="96"/>
      <c r="W28" s="81">
        <f t="shared" ca="1" si="73"/>
        <v>16.180611967507048</v>
      </c>
      <c r="X28" s="81">
        <f t="shared" ca="1" si="74"/>
        <v>1138.9916017903447</v>
      </c>
      <c r="Y28" s="81">
        <f t="shared" ca="1" si="75"/>
        <v>1138.9916017903447</v>
      </c>
      <c r="Z28" s="81">
        <f t="shared" ca="1" si="76"/>
        <v>16.180611967507048</v>
      </c>
      <c r="AA28" s="97">
        <f t="shared" ca="1" si="77"/>
        <v>0</v>
      </c>
      <c r="AB28" s="87">
        <f t="shared" ca="1" si="78"/>
        <v>0.43669191010075303</v>
      </c>
      <c r="AC28" s="87">
        <v>0.5</v>
      </c>
      <c r="AD28" s="87">
        <f t="shared" ca="1" si="79"/>
        <v>0.65481550236403296</v>
      </c>
      <c r="AE28" s="87">
        <f t="shared" ca="1" si="80"/>
        <v>0.92877409028659608</v>
      </c>
      <c r="AF28" s="87"/>
      <c r="AG28" s="87"/>
      <c r="AH28" s="87">
        <f t="shared" ca="1" si="81"/>
        <v>-999</v>
      </c>
      <c r="AI28" s="87">
        <f t="shared" ca="1" si="82"/>
        <v>-999</v>
      </c>
      <c r="AJ28" s="87">
        <f t="shared" ca="1" si="83"/>
        <v>-999</v>
      </c>
      <c r="AK28" s="87">
        <f t="shared" ca="1" si="84"/>
        <v>0.82900098081177187</v>
      </c>
      <c r="AL28" s="87">
        <f t="shared" ca="1" si="85"/>
        <v>-999</v>
      </c>
      <c r="AM28" s="87">
        <f t="shared" ca="1" si="86"/>
        <v>-999</v>
      </c>
      <c r="AN28" s="87">
        <f t="shared" ca="1" si="87"/>
        <v>0.4352288802789801</v>
      </c>
      <c r="AO28" s="158">
        <f t="shared" si="29"/>
        <v>8.1444999999999972</v>
      </c>
    </row>
    <row r="29" spans="1:41" s="21" customFormat="1" ht="10.199999999999999" x14ac:dyDescent="0.2">
      <c r="A29" s="440"/>
      <c r="B29" s="88">
        <v>19</v>
      </c>
      <c r="C29" s="215" t="s">
        <v>438</v>
      </c>
      <c r="D29" s="90" t="s">
        <v>283</v>
      </c>
      <c r="E29" s="112">
        <f t="shared" ref="E29" ca="1" si="88">IF((INDIRECT(LEFT(D29,(LEN(D29)-10))&amp;"K2"))="Low = Worst",1,IF((INDIRECT(LEFT(D29,(LEN(D29)-10))&amp;"K2"))="High = Worst",2,""))</f>
        <v>2</v>
      </c>
      <c r="F29" s="91" t="str">
        <f t="shared" ref="F29" ca="1" si="89">IF((VLOOKUP($H$3,INDIRECT(D29),6,FALSE))="","",VLOOKUP($H$3,INDIRECT(D29),6,FALSE))</f>
        <v>N/A</v>
      </c>
      <c r="G29" s="92">
        <f t="shared" ref="G29" ca="1" si="90">IF((VLOOKUP($H$3,INDIRECT(D29),7,FALSE))="","",VLOOKUP($H$3,INDIRECT(D29),7,FALSE))</f>
        <v>22.958656712013457</v>
      </c>
      <c r="H29" s="92">
        <f t="shared" ref="H29" ca="1" si="91">VLOOKUP($H$3,INDIRECT(D29),8,FALSE)</f>
        <v>6.1725527748945455</v>
      </c>
      <c r="I29" s="92">
        <f t="shared" ref="I29" ca="1" si="92">VLOOKUP($H$3,INDIRECT(D29),9,FALSE)</f>
        <v>58.78742314960737</v>
      </c>
      <c r="J29" s="93">
        <f t="shared" ref="J29" ca="1" si="93">VLOOKUP($H$3,INDIRECT(D29),13,FALSE)</f>
        <v>5</v>
      </c>
      <c r="K29" s="94">
        <f t="shared" ref="K29" ca="1" si="94">VLOOKUP($H$3,INDIRECT(D29),14,FALSE)</f>
        <v>12.845815183753546</v>
      </c>
      <c r="L29" s="92">
        <f t="shared" ref="L29" ca="1" si="95">VLOOKUP($H$3,INDIRECT(D29),15,FALSE)</f>
        <v>29.608827647058352</v>
      </c>
      <c r="M29" s="92">
        <f t="shared" ref="M29" ca="1" si="96">VLOOKUP($H$3,INDIRECT(D29),16,FALSE)</f>
        <v>41.764257200581525</v>
      </c>
      <c r="N29" s="92">
        <f t="shared" ref="N29" ca="1" si="97">VLOOKUP($H$3,INDIRECT(D29),19,FALSE)</f>
        <v>52.609249600155138</v>
      </c>
      <c r="O29" s="92">
        <f t="shared" ref="O29" ca="1" si="98">VLOOKUP($H$3,INDIRECT(D29),20,FALSE)</f>
        <v>98.805534872264218</v>
      </c>
      <c r="P29" s="92"/>
      <c r="Q29" s="92"/>
      <c r="R29" s="92">
        <f t="shared" ref="R29" ca="1" si="99">VLOOKUP($H$3,INDIRECT(D29),21,FALSE)</f>
        <v>43.396566170613561</v>
      </c>
      <c r="S29" s="95">
        <f ca="1">IF($Y$3="Practice Locality",R29,IF($Y$3="Practice Cluster",#REF!,(VLOOKUP((LEFT($Y$3,6)),INDIRECT(D29),7,FALSE))))</f>
        <v>43.396566170613561</v>
      </c>
      <c r="T29" s="81">
        <f t="shared" ref="T29" ca="1" si="100">IF($E29=1,O29,K29)</f>
        <v>12.845815183753546</v>
      </c>
      <c r="U29" s="82">
        <f t="shared" ref="U29" ca="1" si="101">IF($E29=1,K29,O29)</f>
        <v>98.805534872264218</v>
      </c>
      <c r="V29" s="96"/>
      <c r="W29" s="81">
        <f t="shared" ref="W29" ca="1" si="102">IF((M29-K29)&gt;(O29-M29),K29,(M29-(O29-M29)))</f>
        <v>-15.277020471101167</v>
      </c>
      <c r="X29" s="81">
        <f t="shared" ref="X29" ca="1" si="103">IF(W29=K29,M29+(M29-K29),O29)</f>
        <v>98.805534872264218</v>
      </c>
      <c r="Y29" s="81">
        <f t="shared" ref="Y29" ca="1" si="104">IF(E29=1,W29,X29)</f>
        <v>98.805534872264218</v>
      </c>
      <c r="Z29" s="81">
        <f t="shared" ref="Z29" ca="1" si="105">IF(E29=1,X29,W29)</f>
        <v>-15.277020471101167</v>
      </c>
      <c r="AA29" s="97">
        <f t="shared" ref="AA29" ca="1" si="106">IF(ISERROR(IF(E29=1,(K29-$Y29)/($Z29-$Y29),(U29-$Y29)/($Z29-$Y29))),"",IF(E29=1,(K29-$Y29)/($Z29-$Y29),(U29-$Y29)/($Z29-$Y29)))</f>
        <v>0</v>
      </c>
      <c r="AB29" s="87">
        <f t="shared" ref="AB29" ca="1" si="107">IF(ISERROR(IF(E29=1,(L29-$Y29)/($Z29-$Y29),(N29-$Y29)/($Z29-$Y29))),"",IF(E29=1,(L29-$Y29)/($Z29-$Y29),(N29-$Y29)/($Z29-$Y29)))</f>
        <v>0.40493732922678333</v>
      </c>
      <c r="AC29" s="87">
        <v>0.5</v>
      </c>
      <c r="AD29" s="87">
        <f t="shared" ref="AD29" ca="1" si="108">IF(ISERROR(IF(E29=1,(N29-$Y29)/($Z29-$Y29),(L29-$Y29)/($Z29-$Y29))),"",IF(E29=1,(N29-$Y29)/($Z29-$Y29),(L29-$Y29)/($Z29-$Y29)))</f>
        <v>0.60654941517515804</v>
      </c>
      <c r="AE29" s="87">
        <f t="shared" ref="AE29" ca="1" si="109">IF(ISERROR(IF(E29=1,(O29-$Y29)/($Z29-$Y29),(K29-$Y29)/($Z29-$Y29))),"",IF(E29=1,(O29-$Y29)/($Z29-$Y29),(K29-$Y29)/($Z29-$Y29)))</f>
        <v>0.75348697642500495</v>
      </c>
      <c r="AF29" s="87"/>
      <c r="AG29" s="87"/>
      <c r="AH29" s="87">
        <f t="shared" ref="AH29" ca="1" si="110">IF(G29="",-999,IF(J29=6,(G29-$Y29)/($Z29-$Y29),-999))</f>
        <v>-999</v>
      </c>
      <c r="AI29" s="87">
        <f t="shared" ref="AI29" ca="1" si="111">IF(G29="",-999,IF(J29=5,(G29-$Y29)/($Z29-$Y29),-999))</f>
        <v>0.66484203419152921</v>
      </c>
      <c r="AJ29" s="87">
        <f t="shared" ref="AJ29" ca="1" si="112">IF(G29="",-999,IF(J29=1,(G29-$Y29)/($Z29-$Y29),-999))</f>
        <v>-999</v>
      </c>
      <c r="AK29" s="87">
        <f t="shared" ref="AK29" ca="1" si="113">IF(G29="",-999,IF(J29=2,(G29-$Y29)/($Z29-$Y29),-999))</f>
        <v>-999</v>
      </c>
      <c r="AL29" s="87">
        <f t="shared" ref="AL29" ca="1" si="114">IF(G29="",-999,IF(J29=3,(G29-$Y29)/($Z29-$Y29),-999))</f>
        <v>-999</v>
      </c>
      <c r="AM29" s="87">
        <f t="shared" ref="AM29" ca="1" si="115">IF(G29="",-999,IF(J29=4,(G29-$Y29)/($Z29-$Y29),-999))</f>
        <v>-999</v>
      </c>
      <c r="AN29" s="87">
        <f t="shared" ref="AN29" ca="1" si="116">IF(ISERROR((S29-$Y29)/($Z29-$Y29)),-999,(S29-$Y29)/($Z29-$Y29))</f>
        <v>0.48569186178273166</v>
      </c>
      <c r="AO29" s="158">
        <f t="shared" si="29"/>
        <v>8.5839999999999979</v>
      </c>
    </row>
    <row r="30" spans="1:41" s="21" customFormat="1" ht="10.199999999999999" x14ac:dyDescent="0.2">
      <c r="A30" s="440"/>
      <c r="B30" s="88">
        <v>20</v>
      </c>
      <c r="C30" s="215" t="s">
        <v>221</v>
      </c>
      <c r="D30" s="90" t="s">
        <v>284</v>
      </c>
      <c r="E30" s="112">
        <f t="shared" ca="1" si="59"/>
        <v>2</v>
      </c>
      <c r="F30" s="91">
        <f t="shared" ca="1" si="60"/>
        <v>165</v>
      </c>
      <c r="G30" s="92">
        <f t="shared" ca="1" si="61"/>
        <v>1.82663566921289</v>
      </c>
      <c r="H30" s="92">
        <f t="shared" ca="1" si="62"/>
        <v>1.57025768761846</v>
      </c>
      <c r="I30" s="92">
        <f t="shared" ca="1" si="63"/>
        <v>2.1239695525290099</v>
      </c>
      <c r="J30" s="93">
        <f t="shared" ca="1" si="64"/>
        <v>2</v>
      </c>
      <c r="K30" s="94">
        <f t="shared" ca="1" si="65"/>
        <v>0.151302280341511</v>
      </c>
      <c r="L30" s="92">
        <f t="shared" ca="1" si="66"/>
        <v>1.87463386057411</v>
      </c>
      <c r="M30" s="92">
        <f t="shared" ca="1" si="67"/>
        <v>2.2549679381008301</v>
      </c>
      <c r="N30" s="92">
        <f t="shared" ca="1" si="68"/>
        <v>2.8996646171045302</v>
      </c>
      <c r="O30" s="92">
        <f t="shared" ca="1" si="69"/>
        <v>3.6466026587887699</v>
      </c>
      <c r="P30" s="92"/>
      <c r="Q30" s="92"/>
      <c r="R30" s="92">
        <f t="shared" ca="1" si="70"/>
        <v>2.6314873472797524</v>
      </c>
      <c r="S30" s="95">
        <f ca="1">IF($Y$3="Practice Locality",R30,IF($Y$3="Practice Cluster",#REF!,(VLOOKUP((LEFT($Y$3,6)),INDIRECT(D30),7,FALSE))))</f>
        <v>2.6314873472797524</v>
      </c>
      <c r="T30" s="81">
        <f t="shared" ca="1" si="71"/>
        <v>0.151302280341511</v>
      </c>
      <c r="U30" s="82">
        <f t="shared" ca="1" si="72"/>
        <v>3.6466026587887699</v>
      </c>
      <c r="V30" s="96"/>
      <c r="W30" s="81">
        <f t="shared" ca="1" si="73"/>
        <v>0.151302280341511</v>
      </c>
      <c r="X30" s="81">
        <f t="shared" ca="1" si="74"/>
        <v>4.358633595860149</v>
      </c>
      <c r="Y30" s="81">
        <f t="shared" ca="1" si="75"/>
        <v>4.358633595860149</v>
      </c>
      <c r="Z30" s="81">
        <f t="shared" ca="1" si="76"/>
        <v>0.151302280341511</v>
      </c>
      <c r="AA30" s="97">
        <f t="shared" ca="1" si="77"/>
        <v>0.16923576577985922</v>
      </c>
      <c r="AB30" s="87">
        <f t="shared" ca="1" si="78"/>
        <v>0.34676826457052423</v>
      </c>
      <c r="AC30" s="87">
        <v>0.5</v>
      </c>
      <c r="AD30" s="87">
        <f t="shared" ca="1" si="79"/>
        <v>0.59039793850412192</v>
      </c>
      <c r="AE30" s="87">
        <f t="shared" ca="1" si="80"/>
        <v>1</v>
      </c>
      <c r="AF30" s="87"/>
      <c r="AG30" s="87"/>
      <c r="AH30" s="87">
        <f t="shared" ca="1" si="81"/>
        <v>-999</v>
      </c>
      <c r="AI30" s="87">
        <f t="shared" ca="1" si="82"/>
        <v>-999</v>
      </c>
      <c r="AJ30" s="87">
        <f t="shared" ca="1" si="83"/>
        <v>-999</v>
      </c>
      <c r="AK30" s="87">
        <f t="shared" ca="1" si="84"/>
        <v>0.60180616565851308</v>
      </c>
      <c r="AL30" s="87">
        <f t="shared" ca="1" si="85"/>
        <v>-999</v>
      </c>
      <c r="AM30" s="87">
        <f t="shared" ca="1" si="86"/>
        <v>-999</v>
      </c>
      <c r="AN30" s="87">
        <f t="shared" ca="1" si="87"/>
        <v>0.41050873322237785</v>
      </c>
      <c r="AO30" s="158">
        <f t="shared" si="29"/>
        <v>9.0234999999999985</v>
      </c>
    </row>
    <row r="31" spans="1:41" s="21" customFormat="1" ht="10.199999999999999" x14ac:dyDescent="0.2">
      <c r="A31" s="440"/>
      <c r="B31" s="88">
        <v>21</v>
      </c>
      <c r="C31" s="215" t="s">
        <v>279</v>
      </c>
      <c r="D31" s="90" t="s">
        <v>285</v>
      </c>
      <c r="E31" s="112">
        <f t="shared" ca="1" si="59"/>
        <v>2</v>
      </c>
      <c r="F31" s="91">
        <f t="shared" ca="1" si="60"/>
        <v>945</v>
      </c>
      <c r="G31" s="92">
        <f t="shared" ca="1" si="61"/>
        <v>10.461640650946499</v>
      </c>
      <c r="H31" s="92">
        <f t="shared" ca="1" si="62"/>
        <v>9.8472025678898198</v>
      </c>
      <c r="I31" s="92">
        <f t="shared" ca="1" si="63"/>
        <v>11.1096933503422</v>
      </c>
      <c r="J31" s="93">
        <f t="shared" ca="1" si="64"/>
        <v>5</v>
      </c>
      <c r="K31" s="94">
        <f t="shared" ca="1" si="65"/>
        <v>1.24824381281747</v>
      </c>
      <c r="L31" s="92">
        <f t="shared" ca="1" si="66"/>
        <v>9.1677978490132599</v>
      </c>
      <c r="M31" s="92">
        <f t="shared" ca="1" si="67"/>
        <v>10.5262056773447</v>
      </c>
      <c r="N31" s="92">
        <f t="shared" ca="1" si="68"/>
        <v>12.7735135754382</v>
      </c>
      <c r="O31" s="92">
        <f t="shared" ca="1" si="69"/>
        <v>14.9874231414198</v>
      </c>
      <c r="P31" s="92"/>
      <c r="Q31" s="92"/>
      <c r="R31" s="92">
        <f t="shared" ca="1" si="70"/>
        <v>12.243145718031721</v>
      </c>
      <c r="S31" s="95">
        <f ca="1">IF($Y$3="Practice Locality",R31,IF($Y$3="Practice Cluster",#REF!,(VLOOKUP((LEFT($Y$3,6)),INDIRECT(D31),7,FALSE))))</f>
        <v>12.243145718031721</v>
      </c>
      <c r="T31" s="81">
        <f t="shared" ca="1" si="71"/>
        <v>1.24824381281747</v>
      </c>
      <c r="U31" s="82">
        <f t="shared" ca="1" si="72"/>
        <v>14.9874231414198</v>
      </c>
      <c r="V31" s="96"/>
      <c r="W31" s="81">
        <f t="shared" ca="1" si="73"/>
        <v>1.24824381281747</v>
      </c>
      <c r="X31" s="81">
        <f t="shared" ca="1" si="74"/>
        <v>19.80416754187193</v>
      </c>
      <c r="Y31" s="81">
        <f t="shared" ca="1" si="75"/>
        <v>19.80416754187193</v>
      </c>
      <c r="Z31" s="81">
        <f t="shared" ca="1" si="76"/>
        <v>1.24824381281747</v>
      </c>
      <c r="AA31" s="97">
        <f t="shared" ca="1" si="77"/>
        <v>0.2595798770669755</v>
      </c>
      <c r="AB31" s="87">
        <f t="shared" ca="1" si="78"/>
        <v>0.37889000133285128</v>
      </c>
      <c r="AC31" s="87">
        <v>0.5</v>
      </c>
      <c r="AD31" s="87">
        <f t="shared" ca="1" si="79"/>
        <v>0.57320615498135918</v>
      </c>
      <c r="AE31" s="87">
        <f t="shared" ca="1" si="80"/>
        <v>1</v>
      </c>
      <c r="AF31" s="87"/>
      <c r="AG31" s="87"/>
      <c r="AH31" s="87">
        <f t="shared" ca="1" si="81"/>
        <v>-999</v>
      </c>
      <c r="AI31" s="87">
        <f t="shared" ca="1" si="82"/>
        <v>0.50347948328204795</v>
      </c>
      <c r="AJ31" s="87">
        <f t="shared" ca="1" si="83"/>
        <v>-999</v>
      </c>
      <c r="AK31" s="87">
        <f t="shared" ca="1" si="84"/>
        <v>-999</v>
      </c>
      <c r="AL31" s="87">
        <f t="shared" ca="1" si="85"/>
        <v>-999</v>
      </c>
      <c r="AM31" s="87">
        <f t="shared" ca="1" si="86"/>
        <v>-999</v>
      </c>
      <c r="AN31" s="87">
        <f t="shared" ca="1" si="87"/>
        <v>0.407472133117325</v>
      </c>
      <c r="AO31" s="158">
        <f t="shared" si="29"/>
        <v>9.4629999999999992</v>
      </c>
    </row>
    <row r="32" spans="1:41" s="21" customFormat="1" ht="10.199999999999999" x14ac:dyDescent="0.2">
      <c r="A32" s="440"/>
      <c r="B32" s="88">
        <v>22</v>
      </c>
      <c r="C32" s="215" t="s">
        <v>439</v>
      </c>
      <c r="D32" s="90" t="s">
        <v>286</v>
      </c>
      <c r="E32" s="112">
        <f t="shared" ca="1" si="59"/>
        <v>2</v>
      </c>
      <c r="F32" s="91">
        <f t="shared" ca="1" si="60"/>
        <v>10</v>
      </c>
      <c r="G32" s="92">
        <f t="shared" ca="1" si="61"/>
        <v>63.789242798090875</v>
      </c>
      <c r="H32" s="92">
        <f t="shared" ca="1" si="62"/>
        <v>30.261285646064508</v>
      </c>
      <c r="I32" s="92">
        <f t="shared" ca="1" si="63"/>
        <v>117.76444877850115</v>
      </c>
      <c r="J32" s="93">
        <f t="shared" ca="1" si="64"/>
        <v>5</v>
      </c>
      <c r="K32" s="94">
        <f t="shared" ca="1" si="65"/>
        <v>3.1307723615415921</v>
      </c>
      <c r="L32" s="92">
        <f t="shared" ca="1" si="66"/>
        <v>60.261041199073425</v>
      </c>
      <c r="M32" s="92">
        <f t="shared" ca="1" si="67"/>
        <v>74.662565234312666</v>
      </c>
      <c r="N32" s="92">
        <f t="shared" ca="1" si="68"/>
        <v>97.414100365887151</v>
      </c>
      <c r="O32" s="92">
        <f t="shared" ca="1" si="69"/>
        <v>127.60934194505236</v>
      </c>
      <c r="P32" s="92"/>
      <c r="Q32" s="92"/>
      <c r="R32" s="92">
        <f t="shared" ca="1" si="70"/>
        <v>72.660161710178173</v>
      </c>
      <c r="S32" s="95">
        <f ca="1">IF($Y$3="Practice Locality",R32,IF($Y$3="Practice Cluster",#REF!,(VLOOKUP((LEFT($Y$3,6)),INDIRECT(D32),7,FALSE))))</f>
        <v>72.660161710178173</v>
      </c>
      <c r="T32" s="81">
        <f t="shared" ca="1" si="71"/>
        <v>3.1307723615415921</v>
      </c>
      <c r="U32" s="82">
        <f t="shared" ca="1" si="72"/>
        <v>127.60934194505236</v>
      </c>
      <c r="V32" s="96"/>
      <c r="W32" s="81">
        <f t="shared" ca="1" si="73"/>
        <v>3.1307723615415921</v>
      </c>
      <c r="X32" s="81">
        <f t="shared" ca="1" si="74"/>
        <v>146.19435810708376</v>
      </c>
      <c r="Y32" s="81">
        <f t="shared" ca="1" si="75"/>
        <v>146.19435810708376</v>
      </c>
      <c r="Z32" s="81">
        <f t="shared" ca="1" si="76"/>
        <v>3.1307723615415921</v>
      </c>
      <c r="AA32" s="97">
        <f t="shared" ca="1" si="77"/>
        <v>0.12990738394525736</v>
      </c>
      <c r="AB32" s="87">
        <f t="shared" ca="1" si="78"/>
        <v>0.34096906971113433</v>
      </c>
      <c r="AC32" s="87">
        <v>0.5</v>
      </c>
      <c r="AD32" s="87">
        <f t="shared" ca="1" si="79"/>
        <v>0.60066519694853948</v>
      </c>
      <c r="AE32" s="87">
        <f t="shared" ca="1" si="80"/>
        <v>1</v>
      </c>
      <c r="AF32" s="87"/>
      <c r="AG32" s="87"/>
      <c r="AH32" s="87">
        <f t="shared" ca="1" si="81"/>
        <v>-999</v>
      </c>
      <c r="AI32" s="87">
        <f t="shared" ca="1" si="82"/>
        <v>0.57600342448819564</v>
      </c>
      <c r="AJ32" s="87">
        <f t="shared" ca="1" si="83"/>
        <v>-999</v>
      </c>
      <c r="AK32" s="87">
        <f t="shared" ca="1" si="84"/>
        <v>-999</v>
      </c>
      <c r="AL32" s="87">
        <f t="shared" ca="1" si="85"/>
        <v>-999</v>
      </c>
      <c r="AM32" s="87">
        <f t="shared" ca="1" si="86"/>
        <v>-999</v>
      </c>
      <c r="AN32" s="87">
        <f t="shared" ca="1" si="87"/>
        <v>0.51399659818184662</v>
      </c>
      <c r="AO32" s="158">
        <f t="shared" si="29"/>
        <v>9.9024999999999999</v>
      </c>
    </row>
    <row r="33" spans="1:41" s="21" customFormat="1" ht="10.199999999999999" x14ac:dyDescent="0.2">
      <c r="A33" s="440"/>
      <c r="B33" s="88">
        <v>23</v>
      </c>
      <c r="C33" s="215" t="s">
        <v>395</v>
      </c>
      <c r="D33" s="90" t="s">
        <v>287</v>
      </c>
      <c r="E33" s="112">
        <f t="shared" ca="1" si="59"/>
        <v>2</v>
      </c>
      <c r="F33" s="91" t="str">
        <f t="shared" ca="1" si="60"/>
        <v>N/A</v>
      </c>
      <c r="G33" s="92">
        <f t="shared" ca="1" si="61"/>
        <v>563.09668312866881</v>
      </c>
      <c r="H33" s="92">
        <f t="shared" ca="1" si="62"/>
        <v>512.08686372965326</v>
      </c>
      <c r="I33" s="92">
        <f t="shared" ca="1" si="63"/>
        <v>617.69214574891964</v>
      </c>
      <c r="J33" s="93">
        <f t="shared" ca="1" si="64"/>
        <v>2</v>
      </c>
      <c r="K33" s="94">
        <f t="shared" ca="1" si="65"/>
        <v>538.99964780180619</v>
      </c>
      <c r="L33" s="92">
        <f t="shared" ca="1" si="66"/>
        <v>605.37969342511428</v>
      </c>
      <c r="M33" s="92">
        <f t="shared" ca="1" si="67"/>
        <v>652.18616308014555</v>
      </c>
      <c r="N33" s="92">
        <f t="shared" ca="1" si="68"/>
        <v>673.77651210859142</v>
      </c>
      <c r="O33" s="92">
        <f t="shared" ca="1" si="69"/>
        <v>785.83076374632401</v>
      </c>
      <c r="P33" s="92"/>
      <c r="Q33" s="92"/>
      <c r="R33" s="92">
        <f t="shared" ca="1" si="70"/>
        <v>667.99642251288333</v>
      </c>
      <c r="S33" s="95">
        <f ca="1">IF($Y$3="Practice Locality",R33,IF($Y$3="Practice Cluster",#REF!,(VLOOKUP((LEFT($Y$3,6)),INDIRECT(D33),7,FALSE))))</f>
        <v>667.99642251288333</v>
      </c>
      <c r="T33" s="81">
        <f t="shared" ca="1" si="71"/>
        <v>538.99964780180619</v>
      </c>
      <c r="U33" s="82">
        <f t="shared" ca="1" si="72"/>
        <v>785.83076374632401</v>
      </c>
      <c r="V33" s="96"/>
      <c r="W33" s="81">
        <f t="shared" ca="1" si="73"/>
        <v>518.54156241396709</v>
      </c>
      <c r="X33" s="81">
        <f t="shared" ca="1" si="74"/>
        <v>785.83076374632401</v>
      </c>
      <c r="Y33" s="81">
        <f t="shared" ca="1" si="75"/>
        <v>785.83076374632401</v>
      </c>
      <c r="Z33" s="81">
        <f t="shared" ca="1" si="76"/>
        <v>518.54156241396709</v>
      </c>
      <c r="AA33" s="97">
        <f t="shared" ca="1" si="77"/>
        <v>0</v>
      </c>
      <c r="AB33" s="87">
        <f t="shared" ca="1" si="78"/>
        <v>0.41922476134155656</v>
      </c>
      <c r="AC33" s="87">
        <v>0.5</v>
      </c>
      <c r="AD33" s="87">
        <f t="shared" ca="1" si="79"/>
        <v>0.67511545330568901</v>
      </c>
      <c r="AE33" s="87">
        <f t="shared" ca="1" si="80"/>
        <v>0.92346086079848477</v>
      </c>
      <c r="AF33" s="87"/>
      <c r="AG33" s="87"/>
      <c r="AH33" s="87">
        <f t="shared" ca="1" si="81"/>
        <v>-999</v>
      </c>
      <c r="AI33" s="87">
        <f t="shared" ca="1" si="82"/>
        <v>-999</v>
      </c>
      <c r="AJ33" s="87">
        <f t="shared" ca="1" si="83"/>
        <v>-999</v>
      </c>
      <c r="AK33" s="87">
        <f t="shared" ca="1" si="84"/>
        <v>0.83330744192953643</v>
      </c>
      <c r="AL33" s="87">
        <f t="shared" ca="1" si="85"/>
        <v>-999</v>
      </c>
      <c r="AM33" s="87">
        <f t="shared" ca="1" si="86"/>
        <v>-999</v>
      </c>
      <c r="AN33" s="87">
        <f t="shared" ca="1" si="87"/>
        <v>0.44084961399888828</v>
      </c>
      <c r="AO33" s="158">
        <f t="shared" si="29"/>
        <v>10.342000000000001</v>
      </c>
    </row>
    <row r="34" spans="1:41" s="21" customFormat="1" ht="10.199999999999999" x14ac:dyDescent="0.2">
      <c r="A34" s="440"/>
      <c r="B34" s="88">
        <v>24</v>
      </c>
      <c r="C34" s="215" t="s">
        <v>396</v>
      </c>
      <c r="D34" s="90" t="s">
        <v>288</v>
      </c>
      <c r="E34" s="112">
        <f t="shared" ca="1" si="59"/>
        <v>2</v>
      </c>
      <c r="F34" s="91" t="str">
        <f t="shared" ca="1" si="60"/>
        <v>N/A</v>
      </c>
      <c r="G34" s="92">
        <f t="shared" ca="1" si="61"/>
        <v>624.00579147611677</v>
      </c>
      <c r="H34" s="92">
        <f t="shared" ca="1" si="62"/>
        <v>544.82245997324935</v>
      </c>
      <c r="I34" s="92">
        <f t="shared" ca="1" si="63"/>
        <v>711.13301925588064</v>
      </c>
      <c r="J34" s="93">
        <f t="shared" ca="1" si="64"/>
        <v>5</v>
      </c>
      <c r="K34" s="94">
        <f t="shared" ca="1" si="65"/>
        <v>568.97341686204425</v>
      </c>
      <c r="L34" s="92">
        <f t="shared" ca="1" si="66"/>
        <v>708.717306793185</v>
      </c>
      <c r="M34" s="92">
        <f t="shared" ca="1" si="67"/>
        <v>742.59383804112838</v>
      </c>
      <c r="N34" s="92">
        <f t="shared" ca="1" si="68"/>
        <v>753.51350651618009</v>
      </c>
      <c r="O34" s="92">
        <f t="shared" ca="1" si="69"/>
        <v>876.68695192082794</v>
      </c>
      <c r="P34" s="92"/>
      <c r="Q34" s="92"/>
      <c r="R34" s="92">
        <f t="shared" ca="1" si="70"/>
        <v>760.12779455305576</v>
      </c>
      <c r="S34" s="95">
        <f ca="1">IF($Y$3="Practice Locality",R34,IF($Y$3="Practice Cluster",#REF!,(VLOOKUP((LEFT($Y$3,6)),INDIRECT(D34),7,FALSE))))</f>
        <v>760.12779455305576</v>
      </c>
      <c r="T34" s="81">
        <f t="shared" ca="1" si="71"/>
        <v>568.97341686204425</v>
      </c>
      <c r="U34" s="82">
        <f t="shared" ca="1" si="72"/>
        <v>876.68695192082794</v>
      </c>
      <c r="V34" s="96"/>
      <c r="W34" s="81">
        <f t="shared" ca="1" si="73"/>
        <v>568.97341686204425</v>
      </c>
      <c r="X34" s="81">
        <f t="shared" ca="1" si="74"/>
        <v>916.21425922021251</v>
      </c>
      <c r="Y34" s="81">
        <f t="shared" ca="1" si="75"/>
        <v>916.21425922021251</v>
      </c>
      <c r="Z34" s="81">
        <f t="shared" ca="1" si="76"/>
        <v>568.97341686204425</v>
      </c>
      <c r="AA34" s="97">
        <f t="shared" ca="1" si="77"/>
        <v>0.11383254063936803</v>
      </c>
      <c r="AB34" s="87">
        <f t="shared" ca="1" si="78"/>
        <v>0.468553041166199</v>
      </c>
      <c r="AC34" s="87">
        <v>0.5</v>
      </c>
      <c r="AD34" s="87">
        <f t="shared" ca="1" si="79"/>
        <v>0.59755917828640903</v>
      </c>
      <c r="AE34" s="87">
        <f t="shared" ca="1" si="80"/>
        <v>1</v>
      </c>
      <c r="AF34" s="87"/>
      <c r="AG34" s="87"/>
      <c r="AH34" s="87">
        <f t="shared" ca="1" si="81"/>
        <v>-999</v>
      </c>
      <c r="AI34" s="87">
        <f t="shared" ca="1" si="82"/>
        <v>0.84151526001279442</v>
      </c>
      <c r="AJ34" s="87">
        <f t="shared" ca="1" si="83"/>
        <v>-999</v>
      </c>
      <c r="AK34" s="87">
        <f t="shared" ca="1" si="84"/>
        <v>-999</v>
      </c>
      <c r="AL34" s="87">
        <f t="shared" ca="1" si="85"/>
        <v>-999</v>
      </c>
      <c r="AM34" s="87">
        <f t="shared" ca="1" si="86"/>
        <v>-999</v>
      </c>
      <c r="AN34" s="87">
        <f t="shared" ca="1" si="87"/>
        <v>0.44950491309475155</v>
      </c>
      <c r="AO34" s="158">
        <f t="shared" si="29"/>
        <v>10.781500000000001</v>
      </c>
    </row>
    <row r="35" spans="1:41" s="21" customFormat="1" ht="10.199999999999999" x14ac:dyDescent="0.2">
      <c r="A35" s="440"/>
      <c r="B35" s="88">
        <v>25</v>
      </c>
      <c r="C35" s="215" t="s">
        <v>397</v>
      </c>
      <c r="D35" s="90" t="s">
        <v>289</v>
      </c>
      <c r="E35" s="112">
        <f t="shared" ca="1" si="59"/>
        <v>2</v>
      </c>
      <c r="F35" s="91" t="str">
        <f t="shared" ca="1" si="60"/>
        <v>N/A</v>
      </c>
      <c r="G35" s="92">
        <f t="shared" ca="1" si="61"/>
        <v>520.12162838408153</v>
      </c>
      <c r="H35" s="92">
        <f t="shared" ca="1" si="62"/>
        <v>453.38635260945932</v>
      </c>
      <c r="I35" s="92">
        <f t="shared" ca="1" si="63"/>
        <v>593.64150955022478</v>
      </c>
      <c r="J35" s="93">
        <f t="shared" ca="1" si="64"/>
        <v>5</v>
      </c>
      <c r="K35" s="94">
        <f t="shared" ca="1" si="65"/>
        <v>461.93502392399483</v>
      </c>
      <c r="L35" s="92">
        <f t="shared" ca="1" si="66"/>
        <v>520.12162838408153</v>
      </c>
      <c r="M35" s="92">
        <f t="shared" ca="1" si="67"/>
        <v>587.10505122555446</v>
      </c>
      <c r="N35" s="92">
        <f t="shared" ca="1" si="68"/>
        <v>617.87494574764378</v>
      </c>
      <c r="O35" s="92">
        <f t="shared" ca="1" si="69"/>
        <v>718.04480255815304</v>
      </c>
      <c r="P35" s="92"/>
      <c r="Q35" s="92"/>
      <c r="R35" s="92">
        <f t="shared" ca="1" si="70"/>
        <v>603.75152751013616</v>
      </c>
      <c r="S35" s="95">
        <f ca="1">IF($Y$3="Practice Locality",R35,IF($Y$3="Practice Cluster",#REF!,(VLOOKUP((LEFT($Y$3,6)),INDIRECT(D35),7,FALSE))))</f>
        <v>603.75152751013616</v>
      </c>
      <c r="T35" s="81">
        <f t="shared" ca="1" si="71"/>
        <v>461.93502392399483</v>
      </c>
      <c r="U35" s="82">
        <f t="shared" ca="1" si="72"/>
        <v>718.04480255815304</v>
      </c>
      <c r="V35" s="96"/>
      <c r="W35" s="81">
        <f t="shared" ca="1" si="73"/>
        <v>456.16529989295589</v>
      </c>
      <c r="X35" s="81">
        <f t="shared" ca="1" si="74"/>
        <v>718.04480255815304</v>
      </c>
      <c r="Y35" s="81">
        <f t="shared" ca="1" si="75"/>
        <v>718.04480255815304</v>
      </c>
      <c r="Z35" s="81">
        <f t="shared" ca="1" si="76"/>
        <v>456.16529989295589</v>
      </c>
      <c r="AA35" s="97">
        <f t="shared" ca="1" si="77"/>
        <v>0</v>
      </c>
      <c r="AB35" s="87">
        <f t="shared" ca="1" si="78"/>
        <v>0.38250361632377378</v>
      </c>
      <c r="AC35" s="87">
        <v>0.5</v>
      </c>
      <c r="AD35" s="87">
        <f t="shared" ca="1" si="79"/>
        <v>0.75577955571081346</v>
      </c>
      <c r="AE35" s="87">
        <f t="shared" ca="1" si="80"/>
        <v>0.9779680197483217</v>
      </c>
      <c r="AF35" s="87"/>
      <c r="AG35" s="87"/>
      <c r="AH35" s="87">
        <f t="shared" ca="1" si="81"/>
        <v>-999</v>
      </c>
      <c r="AI35" s="87">
        <f t="shared" ca="1" si="82"/>
        <v>0.75577955571081346</v>
      </c>
      <c r="AJ35" s="87">
        <f t="shared" ca="1" si="83"/>
        <v>-999</v>
      </c>
      <c r="AK35" s="87">
        <f t="shared" ca="1" si="84"/>
        <v>-999</v>
      </c>
      <c r="AL35" s="87">
        <f t="shared" ca="1" si="85"/>
        <v>-999</v>
      </c>
      <c r="AM35" s="87">
        <f t="shared" ca="1" si="86"/>
        <v>-999</v>
      </c>
      <c r="AN35" s="87">
        <f t="shared" ca="1" si="87"/>
        <v>0.43643459638815807</v>
      </c>
      <c r="AO35" s="158">
        <f t="shared" si="29"/>
        <v>11.221000000000002</v>
      </c>
    </row>
    <row r="36" spans="1:41" s="21" customFormat="1" ht="10.199999999999999" x14ac:dyDescent="0.2">
      <c r="A36" s="440"/>
      <c r="B36" s="88">
        <v>26</v>
      </c>
      <c r="C36" s="215" t="s">
        <v>398</v>
      </c>
      <c r="D36" s="90" t="s">
        <v>290</v>
      </c>
      <c r="E36" s="112">
        <f t="shared" ca="1" si="59"/>
        <v>2</v>
      </c>
      <c r="F36" s="91" t="str">
        <f t="shared" ca="1" si="60"/>
        <v>N/A</v>
      </c>
      <c r="G36" s="92">
        <f t="shared" ca="1" si="61"/>
        <v>62.874899859762188</v>
      </c>
      <c r="H36" s="92">
        <f t="shared" ca="1" si="62"/>
        <v>46.536717441790735</v>
      </c>
      <c r="I36" s="92">
        <f t="shared" ca="1" si="63"/>
        <v>82.967648646876142</v>
      </c>
      <c r="J36" s="93">
        <f t="shared" ca="1" si="64"/>
        <v>5</v>
      </c>
      <c r="K36" s="94">
        <f t="shared" ca="1" si="65"/>
        <v>44.334041733063991</v>
      </c>
      <c r="L36" s="92">
        <f t="shared" ca="1" si="66"/>
        <v>66.242857022666101</v>
      </c>
      <c r="M36" s="92">
        <f t="shared" ca="1" si="67"/>
        <v>72.521498279672301</v>
      </c>
      <c r="N36" s="92">
        <f t="shared" ca="1" si="68"/>
        <v>80.036640937897857</v>
      </c>
      <c r="O36" s="92">
        <f t="shared" ca="1" si="69"/>
        <v>105.12680216602915</v>
      </c>
      <c r="P36" s="92"/>
      <c r="Q36" s="92"/>
      <c r="R36" s="92">
        <f t="shared" ca="1" si="70"/>
        <v>67.021923142834083</v>
      </c>
      <c r="S36" s="95">
        <f ca="1">IF($Y$3="Practice Locality",R36,IF($Y$3="Practice Cluster",#REF!,(VLOOKUP((LEFT($Y$3,6)),INDIRECT(D36),7,FALSE))))</f>
        <v>67.021923142834083</v>
      </c>
      <c r="T36" s="81">
        <f t="shared" ca="1" si="71"/>
        <v>44.334041733063991</v>
      </c>
      <c r="U36" s="82">
        <f t="shared" ca="1" si="72"/>
        <v>105.12680216602915</v>
      </c>
      <c r="V36" s="96"/>
      <c r="W36" s="81">
        <f t="shared" ca="1" si="73"/>
        <v>39.91619439331545</v>
      </c>
      <c r="X36" s="81">
        <f t="shared" ca="1" si="74"/>
        <v>105.12680216602915</v>
      </c>
      <c r="Y36" s="81">
        <f t="shared" ca="1" si="75"/>
        <v>105.12680216602915</v>
      </c>
      <c r="Z36" s="81">
        <f t="shared" ca="1" si="76"/>
        <v>39.91619439331545</v>
      </c>
      <c r="AA36" s="97">
        <f t="shared" ca="1" si="77"/>
        <v>0</v>
      </c>
      <c r="AB36" s="87">
        <f t="shared" ca="1" si="78"/>
        <v>0.3847558255488282</v>
      </c>
      <c r="AC36" s="87">
        <v>0.5</v>
      </c>
      <c r="AD36" s="87">
        <f t="shared" ca="1" si="79"/>
        <v>0.59628251401811649</v>
      </c>
      <c r="AE36" s="87">
        <f t="shared" ca="1" si="80"/>
        <v>0.93225262743836723</v>
      </c>
      <c r="AF36" s="87"/>
      <c r="AG36" s="87"/>
      <c r="AH36" s="87">
        <f t="shared" ca="1" si="81"/>
        <v>-999</v>
      </c>
      <c r="AI36" s="87">
        <f t="shared" ca="1" si="82"/>
        <v>0.64792989590792582</v>
      </c>
      <c r="AJ36" s="87">
        <f t="shared" ca="1" si="83"/>
        <v>-999</v>
      </c>
      <c r="AK36" s="87">
        <f t="shared" ca="1" si="84"/>
        <v>-999</v>
      </c>
      <c r="AL36" s="87">
        <f t="shared" ca="1" si="85"/>
        <v>-999</v>
      </c>
      <c r="AM36" s="87">
        <f t="shared" ca="1" si="86"/>
        <v>-999</v>
      </c>
      <c r="AN36" s="87">
        <f t="shared" ca="1" si="87"/>
        <v>0.58433559085979603</v>
      </c>
      <c r="AO36" s="158">
        <f t="shared" si="29"/>
        <v>11.660500000000003</v>
      </c>
    </row>
    <row r="37" spans="1:41" s="21" customFormat="1" ht="10.199999999999999" x14ac:dyDescent="0.2">
      <c r="A37" s="440"/>
      <c r="B37" s="88">
        <v>27</v>
      </c>
      <c r="C37" s="215" t="s">
        <v>399</v>
      </c>
      <c r="D37" s="90" t="s">
        <v>291</v>
      </c>
      <c r="E37" s="112">
        <f t="shared" ca="1" si="59"/>
        <v>2</v>
      </c>
      <c r="F37" s="91" t="str">
        <f t="shared" ca="1" si="60"/>
        <v>N/A</v>
      </c>
      <c r="G37" s="92">
        <f t="shared" ca="1" si="61"/>
        <v>67.7179489737144</v>
      </c>
      <c r="H37" s="92">
        <f t="shared" ca="1" si="62"/>
        <v>50.315285979311668</v>
      </c>
      <c r="I37" s="92">
        <f t="shared" ca="1" si="63"/>
        <v>89.119799364900899</v>
      </c>
      <c r="J37" s="93">
        <f t="shared" ca="1" si="64"/>
        <v>2</v>
      </c>
      <c r="K37" s="94">
        <f t="shared" ca="1" si="65"/>
        <v>51.064235980336264</v>
      </c>
      <c r="L37" s="92">
        <f t="shared" ca="1" si="66"/>
        <v>71.018799599538269</v>
      </c>
      <c r="M37" s="92">
        <f t="shared" ca="1" si="67"/>
        <v>105.35274830777894</v>
      </c>
      <c r="N37" s="92">
        <f t="shared" ca="1" si="68"/>
        <v>116.57854906875946</v>
      </c>
      <c r="O37" s="92">
        <f t="shared" ca="1" si="69"/>
        <v>156.08630055503525</v>
      </c>
      <c r="P37" s="92"/>
      <c r="Q37" s="92"/>
      <c r="R37" s="92">
        <f t="shared" ca="1" si="70"/>
        <v>119.45747842762287</v>
      </c>
      <c r="S37" s="95">
        <f ca="1">IF($Y$3="Practice Locality",R37,IF($Y$3="Practice Cluster",#REF!,(VLOOKUP((LEFT($Y$3,6)),INDIRECT(D37),7,FALSE))))</f>
        <v>119.45747842762287</v>
      </c>
      <c r="T37" s="81">
        <f t="shared" ca="1" si="71"/>
        <v>51.064235980336264</v>
      </c>
      <c r="U37" s="82">
        <f t="shared" ca="1" si="72"/>
        <v>156.08630055503525</v>
      </c>
      <c r="V37" s="96"/>
      <c r="W37" s="81">
        <f t="shared" ca="1" si="73"/>
        <v>51.064235980336264</v>
      </c>
      <c r="X37" s="81">
        <f t="shared" ca="1" si="74"/>
        <v>159.64126063522161</v>
      </c>
      <c r="Y37" s="81">
        <f t="shared" ca="1" si="75"/>
        <v>159.64126063522161</v>
      </c>
      <c r="Z37" s="81">
        <f t="shared" ca="1" si="76"/>
        <v>51.064235980336264</v>
      </c>
      <c r="AA37" s="97">
        <f t="shared" ca="1" si="77"/>
        <v>3.2741365786048082E-2</v>
      </c>
      <c r="AB37" s="87">
        <f t="shared" ca="1" si="78"/>
        <v>0.39660979570344651</v>
      </c>
      <c r="AC37" s="87">
        <v>0.5</v>
      </c>
      <c r="AD37" s="87">
        <f t="shared" ca="1" si="79"/>
        <v>0.81621743934660151</v>
      </c>
      <c r="AE37" s="87">
        <f t="shared" ca="1" si="80"/>
        <v>1</v>
      </c>
      <c r="AF37" s="87"/>
      <c r="AG37" s="87"/>
      <c r="AH37" s="87">
        <f t="shared" ca="1" si="81"/>
        <v>-999</v>
      </c>
      <c r="AI37" s="87">
        <f t="shared" ca="1" si="82"/>
        <v>-999</v>
      </c>
      <c r="AJ37" s="87">
        <f t="shared" ca="1" si="83"/>
        <v>-999</v>
      </c>
      <c r="AK37" s="87">
        <f t="shared" ca="1" si="84"/>
        <v>0.84661844394509467</v>
      </c>
      <c r="AL37" s="87">
        <f t="shared" ca="1" si="85"/>
        <v>-999</v>
      </c>
      <c r="AM37" s="87">
        <f t="shared" ca="1" si="86"/>
        <v>-999</v>
      </c>
      <c r="AN37" s="87">
        <f t="shared" ca="1" si="87"/>
        <v>0.37009470774617231</v>
      </c>
      <c r="AO37" s="158">
        <f t="shared" si="29"/>
        <v>12.100000000000003</v>
      </c>
    </row>
    <row r="38" spans="1:41" s="21" customFormat="1" ht="10.199999999999999" x14ac:dyDescent="0.2">
      <c r="A38" s="440"/>
      <c r="B38" s="88">
        <v>28</v>
      </c>
      <c r="C38" s="215" t="s">
        <v>400</v>
      </c>
      <c r="D38" s="90" t="s">
        <v>292</v>
      </c>
      <c r="E38" s="112">
        <f t="shared" ca="1" si="59"/>
        <v>2</v>
      </c>
      <c r="F38" s="91" t="str">
        <f t="shared" ca="1" si="60"/>
        <v>N/A</v>
      </c>
      <c r="G38" s="92">
        <f t="shared" ca="1" si="61"/>
        <v>192.62220760741022</v>
      </c>
      <c r="H38" s="92">
        <f t="shared" ca="1" si="62"/>
        <v>153.09252448319498</v>
      </c>
      <c r="I38" s="92">
        <f t="shared" ca="1" si="63"/>
        <v>239.03521669766766</v>
      </c>
      <c r="J38" s="93">
        <f t="shared" ca="1" si="64"/>
        <v>5</v>
      </c>
      <c r="K38" s="94">
        <f t="shared" ca="1" si="65"/>
        <v>120.98080377397729</v>
      </c>
      <c r="L38" s="92">
        <f t="shared" ca="1" si="66"/>
        <v>162.00446089175094</v>
      </c>
      <c r="M38" s="92">
        <f t="shared" ca="1" si="67"/>
        <v>175.67583764175842</v>
      </c>
      <c r="N38" s="92">
        <f t="shared" ca="1" si="68"/>
        <v>184.19484117435195</v>
      </c>
      <c r="O38" s="92">
        <f t="shared" ca="1" si="69"/>
        <v>244.30958277018706</v>
      </c>
      <c r="P38" s="92"/>
      <c r="Q38" s="92"/>
      <c r="R38" s="92">
        <f t="shared" ca="1" si="70"/>
        <v>179.92662738920393</v>
      </c>
      <c r="S38" s="95">
        <f ca="1">IF($Y$3="Practice Locality",R38,IF($Y$3="Practice Cluster",#REF!,(VLOOKUP((LEFT($Y$3,6)),INDIRECT(D38),7,FALSE))))</f>
        <v>179.92662738920393</v>
      </c>
      <c r="T38" s="81">
        <f t="shared" ca="1" si="71"/>
        <v>120.98080377397729</v>
      </c>
      <c r="U38" s="82">
        <f t="shared" ca="1" si="72"/>
        <v>244.30958277018706</v>
      </c>
      <c r="V38" s="96"/>
      <c r="W38" s="81">
        <f t="shared" ca="1" si="73"/>
        <v>107.04209251332978</v>
      </c>
      <c r="X38" s="81">
        <f t="shared" ca="1" si="74"/>
        <v>244.30958277018706</v>
      </c>
      <c r="Y38" s="81">
        <f t="shared" ca="1" si="75"/>
        <v>244.30958277018706</v>
      </c>
      <c r="Z38" s="81">
        <f t="shared" ca="1" si="76"/>
        <v>107.04209251332978</v>
      </c>
      <c r="AA38" s="97">
        <f t="shared" ca="1" si="77"/>
        <v>0</v>
      </c>
      <c r="AB38" s="87">
        <f t="shared" ca="1" si="78"/>
        <v>0.43793866620091454</v>
      </c>
      <c r="AC38" s="87">
        <v>0.5</v>
      </c>
      <c r="AD38" s="87">
        <f t="shared" ca="1" si="79"/>
        <v>0.59959661041682466</v>
      </c>
      <c r="AE38" s="87">
        <f t="shared" ca="1" si="80"/>
        <v>0.89845584533843259</v>
      </c>
      <c r="AF38" s="87"/>
      <c r="AG38" s="87"/>
      <c r="AH38" s="87">
        <f t="shared" ca="1" si="81"/>
        <v>-999</v>
      </c>
      <c r="AI38" s="87">
        <f t="shared" ca="1" si="82"/>
        <v>0.37654491290005043</v>
      </c>
      <c r="AJ38" s="87">
        <f t="shared" ca="1" si="83"/>
        <v>-999</v>
      </c>
      <c r="AK38" s="87">
        <f t="shared" ca="1" si="84"/>
        <v>-999</v>
      </c>
      <c r="AL38" s="87">
        <f t="shared" ca="1" si="85"/>
        <v>-999</v>
      </c>
      <c r="AM38" s="87">
        <f t="shared" ca="1" si="86"/>
        <v>-999</v>
      </c>
      <c r="AN38" s="87">
        <f t="shared" ca="1" si="87"/>
        <v>0.46903280055975849</v>
      </c>
      <c r="AO38" s="158">
        <f t="shared" si="29"/>
        <v>12.539500000000004</v>
      </c>
    </row>
    <row r="39" spans="1:41" s="21" customFormat="1" ht="10.199999999999999" x14ac:dyDescent="0.2">
      <c r="A39" s="440"/>
      <c r="B39" s="88">
        <v>29</v>
      </c>
      <c r="C39" s="215" t="s">
        <v>440</v>
      </c>
      <c r="D39" s="90" t="s">
        <v>293</v>
      </c>
      <c r="E39" s="112">
        <f t="shared" ca="1" si="59"/>
        <v>2</v>
      </c>
      <c r="F39" s="91">
        <f t="shared" ca="1" si="60"/>
        <v>10</v>
      </c>
      <c r="G39" s="92">
        <f t="shared" ca="1" si="61"/>
        <v>50.555753076102455</v>
      </c>
      <c r="H39" s="92">
        <f t="shared" ca="1" si="62"/>
        <v>23.210588137258501</v>
      </c>
      <c r="I39" s="92">
        <f t="shared" ca="1" si="63"/>
        <v>94.577549675576776</v>
      </c>
      <c r="J39" s="93">
        <f t="shared" ca="1" si="64"/>
        <v>2</v>
      </c>
      <c r="K39" s="94">
        <f t="shared" ca="1" si="65"/>
        <v>50.555753076102455</v>
      </c>
      <c r="L39" s="92">
        <f t="shared" ca="1" si="66"/>
        <v>114.56451429213493</v>
      </c>
      <c r="M39" s="92">
        <f t="shared" ca="1" si="67"/>
        <v>137.75180364641668</v>
      </c>
      <c r="N39" s="92">
        <f t="shared" ca="1" si="68"/>
        <v>159.96841307151342</v>
      </c>
      <c r="O39" s="92">
        <f t="shared" ca="1" si="69"/>
        <v>278.25636653650866</v>
      </c>
      <c r="P39" s="92"/>
      <c r="Q39" s="92"/>
      <c r="R39" s="92">
        <f t="shared" ca="1" si="70"/>
        <v>144.33880260164509</v>
      </c>
      <c r="S39" s="95">
        <f ca="1">IF($Y$3="Practice Locality",R39,IF($Y$3="Practice Cluster",#REF!,(VLOOKUP((LEFT($Y$3,6)),INDIRECT(D39),7,FALSE))))</f>
        <v>144.33880260164509</v>
      </c>
      <c r="T39" s="81">
        <f t="shared" ca="1" si="71"/>
        <v>50.555753076102455</v>
      </c>
      <c r="U39" s="82">
        <f t="shared" ca="1" si="72"/>
        <v>278.25636653650866</v>
      </c>
      <c r="V39" s="96"/>
      <c r="W39" s="81">
        <f t="shared" ca="1" si="73"/>
        <v>-2.7527592436753139</v>
      </c>
      <c r="X39" s="81">
        <f t="shared" ca="1" si="74"/>
        <v>278.25636653650866</v>
      </c>
      <c r="Y39" s="81">
        <f t="shared" ca="1" si="75"/>
        <v>278.25636653650866</v>
      </c>
      <c r="Z39" s="81">
        <f t="shared" ca="1" si="76"/>
        <v>-2.7527592436753139</v>
      </c>
      <c r="AA39" s="97">
        <f t="shared" ca="1" si="77"/>
        <v>0</v>
      </c>
      <c r="AB39" s="87">
        <f t="shared" ca="1" si="78"/>
        <v>0.42093990056936648</v>
      </c>
      <c r="AC39" s="87">
        <v>0.5</v>
      </c>
      <c r="AD39" s="87">
        <f t="shared" ca="1" si="79"/>
        <v>0.58251436422182146</v>
      </c>
      <c r="AE39" s="87">
        <f t="shared" ca="1" si="80"/>
        <v>0.81029615258303844</v>
      </c>
      <c r="AF39" s="87"/>
      <c r="AG39" s="87"/>
      <c r="AH39" s="87">
        <f t="shared" ca="1" si="81"/>
        <v>-999</v>
      </c>
      <c r="AI39" s="87">
        <f t="shared" ca="1" si="82"/>
        <v>-999</v>
      </c>
      <c r="AJ39" s="87">
        <f t="shared" ca="1" si="83"/>
        <v>-999</v>
      </c>
      <c r="AK39" s="87">
        <f t="shared" ca="1" si="84"/>
        <v>0.81029615258303844</v>
      </c>
      <c r="AL39" s="87">
        <f t="shared" ca="1" si="85"/>
        <v>-999</v>
      </c>
      <c r="AM39" s="87">
        <f t="shared" ca="1" si="86"/>
        <v>-999</v>
      </c>
      <c r="AN39" s="87">
        <f t="shared" ca="1" si="87"/>
        <v>0.47655948383547869</v>
      </c>
      <c r="AO39" s="158">
        <f t="shared" si="29"/>
        <v>12.979000000000005</v>
      </c>
    </row>
    <row r="40" spans="1:41" s="21" customFormat="1" ht="10.199999999999999" x14ac:dyDescent="0.2">
      <c r="A40" s="440"/>
      <c r="B40" s="88">
        <v>30</v>
      </c>
      <c r="C40" s="215" t="s">
        <v>222</v>
      </c>
      <c r="D40" s="90" t="s">
        <v>294</v>
      </c>
      <c r="E40" s="112">
        <f t="shared" ca="1" si="59"/>
        <v>2</v>
      </c>
      <c r="F40" s="91">
        <f t="shared" ca="1" si="60"/>
        <v>7</v>
      </c>
      <c r="G40" s="92">
        <f t="shared" ca="1" si="61"/>
        <v>0.2734375</v>
      </c>
      <c r="H40" s="92">
        <f t="shared" ca="1" si="62"/>
        <v>0.13251662214349499</v>
      </c>
      <c r="I40" s="92">
        <f t="shared" ca="1" si="63"/>
        <v>0.56337113485146195</v>
      </c>
      <c r="J40" s="93">
        <f t="shared" ca="1" si="64"/>
        <v>5</v>
      </c>
      <c r="K40" s="94">
        <f t="shared" ca="1" si="65"/>
        <v>0.126710593005575</v>
      </c>
      <c r="L40" s="92">
        <f t="shared" ca="1" si="66"/>
        <v>0.19430051813471499</v>
      </c>
      <c r="M40" s="92">
        <f t="shared" ca="1" si="67"/>
        <v>0.48117746957260099</v>
      </c>
      <c r="N40" s="92">
        <f t="shared" ca="1" si="68"/>
        <v>0.57603686635944695</v>
      </c>
      <c r="O40" s="92">
        <f t="shared" ca="1" si="69"/>
        <v>3.0390738060781501</v>
      </c>
      <c r="P40" s="92"/>
      <c r="Q40" s="92"/>
      <c r="R40" s="92">
        <f t="shared" ca="1" si="70"/>
        <v>0.32363636363636361</v>
      </c>
      <c r="S40" s="95">
        <f ca="1">IF($Y$3="Practice Locality",R40,IF($Y$3="Practice Cluster",#REF!,(VLOOKUP((LEFT($Y$3,6)),INDIRECT(D40),7,FALSE))))</f>
        <v>0.32363636363636361</v>
      </c>
      <c r="T40" s="81">
        <f t="shared" ca="1" si="71"/>
        <v>0.126710593005575</v>
      </c>
      <c r="U40" s="82">
        <f t="shared" ca="1" si="72"/>
        <v>3.0390738060781501</v>
      </c>
      <c r="V40" s="96"/>
      <c r="W40" s="81">
        <f t="shared" ca="1" si="73"/>
        <v>-2.0767188669329482</v>
      </c>
      <c r="X40" s="81">
        <f t="shared" ca="1" si="74"/>
        <v>3.0390738060781501</v>
      </c>
      <c r="Y40" s="81">
        <f t="shared" ca="1" si="75"/>
        <v>3.0390738060781501</v>
      </c>
      <c r="Z40" s="81">
        <f t="shared" ca="1" si="76"/>
        <v>-2.0767188669329482</v>
      </c>
      <c r="AA40" s="97">
        <f t="shared" ca="1" si="77"/>
        <v>0</v>
      </c>
      <c r="AB40" s="87">
        <f t="shared" ca="1" si="78"/>
        <v>0.48145753691558169</v>
      </c>
      <c r="AC40" s="87">
        <v>0.5</v>
      </c>
      <c r="AD40" s="87">
        <f t="shared" ca="1" si="79"/>
        <v>0.55607673527336943</v>
      </c>
      <c r="AE40" s="87">
        <f t="shared" ca="1" si="80"/>
        <v>0.56928874941258922</v>
      </c>
      <c r="AF40" s="87"/>
      <c r="AG40" s="87"/>
      <c r="AH40" s="87">
        <f t="shared" ca="1" si="81"/>
        <v>-999</v>
      </c>
      <c r="AI40" s="87">
        <f t="shared" ca="1" si="82"/>
        <v>0.54060758182569735</v>
      </c>
      <c r="AJ40" s="87">
        <f t="shared" ca="1" si="83"/>
        <v>-999</v>
      </c>
      <c r="AK40" s="87">
        <f t="shared" ca="1" si="84"/>
        <v>-999</v>
      </c>
      <c r="AL40" s="87">
        <f t="shared" ca="1" si="85"/>
        <v>-999</v>
      </c>
      <c r="AM40" s="87">
        <f t="shared" ca="1" si="86"/>
        <v>-999</v>
      </c>
      <c r="AN40" s="87">
        <f t="shared" ca="1" si="87"/>
        <v>0.53079505288933271</v>
      </c>
      <c r="AO40" s="158">
        <f t="shared" si="29"/>
        <v>13.418500000000005</v>
      </c>
    </row>
    <row r="41" spans="1:41" s="21" customFormat="1" ht="10.199999999999999" x14ac:dyDescent="0.2">
      <c r="A41" s="440"/>
      <c r="B41" s="88">
        <v>31</v>
      </c>
      <c r="C41" s="215" t="s">
        <v>275</v>
      </c>
      <c r="D41" s="90" t="s">
        <v>295</v>
      </c>
      <c r="E41" s="112">
        <f t="shared" ca="1" si="59"/>
        <v>2</v>
      </c>
      <c r="F41" s="91">
        <f t="shared" ca="1" si="60"/>
        <v>53</v>
      </c>
      <c r="G41" s="92">
        <f t="shared" ca="1" si="61"/>
        <v>0.68768651874918896</v>
      </c>
      <c r="H41" s="92">
        <f t="shared" ca="1" si="62"/>
        <v>0.52616808755522504</v>
      </c>
      <c r="I41" s="92">
        <f t="shared" ca="1" si="63"/>
        <v>0.89833868524377603</v>
      </c>
      <c r="J41" s="93">
        <f t="shared" ca="1" si="64"/>
        <v>5</v>
      </c>
      <c r="K41" s="94">
        <f t="shared" ca="1" si="65"/>
        <v>0.10103277952402299</v>
      </c>
      <c r="L41" s="92">
        <f t="shared" ca="1" si="66"/>
        <v>0.41883304448295799</v>
      </c>
      <c r="M41" s="92">
        <f t="shared" ca="1" si="67"/>
        <v>0.60064354665713304</v>
      </c>
      <c r="N41" s="92">
        <f t="shared" ca="1" si="68"/>
        <v>0.790447359569458</v>
      </c>
      <c r="O41" s="92">
        <f t="shared" ca="1" si="69"/>
        <v>0.94741828517290405</v>
      </c>
      <c r="P41" s="92"/>
      <c r="Q41" s="92"/>
      <c r="R41" s="92">
        <f t="shared" ca="1" si="70"/>
        <v>0.6842060061263634</v>
      </c>
      <c r="S41" s="95">
        <f ca="1">IF($Y$3="Practice Locality",R41,IF($Y$3="Practice Cluster",#REF!,(VLOOKUP((LEFT($Y$3,6)),INDIRECT(D41),7,FALSE))))</f>
        <v>0.6842060061263634</v>
      </c>
      <c r="T41" s="81">
        <f t="shared" ca="1" si="71"/>
        <v>0.10103277952402299</v>
      </c>
      <c r="U41" s="82">
        <f t="shared" ca="1" si="72"/>
        <v>0.94741828517290405</v>
      </c>
      <c r="V41" s="96"/>
      <c r="W41" s="81">
        <f t="shared" ca="1" si="73"/>
        <v>0.10103277952402299</v>
      </c>
      <c r="X41" s="81">
        <f t="shared" ca="1" si="74"/>
        <v>1.1002543137902432</v>
      </c>
      <c r="Y41" s="81">
        <f t="shared" ca="1" si="75"/>
        <v>1.1002543137902432</v>
      </c>
      <c r="Z41" s="81">
        <f t="shared" ca="1" si="76"/>
        <v>0.10103277952402299</v>
      </c>
      <c r="AA41" s="97">
        <f t="shared" ca="1" si="77"/>
        <v>0.15295509892065576</v>
      </c>
      <c r="AB41" s="87">
        <f t="shared" ca="1" si="78"/>
        <v>0.31004831621077139</v>
      </c>
      <c r="AC41" s="87">
        <v>0.5</v>
      </c>
      <c r="AD41" s="87">
        <f t="shared" ca="1" si="79"/>
        <v>0.68195214568477847</v>
      </c>
      <c r="AE41" s="87">
        <f t="shared" ca="1" si="80"/>
        <v>1</v>
      </c>
      <c r="AF41" s="87"/>
      <c r="AG41" s="87"/>
      <c r="AH41" s="87">
        <f t="shared" ca="1" si="81"/>
        <v>-999</v>
      </c>
      <c r="AI41" s="87">
        <f t="shared" ca="1" si="82"/>
        <v>0.41288921514689331</v>
      </c>
      <c r="AJ41" s="87">
        <f t="shared" ca="1" si="83"/>
        <v>-999</v>
      </c>
      <c r="AK41" s="87">
        <f t="shared" ca="1" si="84"/>
        <v>-999</v>
      </c>
      <c r="AL41" s="87">
        <f t="shared" ca="1" si="85"/>
        <v>-999</v>
      </c>
      <c r="AM41" s="87">
        <f t="shared" ca="1" si="86"/>
        <v>-999</v>
      </c>
      <c r="AN41" s="87">
        <f t="shared" ca="1" si="87"/>
        <v>0.41637243934039658</v>
      </c>
      <c r="AO41" s="158">
        <f t="shared" si="29"/>
        <v>13.858000000000006</v>
      </c>
    </row>
    <row r="42" spans="1:41" s="21" customFormat="1" ht="10.199999999999999" x14ac:dyDescent="0.2">
      <c r="A42" s="440"/>
      <c r="B42" s="88">
        <v>32</v>
      </c>
      <c r="C42" s="215" t="s">
        <v>280</v>
      </c>
      <c r="D42" s="90" t="s">
        <v>296</v>
      </c>
      <c r="E42" s="112">
        <f t="shared" ref="E42" ca="1" si="117">IF((INDIRECT(LEFT(D42,(LEN(D42)-10))&amp;"K2"))="Low = Worst",1,IF((INDIRECT(LEFT(D42,(LEN(D42)-10))&amp;"K2"))="High = Worst",2,""))</f>
        <v>2</v>
      </c>
      <c r="F42" s="91">
        <f t="shared" ref="F42" ca="1" si="118">IF((VLOOKUP($H$3,INDIRECT(D42),6,FALSE))="","",VLOOKUP($H$3,INDIRECT(D42),6,FALSE))</f>
        <v>2368</v>
      </c>
      <c r="G42" s="92">
        <f t="shared" ref="G42" ca="1" si="119">IF((VLOOKUP($H$3,INDIRECT(D42),7,FALSE))="","",VLOOKUP($H$3,INDIRECT(D42),7,FALSE))</f>
        <v>107.85404169253647</v>
      </c>
      <c r="H42" s="92">
        <f t="shared" ref="H42" ca="1" si="120">VLOOKUP($H$3,INDIRECT(D42),8,FALSE)</f>
        <v>103.31260053874524</v>
      </c>
      <c r="I42" s="92">
        <f t="shared" ref="I42" ca="1" si="121">VLOOKUP($H$3,INDIRECT(D42),9,FALSE)</f>
        <v>112.53564994652672</v>
      </c>
      <c r="J42" s="93">
        <f t="shared" ref="J42" ca="1" si="122">VLOOKUP($H$3,INDIRECT(D42),13,FALSE)</f>
        <v>2</v>
      </c>
      <c r="K42" s="94">
        <f t="shared" ref="K42" ca="1" si="123">VLOOKUP($H$3,INDIRECT(D42),14,FALSE)</f>
        <v>84.667934090288284</v>
      </c>
      <c r="L42" s="92">
        <f t="shared" ref="L42" ca="1" si="124">VLOOKUP($H$3,INDIRECT(D42),15,FALSE)</f>
        <v>120.13165892751665</v>
      </c>
      <c r="M42" s="92">
        <f t="shared" ref="M42" ca="1" si="125">VLOOKUP($H$3,INDIRECT(D42),16,FALSE)</f>
        <v>125.78549810659193</v>
      </c>
      <c r="N42" s="92">
        <f t="shared" ref="N42" ca="1" si="126">VLOOKUP($H$3,INDIRECT(D42),19,FALSE)</f>
        <v>130.87242308301128</v>
      </c>
      <c r="O42" s="92">
        <f t="shared" ref="O42" ca="1" si="127">VLOOKUP($H$3,INDIRECT(D42),20,FALSE)</f>
        <v>163.17724756274475</v>
      </c>
      <c r="P42" s="92"/>
      <c r="Q42" s="92"/>
      <c r="R42" s="92">
        <f t="shared" ref="R42" ca="1" si="128">VLOOKUP($H$3,INDIRECT(D42),21,FALSE)</f>
        <v>131.49261807699827</v>
      </c>
      <c r="S42" s="95">
        <f ca="1">IF($Y$3="Practice Locality",R42,IF($Y$3="Practice Cluster",#REF!,(VLOOKUP((LEFT($Y$3,6)),INDIRECT(D42),7,FALSE))))</f>
        <v>131.49261807699827</v>
      </c>
      <c r="T42" s="81">
        <f t="shared" ref="T42" ca="1" si="129">IF($E42=1,O42,K42)</f>
        <v>84.667934090288284</v>
      </c>
      <c r="U42" s="82">
        <f t="shared" ref="U42" ca="1" si="130">IF($E42=1,K42,O42)</f>
        <v>163.17724756274475</v>
      </c>
      <c r="V42" s="96"/>
      <c r="W42" s="81">
        <f t="shared" ref="W42" ca="1" si="131">IF((M42-K42)&gt;(O42-M42),K42,(M42-(O42-M42)))</f>
        <v>84.667934090288284</v>
      </c>
      <c r="X42" s="81">
        <f t="shared" ref="X42" ca="1" si="132">IF(W42=K42,M42+(M42-K42),O42)</f>
        <v>166.90306212289556</v>
      </c>
      <c r="Y42" s="81">
        <f t="shared" ref="Y42" ca="1" si="133">IF(E42=1,W42,X42)</f>
        <v>166.90306212289556</v>
      </c>
      <c r="Z42" s="81">
        <f t="shared" ref="Z42" ca="1" si="134">IF(E42=1,X42,W42)</f>
        <v>84.667934090288284</v>
      </c>
      <c r="AA42" s="97">
        <f t="shared" ref="AA42" ca="1" si="135">IF(ISERROR(IF(E42=1,(K42-$Y42)/($Z42-$Y42),(U42-$Y42)/($Z42-$Y42))),"",IF(E42=1,(K42-$Y42)/($Z42-$Y42),(U42-$Y42)/($Z42-$Y42)))</f>
        <v>4.530684938769082E-2</v>
      </c>
      <c r="AB42" s="87">
        <f t="shared" ref="AB42" ca="1" si="136">IF(ISERROR(IF(E42=1,(L42-$Y42)/($Z42-$Y42),(N42-$Y42)/($Z42-$Y42))),"",IF(E42=1,(L42-$Y42)/($Z42-$Y42),(N42-$Y42)/($Z42-$Y42)))</f>
        <v>0.43814170296661625</v>
      </c>
      <c r="AC42" s="87">
        <v>0.5</v>
      </c>
      <c r="AD42" s="87">
        <f t="shared" ref="AD42" ca="1" si="137">IF(ISERROR(IF(E42=1,(N42-$Y42)/($Z42-$Y42),(L42-$Y42)/($Z42-$Y42))),"",IF(E42=1,(N42-$Y42)/($Z42-$Y42),(L42-$Y42)/($Z42-$Y42)))</f>
        <v>0.56875211742642939</v>
      </c>
      <c r="AE42" s="87">
        <f t="shared" ref="AE42" ca="1" si="138">IF(ISERROR(IF(E42=1,(O42-$Y42)/($Z42-$Y42),(K42-$Y42)/($Z42-$Y42))),"",IF(E42=1,(O42-$Y42)/($Z42-$Y42),(K42-$Y42)/($Z42-$Y42)))</f>
        <v>1</v>
      </c>
      <c r="AF42" s="87"/>
      <c r="AG42" s="87"/>
      <c r="AH42" s="87">
        <f t="shared" ref="AH42" ca="1" si="139">IF(G42="",-999,IF(J42=6,(G42-$Y42)/($Z42-$Y42),-999))</f>
        <v>-999</v>
      </c>
      <c r="AI42" s="87">
        <f t="shared" ref="AI42" ca="1" si="140">IF(G42="",-999,IF(J42=5,(G42-$Y42)/($Z42-$Y42),-999))</f>
        <v>-999</v>
      </c>
      <c r="AJ42" s="87">
        <f t="shared" ref="AJ42" ca="1" si="141">IF(G42="",-999,IF(J42=1,(G42-$Y42)/($Z42-$Y42),-999))</f>
        <v>-999</v>
      </c>
      <c r="AK42" s="87">
        <f t="shared" ref="AK42" ca="1" si="142">IF(G42="",-999,IF(J42=2,(G42-$Y42)/($Z42-$Y42),-999))</f>
        <v>0.71805105485997911</v>
      </c>
      <c r="AL42" s="87">
        <f t="shared" ref="AL42" ca="1" si="143">IF(G42="",-999,IF(J42=3,(G42-$Y42)/($Z42-$Y42),-999))</f>
        <v>-999</v>
      </c>
      <c r="AM42" s="87">
        <f t="shared" ref="AM42" ca="1" si="144">IF(G42="",-999,IF(J42=4,(G42-$Y42)/($Z42-$Y42),-999))</f>
        <v>-999</v>
      </c>
      <c r="AN42" s="87">
        <f t="shared" ref="AN42" ca="1" si="145">IF(ISERROR((S42-$Y42)/($Z42-$Y42)),-999,(S42-$Y42)/($Z42-$Y42))</f>
        <v>0.4305999746465598</v>
      </c>
      <c r="AO42" s="158">
        <f t="shared" si="29"/>
        <v>14.297500000000007</v>
      </c>
    </row>
    <row r="43" spans="1:41" s="21" customFormat="1" ht="10.199999999999999" x14ac:dyDescent="0.2">
      <c r="A43" s="440"/>
      <c r="B43" s="88">
        <v>33</v>
      </c>
      <c r="C43" s="240" t="s">
        <v>223</v>
      </c>
      <c r="D43" s="90" t="s">
        <v>297</v>
      </c>
      <c r="E43" s="112">
        <f t="shared" ca="1" si="59"/>
        <v>2</v>
      </c>
      <c r="F43" s="91">
        <f t="shared" ca="1" si="60"/>
        <v>725</v>
      </c>
      <c r="G43" s="92">
        <f t="shared" ca="1" si="61"/>
        <v>9.5962938451356692</v>
      </c>
      <c r="H43" s="92">
        <f t="shared" ca="1" si="62"/>
        <v>8.9525140512366495</v>
      </c>
      <c r="I43" s="92">
        <f t="shared" ca="1" si="63"/>
        <v>10.281140560266699</v>
      </c>
      <c r="J43" s="93">
        <f t="shared" ca="1" si="64"/>
        <v>5</v>
      </c>
      <c r="K43" s="94">
        <f t="shared" ca="1" si="65"/>
        <v>3.7056643726839602</v>
      </c>
      <c r="L43" s="92">
        <f t="shared" ca="1" si="66"/>
        <v>6.9166853806422601</v>
      </c>
      <c r="M43" s="92">
        <f t="shared" ca="1" si="67"/>
        <v>10.0511965914753</v>
      </c>
      <c r="N43" s="92">
        <f t="shared" ca="1" si="68"/>
        <v>12.953890489913499</v>
      </c>
      <c r="O43" s="92">
        <f t="shared" ca="1" si="69"/>
        <v>17.0999914755775</v>
      </c>
      <c r="P43" s="92"/>
      <c r="Q43" s="92"/>
      <c r="R43" s="92">
        <f t="shared" ca="1" si="70"/>
        <v>12.26801249981661</v>
      </c>
      <c r="S43" s="95">
        <f ca="1">IF($Y$3="Practice Locality",R43,IF($Y$3="Practice Cluster",#REF!,(VLOOKUP((LEFT($Y$3,6)),INDIRECT(D43),7,FALSE))))</f>
        <v>12.26801249981661</v>
      </c>
      <c r="T43" s="81">
        <f t="shared" ca="1" si="71"/>
        <v>3.7056643726839602</v>
      </c>
      <c r="U43" s="82">
        <f t="shared" ca="1" si="72"/>
        <v>17.0999914755775</v>
      </c>
      <c r="V43" s="96"/>
      <c r="W43" s="81">
        <f t="shared" ca="1" si="73"/>
        <v>3.0024017073730995</v>
      </c>
      <c r="X43" s="81">
        <f t="shared" ca="1" si="74"/>
        <v>17.0999914755775</v>
      </c>
      <c r="Y43" s="81">
        <f t="shared" ca="1" si="75"/>
        <v>17.0999914755775</v>
      </c>
      <c r="Z43" s="81">
        <f t="shared" ca="1" si="76"/>
        <v>3.0024017073730995</v>
      </c>
      <c r="AA43" s="97">
        <f t="shared" ca="1" si="77"/>
        <v>0</v>
      </c>
      <c r="AB43" s="87">
        <f t="shared" ca="1" si="78"/>
        <v>0.29409998828417366</v>
      </c>
      <c r="AC43" s="87">
        <v>0.5</v>
      </c>
      <c r="AD43" s="87">
        <f t="shared" ca="1" si="79"/>
        <v>0.7223437667268906</v>
      </c>
      <c r="AE43" s="87">
        <f t="shared" ca="1" si="80"/>
        <v>0.95011468790948972</v>
      </c>
      <c r="AF43" s="87"/>
      <c r="AG43" s="87"/>
      <c r="AH43" s="87">
        <f t="shared" ca="1" si="81"/>
        <v>-999</v>
      </c>
      <c r="AI43" s="87">
        <f t="shared" ca="1" si="82"/>
        <v>0.53226812198533502</v>
      </c>
      <c r="AJ43" s="87">
        <f t="shared" ca="1" si="83"/>
        <v>-999</v>
      </c>
      <c r="AK43" s="87">
        <f t="shared" ca="1" si="84"/>
        <v>-999</v>
      </c>
      <c r="AL43" s="87">
        <f t="shared" ca="1" si="85"/>
        <v>-999</v>
      </c>
      <c r="AM43" s="87">
        <f t="shared" ca="1" si="86"/>
        <v>-999</v>
      </c>
      <c r="AN43" s="87">
        <f t="shared" ca="1" si="87"/>
        <v>0.34275213389021292</v>
      </c>
      <c r="AO43" s="158">
        <f t="shared" si="29"/>
        <v>14.737000000000007</v>
      </c>
    </row>
    <row r="44" spans="1:41" s="21" customFormat="1" ht="10.199999999999999" x14ac:dyDescent="0.2">
      <c r="A44" s="440"/>
      <c r="B44" s="88">
        <v>34</v>
      </c>
      <c r="C44" s="240" t="s">
        <v>406</v>
      </c>
      <c r="D44" s="90" t="s">
        <v>298</v>
      </c>
      <c r="E44" s="112">
        <f t="shared" ca="1" si="59"/>
        <v>2</v>
      </c>
      <c r="F44" s="91">
        <f t="shared" ca="1" si="60"/>
        <v>93</v>
      </c>
      <c r="G44" s="92">
        <f t="shared" ca="1" si="61"/>
        <v>1.0295582862836301</v>
      </c>
      <c r="H44" s="92">
        <f t="shared" ca="1" si="62"/>
        <v>0.84121459230541096</v>
      </c>
      <c r="I44" s="92">
        <f t="shared" ca="1" si="63"/>
        <v>1.2595355390957901</v>
      </c>
      <c r="J44" s="93">
        <f t="shared" ca="1" si="64"/>
        <v>5</v>
      </c>
      <c r="K44" s="94">
        <f t="shared" ca="1" si="65"/>
        <v>0.35664108937641797</v>
      </c>
      <c r="L44" s="92">
        <f t="shared" ca="1" si="66"/>
        <v>0.87161794080261501</v>
      </c>
      <c r="M44" s="92">
        <f t="shared" ca="1" si="67"/>
        <v>1.1283556900717999</v>
      </c>
      <c r="N44" s="92">
        <f t="shared" ca="1" si="68"/>
        <v>1.2448422966641</v>
      </c>
      <c r="O44" s="92">
        <f t="shared" ca="1" si="69"/>
        <v>2.2130725681935099</v>
      </c>
      <c r="P44" s="92"/>
      <c r="Q44" s="92"/>
      <c r="R44" s="92">
        <f t="shared" ca="1" si="70"/>
        <v>1.102254400315593</v>
      </c>
      <c r="S44" s="95">
        <f ca="1">IF($Y$3="Practice Locality",R44,IF($Y$3="Practice Cluster",#REF!,(VLOOKUP((LEFT($Y$3,6)),INDIRECT(D44),7,FALSE))))</f>
        <v>1.102254400315593</v>
      </c>
      <c r="T44" s="81">
        <f t="shared" ca="1" si="71"/>
        <v>0.35664108937641797</v>
      </c>
      <c r="U44" s="82">
        <f t="shared" ca="1" si="72"/>
        <v>2.2130725681935099</v>
      </c>
      <c r="V44" s="96"/>
      <c r="W44" s="81">
        <f t="shared" ca="1" si="73"/>
        <v>4.3638811950089895E-2</v>
      </c>
      <c r="X44" s="81">
        <f t="shared" ca="1" si="74"/>
        <v>2.2130725681935099</v>
      </c>
      <c r="Y44" s="81">
        <f t="shared" ca="1" si="75"/>
        <v>2.2130725681935099</v>
      </c>
      <c r="Z44" s="81">
        <f t="shared" ca="1" si="76"/>
        <v>4.3638811950089895E-2</v>
      </c>
      <c r="AA44" s="97">
        <f t="shared" ca="1" si="77"/>
        <v>0</v>
      </c>
      <c r="AB44" s="87">
        <f t="shared" ca="1" si="78"/>
        <v>0.44630552499837212</v>
      </c>
      <c r="AC44" s="87">
        <v>0.5</v>
      </c>
      <c r="AD44" s="87">
        <f t="shared" ca="1" si="79"/>
        <v>0.61834320754451177</v>
      </c>
      <c r="AE44" s="87">
        <f t="shared" ca="1" si="80"/>
        <v>0.8557216709081169</v>
      </c>
      <c r="AF44" s="87"/>
      <c r="AG44" s="87"/>
      <c r="AH44" s="87">
        <f t="shared" ca="1" si="81"/>
        <v>-999</v>
      </c>
      <c r="AI44" s="87">
        <f t="shared" ca="1" si="82"/>
        <v>0.54554064096395682</v>
      </c>
      <c r="AJ44" s="87">
        <f t="shared" ca="1" si="83"/>
        <v>-999</v>
      </c>
      <c r="AK44" s="87">
        <f t="shared" ca="1" si="84"/>
        <v>-999</v>
      </c>
      <c r="AL44" s="87">
        <f t="shared" ca="1" si="85"/>
        <v>-999</v>
      </c>
      <c r="AM44" s="87">
        <f t="shared" ca="1" si="86"/>
        <v>-999</v>
      </c>
      <c r="AN44" s="87">
        <f t="shared" ca="1" si="87"/>
        <v>0.51203138361846268</v>
      </c>
      <c r="AO44" s="158">
        <f t="shared" si="29"/>
        <v>15.176500000000008</v>
      </c>
    </row>
    <row r="45" spans="1:41" s="21" customFormat="1" ht="10.199999999999999" x14ac:dyDescent="0.2">
      <c r="A45" s="440"/>
      <c r="B45" s="88">
        <v>35</v>
      </c>
      <c r="C45" s="240" t="s">
        <v>224</v>
      </c>
      <c r="D45" s="90" t="s">
        <v>299</v>
      </c>
      <c r="E45" s="112">
        <f t="shared" ca="1" si="59"/>
        <v>2</v>
      </c>
      <c r="F45" s="91">
        <f t="shared" ca="1" si="60"/>
        <v>18</v>
      </c>
      <c r="G45" s="92">
        <f t="shared" ca="1" si="61"/>
        <v>0.199269345732315</v>
      </c>
      <c r="H45" s="92">
        <f t="shared" ca="1" si="62"/>
        <v>0.12608870506199399</v>
      </c>
      <c r="I45" s="92">
        <f t="shared" ca="1" si="63"/>
        <v>0.314789438061847</v>
      </c>
      <c r="J45" s="93">
        <f t="shared" ca="1" si="64"/>
        <v>2</v>
      </c>
      <c r="K45" s="94">
        <f t="shared" ca="1" si="65"/>
        <v>3.2421917216038001E-2</v>
      </c>
      <c r="L45" s="92">
        <f t="shared" ca="1" si="66"/>
        <v>0.26348951769962198</v>
      </c>
      <c r="M45" s="92">
        <f t="shared" ca="1" si="67"/>
        <v>0.46026869928762998</v>
      </c>
      <c r="N45" s="92">
        <f t="shared" ca="1" si="68"/>
        <v>0.62884292901062</v>
      </c>
      <c r="O45" s="92">
        <f t="shared" ca="1" si="69"/>
        <v>0.93798124037519304</v>
      </c>
      <c r="P45" s="92"/>
      <c r="Q45" s="92"/>
      <c r="R45" s="92">
        <f t="shared" ca="1" si="70"/>
        <v>0.52792184436167866</v>
      </c>
      <c r="S45" s="95">
        <f ca="1">IF($Y$3="Practice Locality",R45,IF($Y$3="Practice Cluster",#REF!,(VLOOKUP((LEFT($Y$3,6)),INDIRECT(D45),7,FALSE))))</f>
        <v>0.52792184436167866</v>
      </c>
      <c r="T45" s="81">
        <f t="shared" ca="1" si="71"/>
        <v>3.2421917216038001E-2</v>
      </c>
      <c r="U45" s="82">
        <f t="shared" ca="1" si="72"/>
        <v>0.93798124037519304</v>
      </c>
      <c r="V45" s="96"/>
      <c r="W45" s="81">
        <f t="shared" ca="1" si="73"/>
        <v>-1.744384179993308E-2</v>
      </c>
      <c r="X45" s="81">
        <f t="shared" ca="1" si="74"/>
        <v>0.93798124037519304</v>
      </c>
      <c r="Y45" s="81">
        <f t="shared" ca="1" si="75"/>
        <v>0.93798124037519304</v>
      </c>
      <c r="Z45" s="81">
        <f t="shared" ca="1" si="76"/>
        <v>-1.744384179993308E-2</v>
      </c>
      <c r="AA45" s="97">
        <f t="shared" ca="1" si="77"/>
        <v>0</v>
      </c>
      <c r="AB45" s="87">
        <f t="shared" ca="1" si="78"/>
        <v>0.32356101711375113</v>
      </c>
      <c r="AC45" s="87">
        <v>0.5</v>
      </c>
      <c r="AD45" s="87">
        <f t="shared" ca="1" si="79"/>
        <v>0.70595982380954403</v>
      </c>
      <c r="AE45" s="87">
        <f t="shared" ca="1" si="80"/>
        <v>0.94780777692956686</v>
      </c>
      <c r="AF45" s="87"/>
      <c r="AG45" s="87"/>
      <c r="AH45" s="87">
        <f t="shared" ca="1" si="81"/>
        <v>-999</v>
      </c>
      <c r="AI45" s="87">
        <f t="shared" ca="1" si="82"/>
        <v>-999</v>
      </c>
      <c r="AJ45" s="87">
        <f t="shared" ca="1" si="83"/>
        <v>-999</v>
      </c>
      <c r="AK45" s="87">
        <f t="shared" ca="1" si="84"/>
        <v>0.77317615836620324</v>
      </c>
      <c r="AL45" s="87">
        <f t="shared" ca="1" si="85"/>
        <v>-999</v>
      </c>
      <c r="AM45" s="87">
        <f t="shared" ca="1" si="86"/>
        <v>-999</v>
      </c>
      <c r="AN45" s="87">
        <f t="shared" ca="1" si="87"/>
        <v>0.42919052855507084</v>
      </c>
      <c r="AO45" s="158">
        <f t="shared" si="29"/>
        <v>15.616000000000009</v>
      </c>
    </row>
    <row r="46" spans="1:41" s="21" customFormat="1" ht="10.199999999999999" x14ac:dyDescent="0.2">
      <c r="A46" s="440"/>
      <c r="B46" s="88">
        <v>36</v>
      </c>
      <c r="C46" s="240" t="s">
        <v>225</v>
      </c>
      <c r="D46" s="90" t="s">
        <v>300</v>
      </c>
      <c r="E46" s="112">
        <f t="shared" ca="1" si="59"/>
        <v>2</v>
      </c>
      <c r="F46" s="91">
        <f t="shared" ca="1" si="60"/>
        <v>61</v>
      </c>
      <c r="G46" s="92">
        <f t="shared" ca="1" si="61"/>
        <v>0.67530167164840005</v>
      </c>
      <c r="H46" s="92">
        <f t="shared" ca="1" si="62"/>
        <v>0.52611592035286203</v>
      </c>
      <c r="I46" s="92">
        <f t="shared" ca="1" si="63"/>
        <v>0.86642216271666705</v>
      </c>
      <c r="J46" s="93">
        <f t="shared" ca="1" si="64"/>
        <v>5</v>
      </c>
      <c r="K46" s="94">
        <f t="shared" ca="1" si="65"/>
        <v>1.6210958608019001E-2</v>
      </c>
      <c r="L46" s="92">
        <f t="shared" ca="1" si="66"/>
        <v>0.39054872095293902</v>
      </c>
      <c r="M46" s="92">
        <f t="shared" ca="1" si="67"/>
        <v>0.56348046821879505</v>
      </c>
      <c r="N46" s="92">
        <f t="shared" ca="1" si="68"/>
        <v>0.68559445071785796</v>
      </c>
      <c r="O46" s="92">
        <f t="shared" ca="1" si="69"/>
        <v>2.6638869585360201</v>
      </c>
      <c r="P46" s="92"/>
      <c r="Q46" s="92"/>
      <c r="R46" s="92">
        <f t="shared" ca="1" si="70"/>
        <v>0.65091023008110271</v>
      </c>
      <c r="S46" s="95">
        <f ca="1">IF($Y$3="Practice Locality",R46,IF($Y$3="Practice Cluster",#REF!,(VLOOKUP((LEFT($Y$3,6)),INDIRECT(D46),7,FALSE))))</f>
        <v>0.65091023008110271</v>
      </c>
      <c r="T46" s="81">
        <f t="shared" ca="1" si="71"/>
        <v>1.6210958608019001E-2</v>
      </c>
      <c r="U46" s="82">
        <f t="shared" ca="1" si="72"/>
        <v>2.6638869585360201</v>
      </c>
      <c r="V46" s="96"/>
      <c r="W46" s="81">
        <f t="shared" ca="1" si="73"/>
        <v>-1.53692602209843</v>
      </c>
      <c r="X46" s="81">
        <f t="shared" ca="1" si="74"/>
        <v>2.6638869585360201</v>
      </c>
      <c r="Y46" s="81">
        <f t="shared" ca="1" si="75"/>
        <v>2.6638869585360201</v>
      </c>
      <c r="Z46" s="81">
        <f t="shared" ca="1" si="76"/>
        <v>-1.53692602209843</v>
      </c>
      <c r="AA46" s="97">
        <f t="shared" ca="1" si="77"/>
        <v>0</v>
      </c>
      <c r="AB46" s="87">
        <f t="shared" ca="1" si="78"/>
        <v>0.47093086908129389</v>
      </c>
      <c r="AC46" s="87">
        <v>0.5</v>
      </c>
      <c r="AD46" s="87">
        <f t="shared" ca="1" si="79"/>
        <v>0.54116625711810151</v>
      </c>
      <c r="AE46" s="87">
        <f t="shared" ca="1" si="80"/>
        <v>0.63027704687965469</v>
      </c>
      <c r="AF46" s="87"/>
      <c r="AG46" s="87"/>
      <c r="AH46" s="87">
        <f t="shared" ca="1" si="81"/>
        <v>-999</v>
      </c>
      <c r="AI46" s="87">
        <f t="shared" ca="1" si="82"/>
        <v>0.47338105648951867</v>
      </c>
      <c r="AJ46" s="87">
        <f t="shared" ca="1" si="83"/>
        <v>-999</v>
      </c>
      <c r="AK46" s="87">
        <f t="shared" ca="1" si="84"/>
        <v>-999</v>
      </c>
      <c r="AL46" s="87">
        <f t="shared" ca="1" si="85"/>
        <v>-999</v>
      </c>
      <c r="AM46" s="87">
        <f t="shared" ca="1" si="86"/>
        <v>-999</v>
      </c>
      <c r="AN46" s="87">
        <f t="shared" ca="1" si="87"/>
        <v>0.47918741865792297</v>
      </c>
      <c r="AO46" s="158">
        <f t="shared" si="29"/>
        <v>16.055500000000009</v>
      </c>
    </row>
    <row r="47" spans="1:41" s="21" customFormat="1" ht="10.199999999999999" x14ac:dyDescent="0.2">
      <c r="A47" s="440"/>
      <c r="B47" s="88">
        <v>37</v>
      </c>
      <c r="C47" s="240" t="s">
        <v>256</v>
      </c>
      <c r="D47" s="90" t="s">
        <v>301</v>
      </c>
      <c r="E47" s="112">
        <f t="shared" ca="1" si="59"/>
        <v>2</v>
      </c>
      <c r="F47" s="91">
        <f t="shared" ca="1" si="60"/>
        <v>60</v>
      </c>
      <c r="G47" s="92">
        <f t="shared" ca="1" si="61"/>
        <v>255.0052491953609</v>
      </c>
      <c r="H47" s="92">
        <f t="shared" ca="1" si="62"/>
        <v>190.77556657567939</v>
      </c>
      <c r="I47" s="92">
        <f t="shared" ca="1" si="63"/>
        <v>332.86581337619549</v>
      </c>
      <c r="J47" s="93">
        <f t="shared" ca="1" si="64"/>
        <v>5</v>
      </c>
      <c r="K47" s="94">
        <f t="shared" ca="1" si="65"/>
        <v>73.523761865252311</v>
      </c>
      <c r="L47" s="92">
        <f t="shared" ca="1" si="66"/>
        <v>211.23557809174056</v>
      </c>
      <c r="M47" s="92">
        <f t="shared" ca="1" si="67"/>
        <v>290.20054734741814</v>
      </c>
      <c r="N47" s="92">
        <f t="shared" ca="1" si="68"/>
        <v>331.01909403215228</v>
      </c>
      <c r="O47" s="92">
        <f t="shared" ca="1" si="69"/>
        <v>492.10422820753524</v>
      </c>
      <c r="P47" s="92"/>
      <c r="Q47" s="92"/>
      <c r="R47" s="92">
        <f t="shared" ca="1" si="70"/>
        <v>278.63788614394508</v>
      </c>
      <c r="S47" s="95">
        <f ca="1">IF($Y$3="Practice Locality",R47,IF($Y$3="Practice Cluster",#REF!,(VLOOKUP((LEFT($Y$3,6)),INDIRECT(D47),7,FALSE))))</f>
        <v>278.63788614394508</v>
      </c>
      <c r="T47" s="81">
        <f t="shared" ca="1" si="71"/>
        <v>73.523761865252311</v>
      </c>
      <c r="U47" s="82">
        <f t="shared" ca="1" si="72"/>
        <v>492.10422820753524</v>
      </c>
      <c r="V47" s="96"/>
      <c r="W47" s="81">
        <f t="shared" ca="1" si="73"/>
        <v>73.523761865252311</v>
      </c>
      <c r="X47" s="81">
        <f t="shared" ca="1" si="74"/>
        <v>506.87733282958396</v>
      </c>
      <c r="Y47" s="81">
        <f t="shared" ca="1" si="75"/>
        <v>506.87733282958396</v>
      </c>
      <c r="Z47" s="81">
        <f t="shared" ca="1" si="76"/>
        <v>73.523761865252311</v>
      </c>
      <c r="AA47" s="97">
        <f t="shared" ca="1" si="77"/>
        <v>3.4090187809401165E-2</v>
      </c>
      <c r="AB47" s="87">
        <f t="shared" ca="1" si="78"/>
        <v>0.40580775279201792</v>
      </c>
      <c r="AC47" s="87">
        <v>0.5</v>
      </c>
      <c r="AD47" s="87">
        <f t="shared" ca="1" si="79"/>
        <v>0.6822183421264042</v>
      </c>
      <c r="AE47" s="87">
        <f t="shared" ca="1" si="80"/>
        <v>1</v>
      </c>
      <c r="AF47" s="87"/>
      <c r="AG47" s="87"/>
      <c r="AH47" s="87">
        <f t="shared" ca="1" si="81"/>
        <v>-999</v>
      </c>
      <c r="AI47" s="87">
        <f t="shared" ca="1" si="82"/>
        <v>0.58121612583862625</v>
      </c>
      <c r="AJ47" s="87">
        <f t="shared" ca="1" si="83"/>
        <v>-999</v>
      </c>
      <c r="AK47" s="87">
        <f t="shared" ca="1" si="84"/>
        <v>-999</v>
      </c>
      <c r="AL47" s="87">
        <f t="shared" ca="1" si="85"/>
        <v>-999</v>
      </c>
      <c r="AM47" s="87">
        <f t="shared" ca="1" si="86"/>
        <v>-999</v>
      </c>
      <c r="AN47" s="87">
        <f t="shared" ca="1" si="87"/>
        <v>0.52668181821541915</v>
      </c>
      <c r="AO47" s="158">
        <f t="shared" si="29"/>
        <v>16.495000000000008</v>
      </c>
    </row>
    <row r="48" spans="1:41" s="21" customFormat="1" ht="10.199999999999999" x14ac:dyDescent="0.2">
      <c r="A48" s="440"/>
      <c r="B48" s="88">
        <v>38</v>
      </c>
      <c r="C48" s="240" t="s">
        <v>257</v>
      </c>
      <c r="D48" s="90" t="s">
        <v>302</v>
      </c>
      <c r="E48" s="112">
        <f t="shared" ca="1" si="59"/>
        <v>2</v>
      </c>
      <c r="F48" s="91">
        <f t="shared" ca="1" si="60"/>
        <v>43</v>
      </c>
      <c r="G48" s="92">
        <f t="shared" ca="1" si="61"/>
        <v>154.27748746743424</v>
      </c>
      <c r="H48" s="92">
        <f t="shared" ca="1" si="62"/>
        <v>109.24669813903461</v>
      </c>
      <c r="I48" s="92">
        <f t="shared" ca="1" si="63"/>
        <v>210.82123703344791</v>
      </c>
      <c r="J48" s="93">
        <f t="shared" ca="1" si="64"/>
        <v>5</v>
      </c>
      <c r="K48" s="94">
        <f t="shared" ca="1" si="65"/>
        <v>20.460780963236843</v>
      </c>
      <c r="L48" s="92">
        <f t="shared" ca="1" si="66"/>
        <v>122.09624583832638</v>
      </c>
      <c r="M48" s="92">
        <f t="shared" ca="1" si="67"/>
        <v>190.10606641164873</v>
      </c>
      <c r="N48" s="92">
        <f t="shared" ca="1" si="68"/>
        <v>211.06475128261931</v>
      </c>
      <c r="O48" s="92">
        <f t="shared" ca="1" si="69"/>
        <v>304.38187960556934</v>
      </c>
      <c r="P48" s="92"/>
      <c r="Q48" s="92"/>
      <c r="R48" s="92">
        <f t="shared" ca="1" si="70"/>
        <v>183.15120565728034</v>
      </c>
      <c r="S48" s="95">
        <f ca="1">IF($Y$3="Practice Locality",R48,IF($Y$3="Practice Cluster",#REF!,(VLOOKUP((LEFT($Y$3,6)),INDIRECT(D48),7,FALSE))))</f>
        <v>183.15120565728034</v>
      </c>
      <c r="T48" s="81">
        <f t="shared" ca="1" si="71"/>
        <v>20.460780963236843</v>
      </c>
      <c r="U48" s="82">
        <f t="shared" ca="1" si="72"/>
        <v>304.38187960556934</v>
      </c>
      <c r="V48" s="96"/>
      <c r="W48" s="81">
        <f t="shared" ca="1" si="73"/>
        <v>20.460780963236843</v>
      </c>
      <c r="X48" s="81">
        <f t="shared" ca="1" si="74"/>
        <v>359.75135186006059</v>
      </c>
      <c r="Y48" s="81">
        <f t="shared" ca="1" si="75"/>
        <v>359.75135186006059</v>
      </c>
      <c r="Z48" s="81">
        <f t="shared" ca="1" si="76"/>
        <v>20.460780963236843</v>
      </c>
      <c r="AA48" s="97">
        <f t="shared" ca="1" si="77"/>
        <v>0.16319189804814466</v>
      </c>
      <c r="AB48" s="87">
        <f t="shared" ca="1" si="78"/>
        <v>0.43822791828381225</v>
      </c>
      <c r="AC48" s="87">
        <v>0.5</v>
      </c>
      <c r="AD48" s="87">
        <f t="shared" ca="1" si="79"/>
        <v>0.70044712823452948</v>
      </c>
      <c r="AE48" s="87">
        <f t="shared" ca="1" si="80"/>
        <v>1</v>
      </c>
      <c r="AF48" s="87"/>
      <c r="AG48" s="87"/>
      <c r="AH48" s="87">
        <f t="shared" ca="1" si="81"/>
        <v>-999</v>
      </c>
      <c r="AI48" s="87">
        <f t="shared" ca="1" si="82"/>
        <v>0.60559851059082259</v>
      </c>
      <c r="AJ48" s="87">
        <f t="shared" ca="1" si="83"/>
        <v>-999</v>
      </c>
      <c r="AK48" s="87">
        <f t="shared" ca="1" si="84"/>
        <v>-999</v>
      </c>
      <c r="AL48" s="87">
        <f t="shared" ca="1" si="85"/>
        <v>-999</v>
      </c>
      <c r="AM48" s="87">
        <f t="shared" ca="1" si="86"/>
        <v>-999</v>
      </c>
      <c r="AN48" s="87">
        <f t="shared" ca="1" si="87"/>
        <v>0.52049824354383045</v>
      </c>
      <c r="AO48" s="158">
        <f t="shared" si="29"/>
        <v>16.934500000000007</v>
      </c>
    </row>
    <row r="49" spans="1:41" s="21" customFormat="1" ht="10.199999999999999" x14ac:dyDescent="0.2">
      <c r="A49" s="440"/>
      <c r="B49" s="88">
        <v>39</v>
      </c>
      <c r="C49" s="240" t="s">
        <v>258</v>
      </c>
      <c r="D49" s="90" t="s">
        <v>303</v>
      </c>
      <c r="E49" s="112">
        <f t="shared" ca="1" si="59"/>
        <v>2</v>
      </c>
      <c r="F49" s="91" t="str">
        <f t="shared" ca="1" si="60"/>
        <v>N/A</v>
      </c>
      <c r="G49" s="92">
        <f t="shared" ca="1" si="61"/>
        <v>14.844620581309435</v>
      </c>
      <c r="H49" s="92">
        <f t="shared" ca="1" si="62"/>
        <v>3.6452940544312797</v>
      </c>
      <c r="I49" s="92">
        <f t="shared" ca="1" si="63"/>
        <v>38.748800842136369</v>
      </c>
      <c r="J49" s="93">
        <f t="shared" ca="1" si="64"/>
        <v>5</v>
      </c>
      <c r="K49" s="94">
        <f t="shared" ca="1" si="65"/>
        <v>2.176848027564807</v>
      </c>
      <c r="L49" s="92">
        <f t="shared" ca="1" si="66"/>
        <v>5.2631578947368425</v>
      </c>
      <c r="M49" s="92">
        <f t="shared" ca="1" si="67"/>
        <v>10.144808778604332</v>
      </c>
      <c r="N49" s="92">
        <f t="shared" ca="1" si="68"/>
        <v>14.152708199516047</v>
      </c>
      <c r="O49" s="92">
        <f t="shared" ca="1" si="69"/>
        <v>23.858184065065792</v>
      </c>
      <c r="P49" s="92"/>
      <c r="Q49" s="92"/>
      <c r="R49" s="92">
        <f t="shared" ca="1" si="70"/>
        <v>12.803279629408211</v>
      </c>
      <c r="S49" s="95">
        <f ca="1">IF($Y$3="Practice Locality",R49,IF($Y$3="Practice Cluster",#REF!,(VLOOKUP((LEFT($Y$3,6)),INDIRECT(D49),7,FALSE))))</f>
        <v>12.803279629408211</v>
      </c>
      <c r="T49" s="81">
        <f t="shared" ca="1" si="71"/>
        <v>2.176848027564807</v>
      </c>
      <c r="U49" s="82">
        <f t="shared" ca="1" si="72"/>
        <v>23.858184065065792</v>
      </c>
      <c r="V49" s="96"/>
      <c r="W49" s="81">
        <f t="shared" ca="1" si="73"/>
        <v>-3.5685665078571276</v>
      </c>
      <c r="X49" s="81">
        <f t="shared" ca="1" si="74"/>
        <v>23.858184065065792</v>
      </c>
      <c r="Y49" s="81">
        <f t="shared" ca="1" si="75"/>
        <v>23.858184065065792</v>
      </c>
      <c r="Z49" s="81">
        <f t="shared" ca="1" si="76"/>
        <v>-3.5685665078571276</v>
      </c>
      <c r="AA49" s="97">
        <f t="shared" ca="1" si="77"/>
        <v>0</v>
      </c>
      <c r="AB49" s="87">
        <f t="shared" ca="1" si="78"/>
        <v>0.35386896598430745</v>
      </c>
      <c r="AC49" s="87">
        <v>0.5</v>
      </c>
      <c r="AD49" s="87">
        <f t="shared" ca="1" si="79"/>
        <v>0.67798867098339033</v>
      </c>
      <c r="AE49" s="87">
        <f t="shared" ca="1" si="80"/>
        <v>0.79051785518135342</v>
      </c>
      <c r="AF49" s="87"/>
      <c r="AG49" s="87"/>
      <c r="AH49" s="87">
        <f t="shared" ca="1" si="81"/>
        <v>-999</v>
      </c>
      <c r="AI49" s="87">
        <f t="shared" ca="1" si="82"/>
        <v>0.32864131898494037</v>
      </c>
      <c r="AJ49" s="87">
        <f t="shared" ca="1" si="83"/>
        <v>-999</v>
      </c>
      <c r="AK49" s="87">
        <f t="shared" ca="1" si="84"/>
        <v>-999</v>
      </c>
      <c r="AL49" s="87">
        <f t="shared" ca="1" si="85"/>
        <v>-999</v>
      </c>
      <c r="AM49" s="87">
        <f t="shared" ca="1" si="86"/>
        <v>-999</v>
      </c>
      <c r="AN49" s="87">
        <f t="shared" ca="1" si="87"/>
        <v>0.40307014884116621</v>
      </c>
      <c r="AO49" s="158">
        <f t="shared" si="29"/>
        <v>17.374000000000006</v>
      </c>
    </row>
    <row r="50" spans="1:41" s="21" customFormat="1" ht="10.199999999999999" x14ac:dyDescent="0.2">
      <c r="A50" s="440"/>
      <c r="B50" s="88">
        <v>40</v>
      </c>
      <c r="C50" s="241" t="s">
        <v>281</v>
      </c>
      <c r="D50" s="90" t="s">
        <v>304</v>
      </c>
      <c r="E50" s="112">
        <f t="shared" ca="1" si="59"/>
        <v>2</v>
      </c>
      <c r="F50" s="91">
        <f t="shared" ca="1" si="60"/>
        <v>1330</v>
      </c>
      <c r="G50" s="92">
        <f t="shared" ca="1" si="61"/>
        <v>17.121524201853799</v>
      </c>
      <c r="H50" s="92">
        <f t="shared" ca="1" si="62"/>
        <v>16.2136086482239</v>
      </c>
      <c r="I50" s="92">
        <f t="shared" ca="1" si="63"/>
        <v>18.067042945122001</v>
      </c>
      <c r="J50" s="93">
        <f t="shared" ca="1" si="64"/>
        <v>2</v>
      </c>
      <c r="K50" s="94">
        <f t="shared" ca="1" si="65"/>
        <v>6.7466771353261201</v>
      </c>
      <c r="L50" s="92">
        <f t="shared" ca="1" si="66"/>
        <v>18.5221248512388</v>
      </c>
      <c r="M50" s="92">
        <f t="shared" ca="1" si="67"/>
        <v>20.548931776930399</v>
      </c>
      <c r="N50" s="92">
        <f t="shared" ca="1" si="68"/>
        <v>23.1010531032938</v>
      </c>
      <c r="O50" s="92">
        <f t="shared" ca="1" si="69"/>
        <v>27.1110659485825</v>
      </c>
      <c r="P50" s="92"/>
      <c r="Q50" s="92"/>
      <c r="R50" s="92">
        <f t="shared" ca="1" si="70"/>
        <v>21.358564215707073</v>
      </c>
      <c r="S50" s="95">
        <f ca="1">IF($Y$3="Practice Locality",R50,IF($Y$3="Practice Cluster",#REF!,(VLOOKUP((LEFT($Y$3,6)),INDIRECT(D50),7,FALSE))))</f>
        <v>21.358564215707073</v>
      </c>
      <c r="T50" s="81">
        <f t="shared" ca="1" si="71"/>
        <v>6.7466771353261201</v>
      </c>
      <c r="U50" s="82">
        <f t="shared" ca="1" si="72"/>
        <v>27.1110659485825</v>
      </c>
      <c r="V50" s="96"/>
      <c r="W50" s="81">
        <f t="shared" ca="1" si="73"/>
        <v>6.7466771353261201</v>
      </c>
      <c r="X50" s="81">
        <f t="shared" ca="1" si="74"/>
        <v>34.351186418534681</v>
      </c>
      <c r="Y50" s="81">
        <f t="shared" ca="1" si="75"/>
        <v>34.351186418534681</v>
      </c>
      <c r="Z50" s="81">
        <f t="shared" ca="1" si="76"/>
        <v>6.7466771353261201</v>
      </c>
      <c r="AA50" s="97">
        <f t="shared" ca="1" si="77"/>
        <v>0.26228035411432749</v>
      </c>
      <c r="AB50" s="87">
        <f t="shared" ca="1" si="78"/>
        <v>0.40754694096606092</v>
      </c>
      <c r="AC50" s="87">
        <v>0.5</v>
      </c>
      <c r="AD50" s="87">
        <f t="shared" ca="1" si="79"/>
        <v>0.57342303769639835</v>
      </c>
      <c r="AE50" s="87">
        <f t="shared" ca="1" si="80"/>
        <v>1</v>
      </c>
      <c r="AF50" s="87"/>
      <c r="AG50" s="87"/>
      <c r="AH50" s="87">
        <f t="shared" ca="1" si="81"/>
        <v>-999</v>
      </c>
      <c r="AI50" s="87">
        <f t="shared" ca="1" si="82"/>
        <v>-999</v>
      </c>
      <c r="AJ50" s="87">
        <f t="shared" ca="1" si="83"/>
        <v>-999</v>
      </c>
      <c r="AK50" s="87">
        <f t="shared" ca="1" si="84"/>
        <v>0.62416114845270754</v>
      </c>
      <c r="AL50" s="87">
        <f t="shared" ca="1" si="85"/>
        <v>-999</v>
      </c>
      <c r="AM50" s="87">
        <f t="shared" ca="1" si="86"/>
        <v>-999</v>
      </c>
      <c r="AN50" s="87">
        <f t="shared" ca="1" si="87"/>
        <v>0.47067028323270499</v>
      </c>
      <c r="AO50" s="158">
        <f t="shared" si="29"/>
        <v>17.813500000000005</v>
      </c>
    </row>
    <row r="51" spans="1:41" s="21" customFormat="1" ht="10.199999999999999" x14ac:dyDescent="0.2">
      <c r="A51" s="440"/>
      <c r="B51" s="88">
        <v>41</v>
      </c>
      <c r="C51" s="241" t="s">
        <v>227</v>
      </c>
      <c r="D51" s="90" t="s">
        <v>305</v>
      </c>
      <c r="E51" s="112">
        <f t="shared" ca="1" si="59"/>
        <v>2</v>
      </c>
      <c r="F51" s="91">
        <f t="shared" ca="1" si="60"/>
        <v>500</v>
      </c>
      <c r="G51" s="92">
        <f t="shared" ca="1" si="61"/>
        <v>6.6181336863004603</v>
      </c>
      <c r="H51" s="92">
        <f t="shared" ca="1" si="62"/>
        <v>6.0793195779583398</v>
      </c>
      <c r="I51" s="92">
        <f t="shared" ca="1" si="63"/>
        <v>7.2010417616656603</v>
      </c>
      <c r="J51" s="93">
        <f t="shared" ca="1" si="64"/>
        <v>2</v>
      </c>
      <c r="K51" s="94">
        <f t="shared" ca="1" si="65"/>
        <v>2.0747821197638499</v>
      </c>
      <c r="L51" s="92">
        <f t="shared" ca="1" si="66"/>
        <v>6.7646407207739498</v>
      </c>
      <c r="M51" s="92">
        <f t="shared" ca="1" si="67"/>
        <v>8.7425051969694394</v>
      </c>
      <c r="N51" s="92">
        <f t="shared" ca="1" si="68"/>
        <v>10.4903635032935</v>
      </c>
      <c r="O51" s="92">
        <f t="shared" ca="1" si="69"/>
        <v>16.959504685408302</v>
      </c>
      <c r="P51" s="92"/>
      <c r="Q51" s="92"/>
      <c r="R51" s="92">
        <f t="shared" ca="1" si="70"/>
        <v>10.350493684071536</v>
      </c>
      <c r="S51" s="95">
        <f ca="1">IF($Y$3="Practice Locality",R51,IF($Y$3="Practice Cluster",#REF!,(VLOOKUP((LEFT($Y$3,6)),INDIRECT(D51),7,FALSE))))</f>
        <v>10.350493684071536</v>
      </c>
      <c r="T51" s="81">
        <f t="shared" ca="1" si="71"/>
        <v>2.0747821197638499</v>
      </c>
      <c r="U51" s="82">
        <f t="shared" ca="1" si="72"/>
        <v>16.959504685408302</v>
      </c>
      <c r="V51" s="96"/>
      <c r="W51" s="81">
        <f t="shared" ca="1" si="73"/>
        <v>0.52550570853057721</v>
      </c>
      <c r="X51" s="81">
        <f t="shared" ca="1" si="74"/>
        <v>16.959504685408302</v>
      </c>
      <c r="Y51" s="81">
        <f t="shared" ca="1" si="75"/>
        <v>16.959504685408302</v>
      </c>
      <c r="Z51" s="81">
        <f t="shared" ca="1" si="76"/>
        <v>0.52550570853057721</v>
      </c>
      <c r="AA51" s="97">
        <f t="shared" ca="1" si="77"/>
        <v>0</v>
      </c>
      <c r="AB51" s="87">
        <f t="shared" ca="1" si="78"/>
        <v>0.39364376200927975</v>
      </c>
      <c r="AC51" s="87">
        <v>0.5</v>
      </c>
      <c r="AD51" s="87">
        <f t="shared" ca="1" si="79"/>
        <v>0.62035198973653949</v>
      </c>
      <c r="AE51" s="87">
        <f t="shared" ca="1" si="80"/>
        <v>0.90572736353378935</v>
      </c>
      <c r="AF51" s="87"/>
      <c r="AG51" s="87"/>
      <c r="AH51" s="87">
        <f t="shared" ca="1" si="81"/>
        <v>-999</v>
      </c>
      <c r="AI51" s="87">
        <f t="shared" ca="1" si="82"/>
        <v>-999</v>
      </c>
      <c r="AJ51" s="87">
        <f t="shared" ca="1" si="83"/>
        <v>-999</v>
      </c>
      <c r="AK51" s="87">
        <f t="shared" ca="1" si="84"/>
        <v>0.6292668639968837</v>
      </c>
      <c r="AL51" s="87">
        <f t="shared" ca="1" si="85"/>
        <v>-999</v>
      </c>
      <c r="AM51" s="87">
        <f t="shared" ca="1" si="86"/>
        <v>-999</v>
      </c>
      <c r="AN51" s="87">
        <f t="shared" ca="1" si="87"/>
        <v>0.40215476529087651</v>
      </c>
      <c r="AO51" s="158">
        <f t="shared" si="29"/>
        <v>18.253000000000004</v>
      </c>
    </row>
    <row r="52" spans="1:41" s="21" customFormat="1" ht="10.199999999999999" x14ac:dyDescent="0.2">
      <c r="A52" s="440"/>
      <c r="B52" s="88">
        <v>42</v>
      </c>
      <c r="C52" s="241" t="s">
        <v>259</v>
      </c>
      <c r="D52" s="90" t="s">
        <v>306</v>
      </c>
      <c r="E52" s="112">
        <f t="shared" ca="1" si="59"/>
        <v>2</v>
      </c>
      <c r="F52" s="91">
        <f t="shared" ca="1" si="60"/>
        <v>168</v>
      </c>
      <c r="G52" s="92">
        <f t="shared" ca="1" si="61"/>
        <v>779.46246048307307</v>
      </c>
      <c r="H52" s="92">
        <f t="shared" ca="1" si="62"/>
        <v>660.16103501746863</v>
      </c>
      <c r="I52" s="92">
        <f t="shared" ca="1" si="63"/>
        <v>913.25152959305501</v>
      </c>
      <c r="J52" s="93">
        <f t="shared" ca="1" si="64"/>
        <v>2</v>
      </c>
      <c r="K52" s="94">
        <f t="shared" ca="1" si="65"/>
        <v>194.16851135322827</v>
      </c>
      <c r="L52" s="92">
        <f t="shared" ca="1" si="66"/>
        <v>700.61946759826139</v>
      </c>
      <c r="M52" s="92">
        <f t="shared" ca="1" si="67"/>
        <v>937.56617676650262</v>
      </c>
      <c r="N52" s="92">
        <f t="shared" ca="1" si="68"/>
        <v>952.81114728804243</v>
      </c>
      <c r="O52" s="92">
        <f t="shared" ca="1" si="69"/>
        <v>1858.4826359216281</v>
      </c>
      <c r="P52" s="92"/>
      <c r="Q52" s="92"/>
      <c r="R52" s="92">
        <f t="shared" ca="1" si="70"/>
        <v>864.06255533820081</v>
      </c>
      <c r="S52" s="95">
        <f ca="1">IF($Y$3="Practice Locality",R52,IF($Y$3="Practice Cluster",#REF!,(VLOOKUP((LEFT($Y$3,6)),INDIRECT(D52),7,FALSE))))</f>
        <v>864.06255533820081</v>
      </c>
      <c r="T52" s="81">
        <f t="shared" ca="1" si="71"/>
        <v>194.16851135322827</v>
      </c>
      <c r="U52" s="82">
        <f t="shared" ca="1" si="72"/>
        <v>1858.4826359216281</v>
      </c>
      <c r="V52" s="96"/>
      <c r="W52" s="81">
        <f t="shared" ca="1" si="73"/>
        <v>16.649717611377127</v>
      </c>
      <c r="X52" s="81">
        <f t="shared" ca="1" si="74"/>
        <v>1858.4826359216281</v>
      </c>
      <c r="Y52" s="81">
        <f t="shared" ca="1" si="75"/>
        <v>1858.4826359216281</v>
      </c>
      <c r="Z52" s="81">
        <f t="shared" ca="1" si="76"/>
        <v>16.649717611377127</v>
      </c>
      <c r="AA52" s="97">
        <f t="shared" ca="1" si="77"/>
        <v>0</v>
      </c>
      <c r="AB52" s="87">
        <f t="shared" ca="1" si="78"/>
        <v>0.49172293514249599</v>
      </c>
      <c r="AC52" s="87">
        <v>0.5</v>
      </c>
      <c r="AD52" s="87">
        <f t="shared" ca="1" si="79"/>
        <v>0.62864723331453032</v>
      </c>
      <c r="AE52" s="87">
        <f t="shared" ca="1" si="80"/>
        <v>0.90361840535203819</v>
      </c>
      <c r="AF52" s="87"/>
      <c r="AG52" s="87"/>
      <c r="AH52" s="87">
        <f t="shared" ca="1" si="81"/>
        <v>-999</v>
      </c>
      <c r="AI52" s="87">
        <f t="shared" ca="1" si="82"/>
        <v>-999</v>
      </c>
      <c r="AJ52" s="87">
        <f t="shared" ca="1" si="83"/>
        <v>-999</v>
      </c>
      <c r="AK52" s="87">
        <f t="shared" ca="1" si="84"/>
        <v>0.5858404227178643</v>
      </c>
      <c r="AL52" s="87">
        <f t="shared" ca="1" si="85"/>
        <v>-999</v>
      </c>
      <c r="AM52" s="87">
        <f t="shared" ca="1" si="86"/>
        <v>-999</v>
      </c>
      <c r="AN52" s="87">
        <f t="shared" ca="1" si="87"/>
        <v>0.53990786607057506</v>
      </c>
      <c r="AO52" s="158">
        <f t="shared" si="29"/>
        <v>18.692500000000003</v>
      </c>
    </row>
    <row r="53" spans="1:41" s="21" customFormat="1" ht="10.199999999999999" x14ac:dyDescent="0.2">
      <c r="A53" s="440"/>
      <c r="B53" s="88">
        <v>43</v>
      </c>
      <c r="C53" s="241" t="s">
        <v>260</v>
      </c>
      <c r="D53" s="90" t="s">
        <v>307</v>
      </c>
      <c r="E53" s="112">
        <f t="shared" ca="1" si="59"/>
        <v>2</v>
      </c>
      <c r="F53" s="91">
        <f t="shared" ca="1" si="60"/>
        <v>12</v>
      </c>
      <c r="G53" s="92">
        <f t="shared" ca="1" si="61"/>
        <v>47.836708007891481</v>
      </c>
      <c r="H53" s="92">
        <f t="shared" ca="1" si="62"/>
        <v>22.640877778730975</v>
      </c>
      <c r="I53" s="92">
        <f t="shared" ca="1" si="63"/>
        <v>86.728817317302614</v>
      </c>
      <c r="J53" s="93">
        <f t="shared" ca="1" si="64"/>
        <v>5</v>
      </c>
      <c r="K53" s="94">
        <f t="shared" ca="1" si="65"/>
        <v>6.1383928571428559</v>
      </c>
      <c r="L53" s="92">
        <f t="shared" ca="1" si="66"/>
        <v>29.450247108574921</v>
      </c>
      <c r="M53" s="92">
        <f t="shared" ca="1" si="67"/>
        <v>49.491593757294879</v>
      </c>
      <c r="N53" s="92">
        <f t="shared" ca="1" si="68"/>
        <v>59.121408345803268</v>
      </c>
      <c r="O53" s="92">
        <f t="shared" ca="1" si="69"/>
        <v>85.869077570142508</v>
      </c>
      <c r="P53" s="92"/>
      <c r="Q53" s="92"/>
      <c r="R53" s="92">
        <f t="shared" ca="1" si="70"/>
        <v>54.184831862831302</v>
      </c>
      <c r="S53" s="95">
        <f ca="1">IF($Y$3="Practice Locality",R53,IF($Y$3="Practice Cluster",#REF!,(VLOOKUP((LEFT($Y$3,6)),INDIRECT(D53),7,FALSE))))</f>
        <v>54.184831862831302</v>
      </c>
      <c r="T53" s="81">
        <f t="shared" ca="1" si="71"/>
        <v>6.1383928571428559</v>
      </c>
      <c r="U53" s="82">
        <f t="shared" ca="1" si="72"/>
        <v>85.869077570142508</v>
      </c>
      <c r="V53" s="96"/>
      <c r="W53" s="81">
        <f t="shared" ca="1" si="73"/>
        <v>6.1383928571428559</v>
      </c>
      <c r="X53" s="81">
        <f t="shared" ca="1" si="74"/>
        <v>92.844794657446897</v>
      </c>
      <c r="Y53" s="81">
        <f t="shared" ca="1" si="75"/>
        <v>92.844794657446897</v>
      </c>
      <c r="Z53" s="81">
        <f t="shared" ca="1" si="76"/>
        <v>6.1383928571428559</v>
      </c>
      <c r="AA53" s="97">
        <f t="shared" ca="1" si="77"/>
        <v>8.0452157423973839E-2</v>
      </c>
      <c r="AB53" s="87">
        <f t="shared" ca="1" si="78"/>
        <v>0.38893767485949782</v>
      </c>
      <c r="AC53" s="87">
        <v>0.5</v>
      </c>
      <c r="AD53" s="87">
        <f t="shared" ca="1" si="79"/>
        <v>0.73114033373080978</v>
      </c>
      <c r="AE53" s="87">
        <f t="shared" ca="1" si="80"/>
        <v>1</v>
      </c>
      <c r="AF53" s="87"/>
      <c r="AG53" s="87"/>
      <c r="AH53" s="87">
        <f t="shared" ca="1" si="81"/>
        <v>-999</v>
      </c>
      <c r="AI53" s="87">
        <f t="shared" ca="1" si="82"/>
        <v>0.51908608493770525</v>
      </c>
      <c r="AJ53" s="87">
        <f t="shared" ca="1" si="83"/>
        <v>-999</v>
      </c>
      <c r="AK53" s="87">
        <f t="shared" ca="1" si="84"/>
        <v>-999</v>
      </c>
      <c r="AL53" s="87">
        <f t="shared" ca="1" si="85"/>
        <v>-999</v>
      </c>
      <c r="AM53" s="87">
        <f t="shared" ca="1" si="86"/>
        <v>-999</v>
      </c>
      <c r="AN53" s="87">
        <f t="shared" ca="1" si="87"/>
        <v>0.44587206932718126</v>
      </c>
      <c r="AO53" s="158">
        <f t="shared" si="29"/>
        <v>19.132000000000001</v>
      </c>
    </row>
    <row r="54" spans="1:41" s="21" customFormat="1" ht="10.199999999999999" x14ac:dyDescent="0.2">
      <c r="A54" s="440"/>
      <c r="B54" s="88">
        <v>44</v>
      </c>
      <c r="C54" s="242" t="s">
        <v>451</v>
      </c>
      <c r="D54" s="90" t="s">
        <v>308</v>
      </c>
      <c r="E54" s="112">
        <f t="shared" ca="1" si="59"/>
        <v>1</v>
      </c>
      <c r="F54" s="91" t="str">
        <f t="shared" ca="1" si="60"/>
        <v>N/A</v>
      </c>
      <c r="G54" s="92">
        <f t="shared" ca="1" si="61"/>
        <v>87.261146496815286</v>
      </c>
      <c r="H54" s="92">
        <f t="shared" ca="1" si="62"/>
        <v>85.421130531292263</v>
      </c>
      <c r="I54" s="92">
        <f t="shared" ca="1" si="63"/>
        <v>88.899111401525204</v>
      </c>
      <c r="J54" s="93">
        <f t="shared" ca="1" si="64"/>
        <v>2</v>
      </c>
      <c r="K54" s="94">
        <f t="shared" ca="1" si="65"/>
        <v>66.182749786507259</v>
      </c>
      <c r="L54" s="92">
        <f t="shared" ca="1" si="66"/>
        <v>70.886850152905197</v>
      </c>
      <c r="M54" s="92">
        <f t="shared" ca="1" si="67"/>
        <v>76.56903765690376</v>
      </c>
      <c r="N54" s="92">
        <f t="shared" ca="1" si="68"/>
        <v>87.261146496815286</v>
      </c>
      <c r="O54" s="92">
        <f t="shared" ca="1" si="69"/>
        <v>91.28289473684211</v>
      </c>
      <c r="P54" s="92"/>
      <c r="Q54" s="92"/>
      <c r="R54" s="92">
        <f t="shared" ca="1" si="70"/>
        <v>74.423269809428291</v>
      </c>
      <c r="S54" s="95">
        <f ca="1">IF($Y$3="Practice Locality",R54,IF($Y$3="Practice Cluster",#REF!,(VLOOKUP((LEFT($Y$3,6)),INDIRECT(D54),7,FALSE))))</f>
        <v>74.423269809428291</v>
      </c>
      <c r="T54" s="81">
        <f t="shared" ca="1" si="71"/>
        <v>91.28289473684211</v>
      </c>
      <c r="U54" s="82">
        <f t="shared" ca="1" si="72"/>
        <v>66.182749786507259</v>
      </c>
      <c r="V54" s="96"/>
      <c r="W54" s="81">
        <f t="shared" ca="1" si="73"/>
        <v>61.85518057696541</v>
      </c>
      <c r="X54" s="81">
        <f t="shared" ca="1" si="74"/>
        <v>91.28289473684211</v>
      </c>
      <c r="Y54" s="81">
        <f t="shared" ca="1" si="75"/>
        <v>61.85518057696541</v>
      </c>
      <c r="Z54" s="81">
        <f t="shared" ca="1" si="76"/>
        <v>91.28289473684211</v>
      </c>
      <c r="AA54" s="97">
        <f t="shared" ca="1" si="77"/>
        <v>0.14705760651441577</v>
      </c>
      <c r="AB54" s="87">
        <f t="shared" ca="1" si="78"/>
        <v>0.3069103338054725</v>
      </c>
      <c r="AC54" s="87">
        <v>0.5</v>
      </c>
      <c r="AD54" s="87">
        <f t="shared" ca="1" si="79"/>
        <v>0.86333467090997207</v>
      </c>
      <c r="AE54" s="87">
        <f t="shared" ca="1" si="80"/>
        <v>1</v>
      </c>
      <c r="AF54" s="87"/>
      <c r="AG54" s="87"/>
      <c r="AH54" s="87">
        <f t="shared" ca="1" si="81"/>
        <v>-999</v>
      </c>
      <c r="AI54" s="87">
        <f t="shared" ca="1" si="82"/>
        <v>-999</v>
      </c>
      <c r="AJ54" s="87">
        <f t="shared" ca="1" si="83"/>
        <v>-999</v>
      </c>
      <c r="AK54" s="87">
        <f t="shared" ca="1" si="84"/>
        <v>0.86333467090997207</v>
      </c>
      <c r="AL54" s="87">
        <f t="shared" ca="1" si="85"/>
        <v>-999</v>
      </c>
      <c r="AM54" s="87">
        <f t="shared" ca="1" si="86"/>
        <v>-999</v>
      </c>
      <c r="AN54" s="87">
        <f t="shared" ca="1" si="87"/>
        <v>0.42708343448567537</v>
      </c>
      <c r="AO54" s="158">
        <f t="shared" si="29"/>
        <v>19.5715</v>
      </c>
    </row>
    <row r="55" spans="1:41" s="21" customFormat="1" ht="10.199999999999999" x14ac:dyDescent="0.2">
      <c r="A55" s="440"/>
      <c r="B55" s="88">
        <v>45</v>
      </c>
      <c r="C55" s="242" t="s">
        <v>228</v>
      </c>
      <c r="D55" s="90" t="s">
        <v>335</v>
      </c>
      <c r="E55" s="112">
        <f t="shared" ca="1" si="59"/>
        <v>2</v>
      </c>
      <c r="F55" s="91" t="str">
        <f t="shared" ca="1" si="60"/>
        <v>N/A</v>
      </c>
      <c r="G55" s="92">
        <f t="shared" ca="1" si="61"/>
        <v>9.8025387870239769</v>
      </c>
      <c r="H55" s="92">
        <f t="shared" ca="1" si="62"/>
        <v>8.3617603419121878</v>
      </c>
      <c r="I55" s="92">
        <f t="shared" ca="1" si="63"/>
        <v>11.460524137994559</v>
      </c>
      <c r="J55" s="93">
        <f t="shared" ca="1" si="64"/>
        <v>2</v>
      </c>
      <c r="K55" s="94">
        <f t="shared" ca="1" si="65"/>
        <v>6.3106796116504853</v>
      </c>
      <c r="L55" s="92">
        <f t="shared" ca="1" si="66"/>
        <v>9.5100864553314111</v>
      </c>
      <c r="M55" s="92">
        <f t="shared" ca="1" si="67"/>
        <v>14.004253890070526</v>
      </c>
      <c r="N55" s="92">
        <f t="shared" ca="1" si="68"/>
        <v>16.223003515821194</v>
      </c>
      <c r="O55" s="92">
        <f t="shared" ca="1" si="69"/>
        <v>19.882055602358889</v>
      </c>
      <c r="P55" s="92"/>
      <c r="Q55" s="92"/>
      <c r="R55" s="92">
        <f t="shared" ca="1" si="70"/>
        <v>16.319099635882157</v>
      </c>
      <c r="S55" s="95">
        <f ca="1">IF($Y$3="Practice Locality",R55,IF($Y$3="Practice Cluster",#REF!,(VLOOKUP((LEFT($Y$3,6)),INDIRECT(D55),7,FALSE))))</f>
        <v>16.319099635882157</v>
      </c>
      <c r="T55" s="81">
        <f t="shared" ca="1" si="71"/>
        <v>6.3106796116504853</v>
      </c>
      <c r="U55" s="82">
        <f t="shared" ca="1" si="72"/>
        <v>19.882055602358889</v>
      </c>
      <c r="V55" s="96"/>
      <c r="W55" s="81">
        <f t="shared" ca="1" si="73"/>
        <v>6.3106796116504853</v>
      </c>
      <c r="X55" s="81">
        <f t="shared" ca="1" si="74"/>
        <v>21.697828168490567</v>
      </c>
      <c r="Y55" s="81">
        <f t="shared" ca="1" si="75"/>
        <v>21.697828168490567</v>
      </c>
      <c r="Z55" s="81">
        <f t="shared" ca="1" si="76"/>
        <v>6.3106796116504853</v>
      </c>
      <c r="AA55" s="97">
        <f t="shared" ca="1" si="77"/>
        <v>0.11800578641482656</v>
      </c>
      <c r="AB55" s="87">
        <f t="shared" ca="1" si="78"/>
        <v>0.35580501692340116</v>
      </c>
      <c r="AC55" s="87">
        <v>0.5</v>
      </c>
      <c r="AD55" s="87">
        <f t="shared" ca="1" si="79"/>
        <v>0.79207279166361944</v>
      </c>
      <c r="AE55" s="87">
        <f t="shared" ca="1" si="80"/>
        <v>1</v>
      </c>
      <c r="AF55" s="87"/>
      <c r="AG55" s="87"/>
      <c r="AH55" s="87">
        <f t="shared" ca="1" si="81"/>
        <v>-999</v>
      </c>
      <c r="AI55" s="87">
        <f t="shared" ca="1" si="82"/>
        <v>-999</v>
      </c>
      <c r="AJ55" s="87">
        <f t="shared" ca="1" si="83"/>
        <v>-999</v>
      </c>
      <c r="AK55" s="87">
        <f t="shared" ca="1" si="84"/>
        <v>0.77306651960403361</v>
      </c>
      <c r="AL55" s="87">
        <f t="shared" ca="1" si="85"/>
        <v>-999</v>
      </c>
      <c r="AM55" s="87">
        <f t="shared" ca="1" si="86"/>
        <v>-999</v>
      </c>
      <c r="AN55" s="87">
        <f t="shared" ca="1" si="87"/>
        <v>0.34955979743351423</v>
      </c>
      <c r="AO55" s="158">
        <f t="shared" si="29"/>
        <v>20.010999999999999</v>
      </c>
    </row>
    <row r="56" spans="1:41" s="21" customFormat="1" ht="10.199999999999999" x14ac:dyDescent="0.2">
      <c r="A56" s="440"/>
      <c r="B56" s="88">
        <v>46</v>
      </c>
      <c r="C56" s="242" t="s">
        <v>229</v>
      </c>
      <c r="D56" s="90" t="s">
        <v>338</v>
      </c>
      <c r="E56" s="112">
        <f t="shared" ca="1" si="59"/>
        <v>2</v>
      </c>
      <c r="F56" s="91" t="str">
        <f t="shared" ca="1" si="60"/>
        <v>N/A</v>
      </c>
      <c r="G56" s="92">
        <f t="shared" ca="1" si="61"/>
        <v>3.2774945375091042</v>
      </c>
      <c r="H56" s="92">
        <f t="shared" ca="1" si="62"/>
        <v>2.458399993597661</v>
      </c>
      <c r="I56" s="92">
        <f t="shared" ca="1" si="63"/>
        <v>4.3573054908284217</v>
      </c>
      <c r="J56" s="93">
        <f t="shared" ca="1" si="64"/>
        <v>5</v>
      </c>
      <c r="K56" s="94">
        <f t="shared" ca="1" si="65"/>
        <v>1.7318159327065807</v>
      </c>
      <c r="L56" s="92">
        <f t="shared" ca="1" si="66"/>
        <v>1.9766397124887689</v>
      </c>
      <c r="M56" s="92">
        <f t="shared" ca="1" si="67"/>
        <v>2.4223894637817498</v>
      </c>
      <c r="N56" s="92">
        <f t="shared" ca="1" si="68"/>
        <v>3.0303030303030303</v>
      </c>
      <c r="O56" s="92">
        <f t="shared" ca="1" si="69"/>
        <v>4.1189931350114417</v>
      </c>
      <c r="P56" s="92"/>
      <c r="Q56" s="92"/>
      <c r="R56" s="92">
        <f t="shared" ca="1" si="70"/>
        <v>2.6123301985370948</v>
      </c>
      <c r="S56" s="95">
        <f ca="1">IF($Y$3="Practice Locality",R56,IF($Y$3="Practice Cluster",#REF!,(VLOOKUP((LEFT($Y$3,6)),INDIRECT(D56),7,FALSE))))</f>
        <v>2.6123301985370948</v>
      </c>
      <c r="T56" s="81">
        <f t="shared" ca="1" si="71"/>
        <v>1.7318159327065807</v>
      </c>
      <c r="U56" s="82">
        <f t="shared" ca="1" si="72"/>
        <v>4.1189931350114417</v>
      </c>
      <c r="V56" s="96"/>
      <c r="W56" s="81">
        <f t="shared" ca="1" si="73"/>
        <v>0.72578579255205788</v>
      </c>
      <c r="X56" s="81">
        <f t="shared" ca="1" si="74"/>
        <v>4.1189931350114417</v>
      </c>
      <c r="Y56" s="81">
        <f t="shared" ca="1" si="75"/>
        <v>4.1189931350114417</v>
      </c>
      <c r="Z56" s="81">
        <f t="shared" ca="1" si="76"/>
        <v>0.72578579255205788</v>
      </c>
      <c r="AA56" s="97">
        <f t="shared" ca="1" si="77"/>
        <v>0</v>
      </c>
      <c r="AB56" s="87">
        <f t="shared" ca="1" si="78"/>
        <v>0.32084396702953405</v>
      </c>
      <c r="AC56" s="87">
        <v>0.5</v>
      </c>
      <c r="AD56" s="87">
        <f t="shared" ca="1" si="79"/>
        <v>0.63136531496772696</v>
      </c>
      <c r="AE56" s="87">
        <f t="shared" ca="1" si="80"/>
        <v>0.70351645548858333</v>
      </c>
      <c r="AF56" s="87"/>
      <c r="AG56" s="87"/>
      <c r="AH56" s="87">
        <f t="shared" ca="1" si="81"/>
        <v>-999</v>
      </c>
      <c r="AI56" s="87">
        <f t="shared" ca="1" si="82"/>
        <v>0.24799504202782446</v>
      </c>
      <c r="AJ56" s="87">
        <f t="shared" ca="1" si="83"/>
        <v>-999</v>
      </c>
      <c r="AK56" s="87">
        <f t="shared" ca="1" si="84"/>
        <v>-999</v>
      </c>
      <c r="AL56" s="87">
        <f t="shared" ca="1" si="85"/>
        <v>-999</v>
      </c>
      <c r="AM56" s="87">
        <f t="shared" ca="1" si="86"/>
        <v>-999</v>
      </c>
      <c r="AN56" s="87">
        <f t="shared" ca="1" si="87"/>
        <v>0.44402324538833615</v>
      </c>
      <c r="AO56" s="158">
        <f t="shared" si="29"/>
        <v>20.450499999999998</v>
      </c>
    </row>
    <row r="57" spans="1:41" s="21" customFormat="1" ht="10.199999999999999" x14ac:dyDescent="0.2">
      <c r="A57" s="440"/>
      <c r="B57" s="88">
        <v>47</v>
      </c>
      <c r="C57" s="242" t="s">
        <v>230</v>
      </c>
      <c r="D57" s="90" t="s">
        <v>340</v>
      </c>
      <c r="E57" s="112">
        <f t="shared" ca="1" si="59"/>
        <v>2</v>
      </c>
      <c r="F57" s="91" t="str">
        <f t="shared" ca="1" si="60"/>
        <v>N/A</v>
      </c>
      <c r="G57" s="92">
        <f t="shared" ca="1" si="61"/>
        <v>4.6348314606741576</v>
      </c>
      <c r="H57" s="92">
        <f t="shared" ca="1" si="62"/>
        <v>3.6595872107734615</v>
      </c>
      <c r="I57" s="92">
        <f t="shared" ca="1" si="63"/>
        <v>5.8541762383485798</v>
      </c>
      <c r="J57" s="93">
        <f t="shared" ca="1" si="64"/>
        <v>5</v>
      </c>
      <c r="K57" s="94">
        <f t="shared" ca="1" si="65"/>
        <v>1.932367149758454</v>
      </c>
      <c r="L57" s="92">
        <f t="shared" ca="1" si="66"/>
        <v>4.2568542568542567</v>
      </c>
      <c r="M57" s="92">
        <f t="shared" ca="1" si="67"/>
        <v>4.616928738708598</v>
      </c>
      <c r="N57" s="92">
        <f t="shared" ca="1" si="68"/>
        <v>4.9590755897929704</v>
      </c>
      <c r="O57" s="92">
        <f t="shared" ca="1" si="69"/>
        <v>6.3100137174211248</v>
      </c>
      <c r="P57" s="92"/>
      <c r="Q57" s="92"/>
      <c r="R57" s="92">
        <f t="shared" ca="1" si="70"/>
        <v>4.8105436573311362</v>
      </c>
      <c r="S57" s="95">
        <f ca="1">IF($Y$3="Practice Locality",R57,IF($Y$3="Practice Cluster",#REF!,(VLOOKUP((LEFT($Y$3,6)),INDIRECT(D57),7,FALSE))))</f>
        <v>4.8105436573311362</v>
      </c>
      <c r="T57" s="81">
        <f t="shared" ca="1" si="71"/>
        <v>1.932367149758454</v>
      </c>
      <c r="U57" s="82">
        <f t="shared" ca="1" si="72"/>
        <v>6.3100137174211248</v>
      </c>
      <c r="V57" s="96"/>
      <c r="W57" s="81">
        <f t="shared" ca="1" si="73"/>
        <v>1.932367149758454</v>
      </c>
      <c r="X57" s="81">
        <f t="shared" ca="1" si="74"/>
        <v>7.3014903276587422</v>
      </c>
      <c r="Y57" s="81">
        <f t="shared" ca="1" si="75"/>
        <v>7.3014903276587422</v>
      </c>
      <c r="Z57" s="81">
        <f t="shared" ca="1" si="76"/>
        <v>1.932367149758454</v>
      </c>
      <c r="AA57" s="97">
        <f t="shared" ca="1" si="77"/>
        <v>0.18466266788562591</v>
      </c>
      <c r="AB57" s="87">
        <f t="shared" ca="1" si="78"/>
        <v>0.43627509748841781</v>
      </c>
      <c r="AC57" s="87">
        <v>0.5</v>
      </c>
      <c r="AD57" s="87">
        <f t="shared" ca="1" si="79"/>
        <v>0.56706392644080783</v>
      </c>
      <c r="AE57" s="87">
        <f t="shared" ca="1" si="80"/>
        <v>1</v>
      </c>
      <c r="AF57" s="87"/>
      <c r="AG57" s="87"/>
      <c r="AH57" s="87">
        <f t="shared" ca="1" si="81"/>
        <v>-999</v>
      </c>
      <c r="AI57" s="87">
        <f t="shared" ca="1" si="82"/>
        <v>0.49666561533934467</v>
      </c>
      <c r="AJ57" s="87">
        <f t="shared" ca="1" si="83"/>
        <v>-999</v>
      </c>
      <c r="AK57" s="87">
        <f t="shared" ca="1" si="84"/>
        <v>-999</v>
      </c>
      <c r="AL57" s="87">
        <f t="shared" ca="1" si="85"/>
        <v>-999</v>
      </c>
      <c r="AM57" s="87">
        <f t="shared" ca="1" si="86"/>
        <v>-999</v>
      </c>
      <c r="AN57" s="87">
        <f t="shared" ca="1" si="87"/>
        <v>0.463939192265234</v>
      </c>
      <c r="AO57" s="158">
        <f t="shared" si="29"/>
        <v>20.889999999999997</v>
      </c>
    </row>
    <row r="58" spans="1:41" s="21" customFormat="1" ht="10.199999999999999" x14ac:dyDescent="0.2">
      <c r="A58" s="440"/>
      <c r="B58" s="88">
        <v>48</v>
      </c>
      <c r="C58" s="242" t="s">
        <v>342</v>
      </c>
      <c r="D58" s="90" t="s">
        <v>343</v>
      </c>
      <c r="E58" s="112">
        <f t="shared" ca="1" si="59"/>
        <v>2</v>
      </c>
      <c r="F58" s="91">
        <f t="shared" ca="1" si="60"/>
        <v>248</v>
      </c>
      <c r="G58" s="92">
        <f t="shared" ca="1" si="61"/>
        <v>175.51309271054492</v>
      </c>
      <c r="H58" s="92">
        <f t="shared" ca="1" si="62"/>
        <v>154.34616318401785</v>
      </c>
      <c r="I58" s="92">
        <f t="shared" ca="1" si="63"/>
        <v>198.77177390980697</v>
      </c>
      <c r="J58" s="93">
        <f t="shared" ca="1" si="64"/>
        <v>5</v>
      </c>
      <c r="K58" s="94">
        <f t="shared" ca="1" si="65"/>
        <v>115.07936507936508</v>
      </c>
      <c r="L58" s="92">
        <f t="shared" ca="1" si="66"/>
        <v>153.10492505353318</v>
      </c>
      <c r="M58" s="92">
        <f t="shared" ca="1" si="67"/>
        <v>164.94697031982241</v>
      </c>
      <c r="N58" s="92">
        <f t="shared" ca="1" si="68"/>
        <v>179.57746478873241</v>
      </c>
      <c r="O58" s="92">
        <f t="shared" ca="1" si="69"/>
        <v>231.45400593471811</v>
      </c>
      <c r="P58" s="92"/>
      <c r="Q58" s="92"/>
      <c r="R58" s="92">
        <f t="shared" ca="1" si="70"/>
        <v>168.89643020296285</v>
      </c>
      <c r="S58" s="95">
        <f ca="1">IF($Y$3="Practice Locality",R58,IF($Y$3="Practice Cluster",#REF!,(VLOOKUP((LEFT($Y$3,6)),INDIRECT(D58),7,FALSE))))</f>
        <v>168.89643020296285</v>
      </c>
      <c r="T58" s="81">
        <f t="shared" ca="1" si="71"/>
        <v>115.07936507936508</v>
      </c>
      <c r="U58" s="82">
        <f t="shared" ca="1" si="72"/>
        <v>231.45400593471811</v>
      </c>
      <c r="V58" s="96"/>
      <c r="W58" s="81">
        <f t="shared" ca="1" si="73"/>
        <v>98.439934704926713</v>
      </c>
      <c r="X58" s="81">
        <f t="shared" ca="1" si="74"/>
        <v>231.45400593471811</v>
      </c>
      <c r="Y58" s="81">
        <f t="shared" ca="1" si="75"/>
        <v>231.45400593471811</v>
      </c>
      <c r="Z58" s="81">
        <f t="shared" ca="1" si="76"/>
        <v>98.439934704926713</v>
      </c>
      <c r="AA58" s="97">
        <f t="shared" ca="1" si="77"/>
        <v>0</v>
      </c>
      <c r="AB58" s="87">
        <f t="shared" ca="1" si="78"/>
        <v>0.39000791921003031</v>
      </c>
      <c r="AC58" s="87">
        <v>0.5</v>
      </c>
      <c r="AD58" s="87">
        <f t="shared" ca="1" si="79"/>
        <v>0.58902851523002586</v>
      </c>
      <c r="AE58" s="87">
        <f t="shared" ca="1" si="80"/>
        <v>0.87490473586292572</v>
      </c>
      <c r="AF58" s="87"/>
      <c r="AG58" s="87"/>
      <c r="AH58" s="87">
        <f t="shared" ca="1" si="81"/>
        <v>-999</v>
      </c>
      <c r="AI58" s="87">
        <f t="shared" ca="1" si="82"/>
        <v>0.42056387498681419</v>
      </c>
      <c r="AJ58" s="87">
        <f t="shared" ca="1" si="83"/>
        <v>-999</v>
      </c>
      <c r="AK58" s="87">
        <f t="shared" ca="1" si="84"/>
        <v>-999</v>
      </c>
      <c r="AL58" s="87">
        <f t="shared" ca="1" si="85"/>
        <v>-999</v>
      </c>
      <c r="AM58" s="87">
        <f t="shared" ca="1" si="86"/>
        <v>-999</v>
      </c>
      <c r="AN58" s="87">
        <f t="shared" ca="1" si="87"/>
        <v>0.47030795428915595</v>
      </c>
      <c r="AO58" s="158">
        <f t="shared" si="29"/>
        <v>21.329499999999996</v>
      </c>
    </row>
    <row r="59" spans="1:41" s="21" customFormat="1" ht="10.199999999999999" x14ac:dyDescent="0.2">
      <c r="A59" s="440"/>
      <c r="B59" s="88">
        <v>49</v>
      </c>
      <c r="C59" s="242" t="s">
        <v>345</v>
      </c>
      <c r="D59" s="90" t="s">
        <v>348</v>
      </c>
      <c r="E59" s="112">
        <f t="shared" ca="1" si="59"/>
        <v>2</v>
      </c>
      <c r="F59" s="91">
        <f t="shared" ca="1" si="60"/>
        <v>36</v>
      </c>
      <c r="G59" s="92">
        <f t="shared" ca="1" si="61"/>
        <v>99.502487562189046</v>
      </c>
      <c r="H59" s="92">
        <f t="shared" ca="1" si="62"/>
        <v>69.68061869258959</v>
      </c>
      <c r="I59" s="92">
        <f t="shared" ca="1" si="63"/>
        <v>137.7574647755736</v>
      </c>
      <c r="J59" s="93">
        <f t="shared" ca="1" si="64"/>
        <v>5</v>
      </c>
      <c r="K59" s="94">
        <f t="shared" ca="1" si="65"/>
        <v>37.650602409638552</v>
      </c>
      <c r="L59" s="92">
        <f t="shared" ca="1" si="66"/>
        <v>99.502487562189046</v>
      </c>
      <c r="M59" s="92">
        <f t="shared" ca="1" si="67"/>
        <v>112.7210564426429</v>
      </c>
      <c r="N59" s="92">
        <f t="shared" ca="1" si="68"/>
        <v>124.58942122550685</v>
      </c>
      <c r="O59" s="92">
        <f t="shared" ca="1" si="69"/>
        <v>159.37605968124788</v>
      </c>
      <c r="P59" s="92"/>
      <c r="Q59" s="92"/>
      <c r="R59" s="92">
        <f t="shared" ca="1" si="70"/>
        <v>112.88180610889775</v>
      </c>
      <c r="S59" s="95">
        <f ca="1">IF($Y$3="Practice Locality",R59,IF($Y$3="Practice Cluster",#REF!,(VLOOKUP((LEFT($Y$3,6)),INDIRECT(D59),7,FALSE))))</f>
        <v>112.88180610889775</v>
      </c>
      <c r="T59" s="81">
        <f t="shared" ca="1" si="71"/>
        <v>37.650602409638552</v>
      </c>
      <c r="U59" s="82">
        <f t="shared" ca="1" si="72"/>
        <v>159.37605968124788</v>
      </c>
      <c r="V59" s="96"/>
      <c r="W59" s="81">
        <f t="shared" ca="1" si="73"/>
        <v>37.650602409638552</v>
      </c>
      <c r="X59" s="81">
        <f t="shared" ca="1" si="74"/>
        <v>187.79151047564727</v>
      </c>
      <c r="Y59" s="81">
        <f t="shared" ca="1" si="75"/>
        <v>187.79151047564727</v>
      </c>
      <c r="Z59" s="81">
        <f t="shared" ca="1" si="76"/>
        <v>37.650602409638552</v>
      </c>
      <c r="AA59" s="97">
        <f t="shared" ca="1" si="77"/>
        <v>0.18925855158613186</v>
      </c>
      <c r="AB59" s="87">
        <f t="shared" ca="1" si="78"/>
        <v>0.42095182495069189</v>
      </c>
      <c r="AC59" s="87">
        <v>0.5</v>
      </c>
      <c r="AD59" s="87">
        <f t="shared" ca="1" si="79"/>
        <v>0.5880410878735487</v>
      </c>
      <c r="AE59" s="87">
        <f t="shared" ca="1" si="80"/>
        <v>1</v>
      </c>
      <c r="AF59" s="87"/>
      <c r="AG59" s="87"/>
      <c r="AH59" s="87">
        <f t="shared" ca="1" si="81"/>
        <v>-999</v>
      </c>
      <c r="AI59" s="87">
        <f t="shared" ca="1" si="82"/>
        <v>0.5880410878735487</v>
      </c>
      <c r="AJ59" s="87">
        <f t="shared" ca="1" si="83"/>
        <v>-999</v>
      </c>
      <c r="AK59" s="87">
        <f t="shared" ca="1" si="84"/>
        <v>-999</v>
      </c>
      <c r="AL59" s="87">
        <f t="shared" ca="1" si="85"/>
        <v>-999</v>
      </c>
      <c r="AM59" s="87">
        <f t="shared" ca="1" si="86"/>
        <v>-999</v>
      </c>
      <c r="AN59" s="87">
        <f t="shared" ca="1" si="87"/>
        <v>0.49892934132125966</v>
      </c>
      <c r="AO59" s="158">
        <f t="shared" si="29"/>
        <v>21.768999999999995</v>
      </c>
    </row>
    <row r="60" spans="1:41" s="21" customFormat="1" ht="10.199999999999999" x14ac:dyDescent="0.2">
      <c r="A60" s="440"/>
      <c r="B60" s="88">
        <v>50</v>
      </c>
      <c r="C60" s="242" t="s">
        <v>346</v>
      </c>
      <c r="D60" s="90" t="s">
        <v>351</v>
      </c>
      <c r="E60" s="112">
        <f t="shared" ca="1" si="59"/>
        <v>2</v>
      </c>
      <c r="F60" s="91">
        <f t="shared" ca="1" si="60"/>
        <v>51</v>
      </c>
      <c r="G60" s="92">
        <f t="shared" ca="1" si="61"/>
        <v>180.33946251768035</v>
      </c>
      <c r="H60" s="92">
        <f t="shared" ca="1" si="62"/>
        <v>134.26457250234242</v>
      </c>
      <c r="I60" s="92">
        <f t="shared" ca="1" si="63"/>
        <v>237.11798181468086</v>
      </c>
      <c r="J60" s="93">
        <f t="shared" ca="1" si="64"/>
        <v>5</v>
      </c>
      <c r="K60" s="94">
        <f t="shared" ca="1" si="65"/>
        <v>76.412628192238088</v>
      </c>
      <c r="L60" s="92">
        <f t="shared" ca="1" si="66"/>
        <v>158.9041095890411</v>
      </c>
      <c r="M60" s="92">
        <f t="shared" ca="1" si="67"/>
        <v>159.68281681943839</v>
      </c>
      <c r="N60" s="92">
        <f t="shared" ca="1" si="68"/>
        <v>221.00819468587039</v>
      </c>
      <c r="O60" s="92">
        <f t="shared" ca="1" si="69"/>
        <v>273.66863905325442</v>
      </c>
      <c r="P60" s="92"/>
      <c r="Q60" s="92"/>
      <c r="R60" s="92">
        <f t="shared" ca="1" si="70"/>
        <v>209.51756303745807</v>
      </c>
      <c r="S60" s="95">
        <f ca="1">IF($Y$3="Practice Locality",R60,IF($Y$3="Practice Cluster",#REF!,(VLOOKUP((LEFT($Y$3,6)),INDIRECT(D60),7,FALSE))))</f>
        <v>209.51756303745807</v>
      </c>
      <c r="T60" s="81">
        <f t="shared" ca="1" si="71"/>
        <v>76.412628192238088</v>
      </c>
      <c r="U60" s="82">
        <f t="shared" ca="1" si="72"/>
        <v>273.66863905325442</v>
      </c>
      <c r="V60" s="96"/>
      <c r="W60" s="81">
        <f t="shared" ca="1" si="73"/>
        <v>45.696994585622349</v>
      </c>
      <c r="X60" s="81">
        <f t="shared" ca="1" si="74"/>
        <v>273.66863905325442</v>
      </c>
      <c r="Y60" s="81">
        <f t="shared" ca="1" si="75"/>
        <v>273.66863905325442</v>
      </c>
      <c r="Z60" s="81">
        <f t="shared" ca="1" si="76"/>
        <v>45.696994585622349</v>
      </c>
      <c r="AA60" s="97">
        <f t="shared" ca="1" si="77"/>
        <v>0</v>
      </c>
      <c r="AB60" s="87">
        <f t="shared" ca="1" si="78"/>
        <v>0.23099558934339695</v>
      </c>
      <c r="AC60" s="87">
        <v>0.5</v>
      </c>
      <c r="AD60" s="87">
        <f t="shared" ca="1" si="79"/>
        <v>0.50341580740102898</v>
      </c>
      <c r="AE60" s="87">
        <f t="shared" ca="1" si="80"/>
        <v>0.86526555230873547</v>
      </c>
      <c r="AF60" s="87"/>
      <c r="AG60" s="87"/>
      <c r="AH60" s="87">
        <f t="shared" ca="1" si="81"/>
        <v>-999</v>
      </c>
      <c r="AI60" s="87">
        <f t="shared" ca="1" si="82"/>
        <v>0.4093894078516645</v>
      </c>
      <c r="AJ60" s="87">
        <f t="shared" ca="1" si="83"/>
        <v>-999</v>
      </c>
      <c r="AK60" s="87">
        <f t="shared" ca="1" si="84"/>
        <v>-999</v>
      </c>
      <c r="AL60" s="87">
        <f t="shared" ca="1" si="85"/>
        <v>-999</v>
      </c>
      <c r="AM60" s="87">
        <f t="shared" ca="1" si="86"/>
        <v>-999</v>
      </c>
      <c r="AN60" s="87">
        <f t="shared" ca="1" si="87"/>
        <v>0.28139936510790342</v>
      </c>
      <c r="AO60" s="158">
        <f t="shared" si="29"/>
        <v>22.208499999999994</v>
      </c>
    </row>
    <row r="61" spans="1:41" s="21" customFormat="1" ht="10.199999999999999" x14ac:dyDescent="0.2">
      <c r="A61" s="440"/>
      <c r="B61" s="88">
        <v>51</v>
      </c>
      <c r="C61" s="242" t="s">
        <v>347</v>
      </c>
      <c r="D61" s="90" t="s">
        <v>352</v>
      </c>
      <c r="E61" s="112">
        <f t="shared" ca="1" si="59"/>
        <v>2</v>
      </c>
      <c r="F61" s="91">
        <f t="shared" ca="1" si="60"/>
        <v>31</v>
      </c>
      <c r="G61" s="92">
        <f t="shared" ca="1" si="61"/>
        <v>82.424886998138803</v>
      </c>
      <c r="H61" s="92">
        <f t="shared" ca="1" si="62"/>
        <v>55.9934630599044</v>
      </c>
      <c r="I61" s="92">
        <f t="shared" ca="1" si="63"/>
        <v>116.99954210309883</v>
      </c>
      <c r="J61" s="93">
        <f t="shared" ca="1" si="64"/>
        <v>5</v>
      </c>
      <c r="K61" s="94">
        <f t="shared" ca="1" si="65"/>
        <v>31.835205992509362</v>
      </c>
      <c r="L61" s="92">
        <f t="shared" ca="1" si="66"/>
        <v>50.314465408805027</v>
      </c>
      <c r="M61" s="92">
        <f t="shared" ca="1" si="67"/>
        <v>62.50391717803646</v>
      </c>
      <c r="N61" s="92">
        <f t="shared" ca="1" si="68"/>
        <v>79.884965649464775</v>
      </c>
      <c r="O61" s="92">
        <f t="shared" ca="1" si="69"/>
        <v>107.42926312604024</v>
      </c>
      <c r="P61" s="92"/>
      <c r="Q61" s="92"/>
      <c r="R61" s="92">
        <f t="shared" ca="1" si="70"/>
        <v>66.364559344278533</v>
      </c>
      <c r="S61" s="95">
        <f ca="1">IF($Y$3="Practice Locality",R61,IF($Y$3="Practice Cluster",#REF!,(VLOOKUP((LEFT($Y$3,6)),INDIRECT(D61),7,FALSE))))</f>
        <v>66.364559344278533</v>
      </c>
      <c r="T61" s="81">
        <f t="shared" ca="1" si="71"/>
        <v>31.835205992509362</v>
      </c>
      <c r="U61" s="82">
        <f t="shared" ca="1" si="72"/>
        <v>107.42926312604024</v>
      </c>
      <c r="V61" s="96"/>
      <c r="W61" s="81">
        <f t="shared" ca="1" si="73"/>
        <v>17.578571230032679</v>
      </c>
      <c r="X61" s="81">
        <f t="shared" ca="1" si="74"/>
        <v>107.42926312604024</v>
      </c>
      <c r="Y61" s="81">
        <f t="shared" ca="1" si="75"/>
        <v>107.42926312604024</v>
      </c>
      <c r="Z61" s="81">
        <f t="shared" ca="1" si="76"/>
        <v>17.578571230032679</v>
      </c>
      <c r="AA61" s="97">
        <f t="shared" ca="1" si="77"/>
        <v>0</v>
      </c>
      <c r="AB61" s="87">
        <f t="shared" ca="1" si="78"/>
        <v>0.30655632021682155</v>
      </c>
      <c r="AC61" s="87">
        <v>0.5</v>
      </c>
      <c r="AD61" s="87">
        <f t="shared" ca="1" si="79"/>
        <v>0.63566341574018592</v>
      </c>
      <c r="AE61" s="87">
        <f t="shared" ca="1" si="80"/>
        <v>0.84132971642581023</v>
      </c>
      <c r="AF61" s="87"/>
      <c r="AG61" s="87"/>
      <c r="AH61" s="87">
        <f t="shared" ca="1" si="81"/>
        <v>-999</v>
      </c>
      <c r="AI61" s="87">
        <f t="shared" ca="1" si="82"/>
        <v>0.27828807547571577</v>
      </c>
      <c r="AJ61" s="87">
        <f t="shared" ca="1" si="83"/>
        <v>-999</v>
      </c>
      <c r="AK61" s="87">
        <f t="shared" ca="1" si="84"/>
        <v>-999</v>
      </c>
      <c r="AL61" s="87">
        <f t="shared" ca="1" si="85"/>
        <v>-999</v>
      </c>
      <c r="AM61" s="87">
        <f t="shared" ca="1" si="86"/>
        <v>-999</v>
      </c>
      <c r="AN61" s="87">
        <f t="shared" ca="1" si="87"/>
        <v>0.45703269407529606</v>
      </c>
      <c r="AO61" s="158">
        <f t="shared" si="29"/>
        <v>22.647999999999993</v>
      </c>
    </row>
    <row r="62" spans="1:41" s="21" customFormat="1" ht="10.199999999999999" x14ac:dyDescent="0.2">
      <c r="A62" s="440"/>
      <c r="B62" s="88">
        <v>52</v>
      </c>
      <c r="C62" s="242" t="s">
        <v>231</v>
      </c>
      <c r="D62" s="90" t="s">
        <v>354</v>
      </c>
      <c r="E62" s="112">
        <f t="shared" ca="1" si="59"/>
        <v>2</v>
      </c>
      <c r="F62" s="91" t="str">
        <f t="shared" ca="1" si="60"/>
        <v>N/A</v>
      </c>
      <c r="G62" s="92">
        <f t="shared" ca="1" si="61"/>
        <v>8.7076076993583875</v>
      </c>
      <c r="H62" s="92">
        <f t="shared" ca="1" si="62"/>
        <v>7.1761299266868237</v>
      </c>
      <c r="I62" s="92">
        <f t="shared" ca="1" si="63"/>
        <v>10.528849845406389</v>
      </c>
      <c r="J62" s="93">
        <f t="shared" ca="1" si="64"/>
        <v>5</v>
      </c>
      <c r="K62" s="94">
        <f t="shared" ca="1" si="65"/>
        <v>4.7904191616766472</v>
      </c>
      <c r="L62" s="92">
        <f t="shared" ca="1" si="66"/>
        <v>8.8424437299035379</v>
      </c>
      <c r="M62" s="92">
        <f t="shared" ca="1" si="67"/>
        <v>10.411872986654394</v>
      </c>
      <c r="N62" s="92">
        <f t="shared" ca="1" si="68"/>
        <v>11.326860841423949</v>
      </c>
      <c r="O62" s="92">
        <f t="shared" ca="1" si="69"/>
        <v>13.864306784660767</v>
      </c>
      <c r="P62" s="92"/>
      <c r="Q62" s="92"/>
      <c r="R62" s="92">
        <f t="shared" ca="1" si="70"/>
        <v>11.359159553512804</v>
      </c>
      <c r="S62" s="95">
        <f ca="1">IF($Y$3="Practice Locality",R62,IF($Y$3="Practice Cluster",#REF!,(VLOOKUP((LEFT($Y$3,6)),INDIRECT(D62),7,FALSE))))</f>
        <v>11.359159553512804</v>
      </c>
      <c r="T62" s="81">
        <f t="shared" ca="1" si="71"/>
        <v>4.7904191616766472</v>
      </c>
      <c r="U62" s="82">
        <f t="shared" ca="1" si="72"/>
        <v>13.864306784660767</v>
      </c>
      <c r="V62" s="96"/>
      <c r="W62" s="81">
        <f t="shared" ca="1" si="73"/>
        <v>4.7904191616766472</v>
      </c>
      <c r="X62" s="81">
        <f t="shared" ca="1" si="74"/>
        <v>16.033326811632143</v>
      </c>
      <c r="Y62" s="81">
        <f t="shared" ca="1" si="75"/>
        <v>16.033326811632143</v>
      </c>
      <c r="Z62" s="81">
        <f t="shared" ca="1" si="76"/>
        <v>4.7904191616766472</v>
      </c>
      <c r="AA62" s="97">
        <f t="shared" ca="1" si="77"/>
        <v>0.19292340509262848</v>
      </c>
      <c r="AB62" s="87">
        <f t="shared" ca="1" si="78"/>
        <v>0.41861643951392097</v>
      </c>
      <c r="AC62" s="87">
        <v>0.5</v>
      </c>
      <c r="AD62" s="87">
        <f t="shared" ca="1" si="79"/>
        <v>0.63959282648355387</v>
      </c>
      <c r="AE62" s="87">
        <f t="shared" ca="1" si="80"/>
        <v>1</v>
      </c>
      <c r="AF62" s="87"/>
      <c r="AG62" s="87"/>
      <c r="AH62" s="87">
        <f t="shared" ca="1" si="81"/>
        <v>-999</v>
      </c>
      <c r="AI62" s="87">
        <f t="shared" ca="1" si="82"/>
        <v>0.65158581217224121</v>
      </c>
      <c r="AJ62" s="87">
        <f t="shared" ca="1" si="83"/>
        <v>-999</v>
      </c>
      <c r="AK62" s="87">
        <f t="shared" ca="1" si="84"/>
        <v>-999</v>
      </c>
      <c r="AL62" s="87">
        <f t="shared" ca="1" si="85"/>
        <v>-999</v>
      </c>
      <c r="AM62" s="87">
        <f t="shared" ca="1" si="86"/>
        <v>-999</v>
      </c>
      <c r="AN62" s="87">
        <f t="shared" ca="1" si="87"/>
        <v>0.41574363177641527</v>
      </c>
      <c r="AO62" s="158">
        <f t="shared" si="29"/>
        <v>23.087499999999991</v>
      </c>
    </row>
    <row r="63" spans="1:41" s="21" customFormat="1" ht="10.199999999999999" x14ac:dyDescent="0.2">
      <c r="A63" s="440"/>
      <c r="B63" s="88">
        <v>53</v>
      </c>
      <c r="C63" s="242" t="s">
        <v>232</v>
      </c>
      <c r="D63" s="90" t="s">
        <v>357</v>
      </c>
      <c r="E63" s="112">
        <f t="shared" ca="1" si="59"/>
        <v>2</v>
      </c>
      <c r="F63" s="91" t="str">
        <f t="shared" ca="1" si="60"/>
        <v>N/A</v>
      </c>
      <c r="G63" s="92">
        <f t="shared" ca="1" si="61"/>
        <v>21.113689095127611</v>
      </c>
      <c r="H63" s="92">
        <f t="shared" ca="1" si="62"/>
        <v>18.520438806202343</v>
      </c>
      <c r="I63" s="92">
        <f t="shared" ca="1" si="63"/>
        <v>23.963257842108636</v>
      </c>
      <c r="J63" s="93">
        <f t="shared" ca="1" si="64"/>
        <v>5</v>
      </c>
      <c r="K63" s="94">
        <f t="shared" ca="1" si="65"/>
        <v>14.986376021798366</v>
      </c>
      <c r="L63" s="92">
        <f t="shared" ca="1" si="66"/>
        <v>21.113689095127611</v>
      </c>
      <c r="M63" s="92">
        <f t="shared" ca="1" si="67"/>
        <v>22.175305765870704</v>
      </c>
      <c r="N63" s="92">
        <f t="shared" ca="1" si="68"/>
        <v>23.246217331499313</v>
      </c>
      <c r="O63" s="92">
        <f t="shared" ca="1" si="69"/>
        <v>26.717557251908396</v>
      </c>
      <c r="P63" s="92"/>
      <c r="Q63" s="92"/>
      <c r="R63" s="92">
        <f t="shared" ca="1" si="70"/>
        <v>23.15251572327044</v>
      </c>
      <c r="S63" s="95">
        <f ca="1">IF($Y$3="Practice Locality",R63,IF($Y$3="Practice Cluster",#REF!,(VLOOKUP((LEFT($Y$3,6)),INDIRECT(D63),7,FALSE))))</f>
        <v>23.15251572327044</v>
      </c>
      <c r="T63" s="81">
        <f t="shared" ca="1" si="71"/>
        <v>14.986376021798366</v>
      </c>
      <c r="U63" s="82">
        <f t="shared" ca="1" si="72"/>
        <v>26.717557251908396</v>
      </c>
      <c r="V63" s="96"/>
      <c r="W63" s="81">
        <f t="shared" ca="1" si="73"/>
        <v>14.986376021798366</v>
      </c>
      <c r="X63" s="81">
        <f t="shared" ca="1" si="74"/>
        <v>29.364235509943043</v>
      </c>
      <c r="Y63" s="81">
        <f t="shared" ca="1" si="75"/>
        <v>29.364235509943043</v>
      </c>
      <c r="Z63" s="81">
        <f t="shared" ca="1" si="76"/>
        <v>14.986376021798366</v>
      </c>
      <c r="AA63" s="97">
        <f t="shared" ca="1" si="77"/>
        <v>0.18408013099703588</v>
      </c>
      <c r="AB63" s="87">
        <f t="shared" ca="1" si="78"/>
        <v>0.42551662043215593</v>
      </c>
      <c r="AC63" s="87">
        <v>0.5</v>
      </c>
      <c r="AD63" s="87">
        <f t="shared" ca="1" si="79"/>
        <v>0.57383690678146171</v>
      </c>
      <c r="AE63" s="87">
        <f t="shared" ca="1" si="80"/>
        <v>1</v>
      </c>
      <c r="AF63" s="87"/>
      <c r="AG63" s="87"/>
      <c r="AH63" s="87">
        <f t="shared" ca="1" si="81"/>
        <v>-999</v>
      </c>
      <c r="AI63" s="87">
        <f t="shared" ca="1" si="82"/>
        <v>0.57383690678146171</v>
      </c>
      <c r="AJ63" s="87">
        <f t="shared" ca="1" si="83"/>
        <v>-999</v>
      </c>
      <c r="AK63" s="87">
        <f t="shared" ca="1" si="84"/>
        <v>-999</v>
      </c>
      <c r="AL63" s="87">
        <f t="shared" ca="1" si="85"/>
        <v>-999</v>
      </c>
      <c r="AM63" s="87">
        <f t="shared" ca="1" si="86"/>
        <v>-999</v>
      </c>
      <c r="AN63" s="87">
        <f t="shared" ca="1" si="87"/>
        <v>0.43203369679572273</v>
      </c>
      <c r="AO63" s="158">
        <f t="shared" si="29"/>
        <v>23.52699999999999</v>
      </c>
    </row>
    <row r="64" spans="1:41" s="21" customFormat="1" ht="10.199999999999999" x14ac:dyDescent="0.2">
      <c r="A64" s="440"/>
      <c r="B64" s="88">
        <v>54</v>
      </c>
      <c r="C64" s="242" t="s">
        <v>358</v>
      </c>
      <c r="D64" s="90" t="s">
        <v>360</v>
      </c>
      <c r="E64" s="112">
        <f t="shared" ca="1" si="59"/>
        <v>2</v>
      </c>
      <c r="F64" s="91" t="str">
        <f t="shared" ca="1" si="60"/>
        <v>N/A</v>
      </c>
      <c r="G64" s="92">
        <f t="shared" ca="1" si="61"/>
        <v>33.337778370449392</v>
      </c>
      <c r="H64" s="92">
        <f t="shared" ca="1" si="62"/>
        <v>21.568563704036816</v>
      </c>
      <c r="I64" s="92">
        <f t="shared" ca="1" si="63"/>
        <v>49.215162944639765</v>
      </c>
      <c r="J64" s="93">
        <f t="shared" ca="1" si="64"/>
        <v>2</v>
      </c>
      <c r="K64" s="94">
        <f t="shared" ca="1" si="65"/>
        <v>30.807147258163891</v>
      </c>
      <c r="L64" s="92">
        <f t="shared" ca="1" si="66"/>
        <v>58.866813833701251</v>
      </c>
      <c r="M64" s="92">
        <f t="shared" ca="1" si="67"/>
        <v>90.485055952595431</v>
      </c>
      <c r="N64" s="92">
        <f t="shared" ca="1" si="68"/>
        <v>99.900099900099903</v>
      </c>
      <c r="O64" s="92">
        <f t="shared" ca="1" si="69"/>
        <v>131.40943055913422</v>
      </c>
      <c r="P64" s="92"/>
      <c r="Q64" s="92"/>
      <c r="R64" s="92">
        <f t="shared" ca="1" si="70"/>
        <v>85.59366144236887</v>
      </c>
      <c r="S64" s="95">
        <f ca="1">IF($Y$3="Practice Locality",R64,IF($Y$3="Practice Cluster",#REF!,(VLOOKUP((LEFT($Y$3,6)),INDIRECT(D64),7,FALSE))))</f>
        <v>85.59366144236887</v>
      </c>
      <c r="T64" s="81">
        <f t="shared" ca="1" si="71"/>
        <v>30.807147258163891</v>
      </c>
      <c r="U64" s="82">
        <f t="shared" ca="1" si="72"/>
        <v>131.40943055913422</v>
      </c>
      <c r="V64" s="96"/>
      <c r="W64" s="81">
        <f t="shared" ca="1" si="73"/>
        <v>30.807147258163891</v>
      </c>
      <c r="X64" s="81">
        <f t="shared" ca="1" si="74"/>
        <v>150.16296464702697</v>
      </c>
      <c r="Y64" s="81">
        <f t="shared" ca="1" si="75"/>
        <v>150.16296464702697</v>
      </c>
      <c r="Z64" s="81">
        <f t="shared" ca="1" si="76"/>
        <v>30.807147258163891</v>
      </c>
      <c r="AA64" s="97">
        <f t="shared" ca="1" si="77"/>
        <v>0.15712291615241045</v>
      </c>
      <c r="AB64" s="87">
        <f t="shared" ca="1" si="78"/>
        <v>0.42111784617225556</v>
      </c>
      <c r="AC64" s="87">
        <v>0.5</v>
      </c>
      <c r="AD64" s="87">
        <f t="shared" ca="1" si="79"/>
        <v>0.76490742395807532</v>
      </c>
      <c r="AE64" s="87">
        <f t="shared" ca="1" si="80"/>
        <v>1</v>
      </c>
      <c r="AF64" s="87"/>
      <c r="AG64" s="87"/>
      <c r="AH64" s="87">
        <f t="shared" ca="1" si="81"/>
        <v>-999</v>
      </c>
      <c r="AI64" s="87">
        <f t="shared" ca="1" si="82"/>
        <v>-999</v>
      </c>
      <c r="AJ64" s="87">
        <f t="shared" ca="1" si="83"/>
        <v>-999</v>
      </c>
      <c r="AK64" s="87">
        <f t="shared" ca="1" si="84"/>
        <v>0.97879758885953028</v>
      </c>
      <c r="AL64" s="87">
        <f t="shared" ca="1" si="85"/>
        <v>-999</v>
      </c>
      <c r="AM64" s="87">
        <f t="shared" ca="1" si="86"/>
        <v>-999</v>
      </c>
      <c r="AN64" s="87">
        <f t="shared" ca="1" si="87"/>
        <v>0.54098161796580324</v>
      </c>
      <c r="AO64" s="158">
        <f t="shared" si="29"/>
        <v>23.966499999999989</v>
      </c>
    </row>
    <row r="65" spans="1:41" s="21" customFormat="1" ht="10.199999999999999" x14ac:dyDescent="0.2">
      <c r="A65" s="440"/>
      <c r="B65" s="88">
        <v>55</v>
      </c>
      <c r="C65" s="242" t="s">
        <v>233</v>
      </c>
      <c r="D65" s="90" t="s">
        <v>362</v>
      </c>
      <c r="E65" s="112">
        <f t="shared" ca="1" si="59"/>
        <v>2</v>
      </c>
      <c r="F65" s="91" t="str">
        <f t="shared" ca="1" si="60"/>
        <v>N/A</v>
      </c>
      <c r="G65" s="92">
        <f t="shared" ca="1" si="61"/>
        <v>11.76470588235294</v>
      </c>
      <c r="H65" s="92">
        <f t="shared" ca="1" si="62"/>
        <v>10.953581372268212</v>
      </c>
      <c r="I65" s="92">
        <f t="shared" ca="1" si="63"/>
        <v>12.627377468772888</v>
      </c>
      <c r="J65" s="93">
        <f t="shared" ca="1" si="64"/>
        <v>2</v>
      </c>
      <c r="K65" s="94">
        <f t="shared" ca="1" si="65"/>
        <v>8.0246913580246915</v>
      </c>
      <c r="L65" s="92">
        <f t="shared" ca="1" si="66"/>
        <v>16.849199663016005</v>
      </c>
      <c r="M65" s="92">
        <f t="shared" ca="1" si="67"/>
        <v>20.11754068716094</v>
      </c>
      <c r="N65" s="92">
        <f t="shared" ca="1" si="68"/>
        <v>20.279520821448944</v>
      </c>
      <c r="O65" s="92">
        <f t="shared" ca="1" si="69"/>
        <v>25.525525525525527</v>
      </c>
      <c r="P65" s="92"/>
      <c r="Q65" s="92"/>
      <c r="R65" s="92">
        <f t="shared" ca="1" si="70"/>
        <v>19.593521752937441</v>
      </c>
      <c r="S65" s="95">
        <f ca="1">IF($Y$3="Practice Locality",R65,IF($Y$3="Practice Cluster",#REF!,(VLOOKUP((LEFT($Y$3,6)),INDIRECT(D65),7,FALSE))))</f>
        <v>19.593521752937441</v>
      </c>
      <c r="T65" s="81">
        <f t="shared" ca="1" si="71"/>
        <v>8.0246913580246915</v>
      </c>
      <c r="U65" s="82">
        <f t="shared" ca="1" si="72"/>
        <v>25.525525525525527</v>
      </c>
      <c r="V65" s="96"/>
      <c r="W65" s="81">
        <f t="shared" ca="1" si="73"/>
        <v>8.0246913580246915</v>
      </c>
      <c r="X65" s="81">
        <f t="shared" ca="1" si="74"/>
        <v>32.21039001629719</v>
      </c>
      <c r="Y65" s="81">
        <f t="shared" ca="1" si="75"/>
        <v>32.21039001629719</v>
      </c>
      <c r="Z65" s="81">
        <f t="shared" ca="1" si="76"/>
        <v>8.0246913580246915</v>
      </c>
      <c r="AA65" s="97">
        <f t="shared" ca="1" si="77"/>
        <v>0.2763974109338026</v>
      </c>
      <c r="AB65" s="87">
        <f t="shared" ca="1" si="78"/>
        <v>0.49330264812372493</v>
      </c>
      <c r="AC65" s="87">
        <v>0.5</v>
      </c>
      <c r="AD65" s="87">
        <f t="shared" ca="1" si="79"/>
        <v>0.63513527437533945</v>
      </c>
      <c r="AE65" s="87">
        <f t="shared" ca="1" si="80"/>
        <v>1</v>
      </c>
      <c r="AF65" s="87"/>
      <c r="AG65" s="87"/>
      <c r="AH65" s="87">
        <f t="shared" ca="1" si="81"/>
        <v>-999</v>
      </c>
      <c r="AI65" s="87">
        <f t="shared" ca="1" si="82"/>
        <v>-999</v>
      </c>
      <c r="AJ65" s="87">
        <f t="shared" ca="1" si="83"/>
        <v>-999</v>
      </c>
      <c r="AK65" s="87">
        <f t="shared" ca="1" si="84"/>
        <v>0.84536256003301302</v>
      </c>
      <c r="AL65" s="87">
        <f t="shared" ca="1" si="85"/>
        <v>-999</v>
      </c>
      <c r="AM65" s="87">
        <f t="shared" ca="1" si="86"/>
        <v>-999</v>
      </c>
      <c r="AN65" s="87">
        <f t="shared" ca="1" si="87"/>
        <v>0.52166647908863539</v>
      </c>
      <c r="AO65" s="158">
        <f t="shared" si="29"/>
        <v>24.405999999999988</v>
      </c>
    </row>
    <row r="66" spans="1:41" s="21" customFormat="1" ht="10.199999999999999" x14ac:dyDescent="0.2">
      <c r="A66" s="440"/>
      <c r="B66" s="88">
        <v>56</v>
      </c>
      <c r="C66" s="89" t="s">
        <v>234</v>
      </c>
      <c r="D66" s="90" t="s">
        <v>376</v>
      </c>
      <c r="E66" s="112">
        <f t="shared" ca="1" si="59"/>
        <v>1</v>
      </c>
      <c r="F66" s="91">
        <f t="shared" ca="1" si="60"/>
        <v>900</v>
      </c>
      <c r="G66" s="92">
        <f t="shared" ca="1" si="61"/>
        <v>77.054794520547944</v>
      </c>
      <c r="H66" s="92">
        <f t="shared" ca="1" si="62"/>
        <v>74.557009911518307</v>
      </c>
      <c r="I66" s="92">
        <f t="shared" ca="1" si="63"/>
        <v>79.375200392427232</v>
      </c>
      <c r="J66" s="93">
        <f t="shared" ca="1" si="64"/>
        <v>2</v>
      </c>
      <c r="K66" s="94">
        <f t="shared" ca="1" si="65"/>
        <v>51.162790697674417</v>
      </c>
      <c r="L66" s="92">
        <f t="shared" ca="1" si="66"/>
        <v>70.486111111111114</v>
      </c>
      <c r="M66" s="92">
        <f t="shared" ca="1" si="67"/>
        <v>73.192206309954074</v>
      </c>
      <c r="N66" s="92">
        <f t="shared" ca="1" si="68"/>
        <v>76.8664047151277</v>
      </c>
      <c r="O66" s="92">
        <f t="shared" ca="1" si="69"/>
        <v>89.495798319327733</v>
      </c>
      <c r="P66" s="92"/>
      <c r="Q66" s="92"/>
      <c r="R66" s="92">
        <f t="shared" ca="1" si="70"/>
        <v>72.321563873314147</v>
      </c>
      <c r="S66" s="95">
        <f ca="1">IF($Y$3="Practice Locality",R66,IF($Y$3="Practice Cluster",#REF!,(VLOOKUP((LEFT($Y$3,6)),INDIRECT(D66),7,FALSE))))</f>
        <v>72.321563873314147</v>
      </c>
      <c r="T66" s="81">
        <f t="shared" ca="1" si="71"/>
        <v>89.495798319327733</v>
      </c>
      <c r="U66" s="82">
        <f t="shared" ca="1" si="72"/>
        <v>51.162790697674417</v>
      </c>
      <c r="V66" s="96"/>
      <c r="W66" s="81">
        <f t="shared" ca="1" si="73"/>
        <v>51.162790697674417</v>
      </c>
      <c r="X66" s="81">
        <f t="shared" ca="1" si="74"/>
        <v>95.221621922233737</v>
      </c>
      <c r="Y66" s="81">
        <f t="shared" ca="1" si="75"/>
        <v>51.162790697674417</v>
      </c>
      <c r="Z66" s="81">
        <f t="shared" ca="1" si="76"/>
        <v>95.221621922233737</v>
      </c>
      <c r="AA66" s="97">
        <f t="shared" ca="1" si="77"/>
        <v>0</v>
      </c>
      <c r="AB66" s="87">
        <f t="shared" ca="1" si="78"/>
        <v>0.43857995948529543</v>
      </c>
      <c r="AC66" s="87">
        <v>0.5</v>
      </c>
      <c r="AD66" s="87">
        <f t="shared" ca="1" si="79"/>
        <v>0.58339300664711113</v>
      </c>
      <c r="AE66" s="87">
        <f t="shared" ca="1" si="80"/>
        <v>0.87004140954800657</v>
      </c>
      <c r="AF66" s="87"/>
      <c r="AG66" s="87"/>
      <c r="AH66" s="87">
        <f t="shared" ca="1" si="81"/>
        <v>-999</v>
      </c>
      <c r="AI66" s="87">
        <f t="shared" ca="1" si="82"/>
        <v>-999</v>
      </c>
      <c r="AJ66" s="87">
        <f t="shared" ca="1" si="83"/>
        <v>-999</v>
      </c>
      <c r="AK66" s="87">
        <f t="shared" ca="1" si="84"/>
        <v>0.58766887598327344</v>
      </c>
      <c r="AL66" s="87">
        <f t="shared" ca="1" si="85"/>
        <v>-999</v>
      </c>
      <c r="AM66" s="87">
        <f t="shared" ca="1" si="86"/>
        <v>-999</v>
      </c>
      <c r="AN66" s="87">
        <f t="shared" ca="1" si="87"/>
        <v>0.48023909367449097</v>
      </c>
      <c r="AO66" s="158">
        <f t="shared" si="29"/>
        <v>24.845499999999987</v>
      </c>
    </row>
    <row r="67" spans="1:41" s="21" customFormat="1" ht="10.199999999999999" x14ac:dyDescent="0.2">
      <c r="A67" s="440"/>
      <c r="B67" s="88">
        <v>57</v>
      </c>
      <c r="C67" s="89" t="s">
        <v>410</v>
      </c>
      <c r="D67" s="90" t="s">
        <v>365</v>
      </c>
      <c r="E67" s="112">
        <f t="shared" ca="1" si="59"/>
        <v>2</v>
      </c>
      <c r="F67" s="91">
        <f t="shared" ca="1" si="60"/>
        <v>114</v>
      </c>
      <c r="G67" s="92">
        <f t="shared" ca="1" si="61"/>
        <v>3294.3653065071812</v>
      </c>
      <c r="H67" s="92">
        <f t="shared" ca="1" si="62"/>
        <v>2706.4218243567429</v>
      </c>
      <c r="I67" s="92">
        <f t="shared" ca="1" si="63"/>
        <v>3970.1835696280232</v>
      </c>
      <c r="J67" s="93">
        <f t="shared" ca="1" si="64"/>
        <v>5</v>
      </c>
      <c r="K67" s="94">
        <f t="shared" ca="1" si="65"/>
        <v>1833.2618332618331</v>
      </c>
      <c r="L67" s="92">
        <f t="shared" ca="1" si="66"/>
        <v>2943.3170365455744</v>
      </c>
      <c r="M67" s="92">
        <f t="shared" ca="1" si="67"/>
        <v>3071.5794179164795</v>
      </c>
      <c r="N67" s="92">
        <f t="shared" ca="1" si="68"/>
        <v>3249.9845448201913</v>
      </c>
      <c r="O67" s="92">
        <f t="shared" ca="1" si="69"/>
        <v>5339.3510967946149</v>
      </c>
      <c r="P67" s="92"/>
      <c r="Q67" s="92"/>
      <c r="R67" s="92">
        <f t="shared" ca="1" si="70"/>
        <v>3183.7797495473205</v>
      </c>
      <c r="S67" s="95">
        <f ca="1">IF($Y$3="Practice Locality",R67,IF($Y$3="Practice Cluster",#REF!,(VLOOKUP((LEFT($Y$3,6)),INDIRECT(D67),7,FALSE))))</f>
        <v>3183.7797495473205</v>
      </c>
      <c r="T67" s="81">
        <f t="shared" ca="1" si="71"/>
        <v>1833.2618332618331</v>
      </c>
      <c r="U67" s="82">
        <f t="shared" ca="1" si="72"/>
        <v>5339.3510967946149</v>
      </c>
      <c r="V67" s="96"/>
      <c r="W67" s="81">
        <f t="shared" ca="1" si="73"/>
        <v>803.80773903834415</v>
      </c>
      <c r="X67" s="81">
        <f t="shared" ca="1" si="74"/>
        <v>5339.3510967946149</v>
      </c>
      <c r="Y67" s="81">
        <f t="shared" ca="1" si="75"/>
        <v>5339.3510967946149</v>
      </c>
      <c r="Z67" s="81">
        <f t="shared" ca="1" si="76"/>
        <v>803.80773903834415</v>
      </c>
      <c r="AA67" s="97">
        <f t="shared" ca="1" si="77"/>
        <v>0</v>
      </c>
      <c r="AB67" s="87">
        <f t="shared" ca="1" si="78"/>
        <v>0.46066510386266735</v>
      </c>
      <c r="AC67" s="87">
        <v>0.5</v>
      </c>
      <c r="AD67" s="87">
        <f t="shared" ca="1" si="79"/>
        <v>0.52827938600819735</v>
      </c>
      <c r="AE67" s="87">
        <f t="shared" ca="1" si="80"/>
        <v>0.77302518948187082</v>
      </c>
      <c r="AF67" s="87"/>
      <c r="AG67" s="87"/>
      <c r="AH67" s="87">
        <f t="shared" ca="1" si="81"/>
        <v>-999</v>
      </c>
      <c r="AI67" s="87">
        <f t="shared" ca="1" si="82"/>
        <v>0.45088000025185215</v>
      </c>
      <c r="AJ67" s="87">
        <f t="shared" ca="1" si="83"/>
        <v>-999</v>
      </c>
      <c r="AK67" s="87">
        <f t="shared" ca="1" si="84"/>
        <v>-999</v>
      </c>
      <c r="AL67" s="87">
        <f t="shared" ca="1" si="85"/>
        <v>-999</v>
      </c>
      <c r="AM67" s="87">
        <f t="shared" ca="1" si="86"/>
        <v>-999</v>
      </c>
      <c r="AN67" s="87">
        <f t="shared" ca="1" si="87"/>
        <v>0.47526198676086601</v>
      </c>
      <c r="AO67" s="158">
        <f t="shared" si="29"/>
        <v>25.284999999999986</v>
      </c>
    </row>
    <row r="68" spans="1:41" s="21" customFormat="1" ht="10.199999999999999" x14ac:dyDescent="0.2">
      <c r="A68" s="440"/>
      <c r="B68" s="88">
        <v>58</v>
      </c>
      <c r="C68" s="89" t="s">
        <v>411</v>
      </c>
      <c r="D68" s="90" t="s">
        <v>366</v>
      </c>
      <c r="E68" s="112">
        <f t="shared" ca="1" si="59"/>
        <v>2</v>
      </c>
      <c r="F68" s="91">
        <f t="shared" ca="1" si="60"/>
        <v>18</v>
      </c>
      <c r="G68" s="92">
        <f t="shared" ca="1" si="61"/>
        <v>509.43669940025154</v>
      </c>
      <c r="H68" s="92">
        <f t="shared" ca="1" si="62"/>
        <v>297.16213272007667</v>
      </c>
      <c r="I68" s="92">
        <f t="shared" ca="1" si="63"/>
        <v>811.73397927289739</v>
      </c>
      <c r="J68" s="93">
        <f t="shared" ca="1" si="64"/>
        <v>5</v>
      </c>
      <c r="K68" s="94">
        <f t="shared" ca="1" si="65"/>
        <v>328.32159121953197</v>
      </c>
      <c r="L68" s="92">
        <f t="shared" ca="1" si="66"/>
        <v>573.60950105341669</v>
      </c>
      <c r="M68" s="92">
        <f t="shared" ca="1" si="67"/>
        <v>612.57115474457419</v>
      </c>
      <c r="N68" s="92">
        <f t="shared" ca="1" si="68"/>
        <v>728.96252116359653</v>
      </c>
      <c r="O68" s="92">
        <f t="shared" ca="1" si="69"/>
        <v>1737.0940750698362</v>
      </c>
      <c r="P68" s="92"/>
      <c r="Q68" s="92"/>
      <c r="R68" s="92">
        <f t="shared" ca="1" si="70"/>
        <v>622.40654899707647</v>
      </c>
      <c r="S68" s="95">
        <f ca="1">IF($Y$3="Practice Locality",R68,IF($Y$3="Practice Cluster",#REF!,(VLOOKUP((LEFT($Y$3,6)),INDIRECT(D68),7,FALSE))))</f>
        <v>622.40654899707647</v>
      </c>
      <c r="T68" s="81">
        <f t="shared" ca="1" si="71"/>
        <v>328.32159121953197</v>
      </c>
      <c r="U68" s="82">
        <f t="shared" ca="1" si="72"/>
        <v>1737.0940750698362</v>
      </c>
      <c r="V68" s="96"/>
      <c r="W68" s="81">
        <f t="shared" ca="1" si="73"/>
        <v>-511.95176558068783</v>
      </c>
      <c r="X68" s="81">
        <f t="shared" ca="1" si="74"/>
        <v>1737.0940750698362</v>
      </c>
      <c r="Y68" s="81">
        <f t="shared" ca="1" si="75"/>
        <v>1737.0940750698362</v>
      </c>
      <c r="Z68" s="81">
        <f t="shared" ca="1" si="76"/>
        <v>-511.95176558068783</v>
      </c>
      <c r="AA68" s="97">
        <f t="shared" ca="1" si="77"/>
        <v>0</v>
      </c>
      <c r="AB68" s="87">
        <f t="shared" ca="1" si="78"/>
        <v>0.44824855753702342</v>
      </c>
      <c r="AC68" s="87">
        <v>0.5</v>
      </c>
      <c r="AD68" s="87">
        <f t="shared" ca="1" si="79"/>
        <v>0.51732363697837669</v>
      </c>
      <c r="AE68" s="87">
        <f t="shared" ca="1" si="80"/>
        <v>0.62638673627160246</v>
      </c>
      <c r="AF68" s="87"/>
      <c r="AG68" s="87"/>
      <c r="AH68" s="87">
        <f t="shared" ca="1" si="81"/>
        <v>-999</v>
      </c>
      <c r="AI68" s="87">
        <f t="shared" ca="1" si="82"/>
        <v>0.54585698231677293</v>
      </c>
      <c r="AJ68" s="87">
        <f t="shared" ca="1" si="83"/>
        <v>-999</v>
      </c>
      <c r="AK68" s="87">
        <f t="shared" ca="1" si="84"/>
        <v>-999</v>
      </c>
      <c r="AL68" s="87">
        <f t="shared" ca="1" si="85"/>
        <v>-999</v>
      </c>
      <c r="AM68" s="87">
        <f t="shared" ca="1" si="86"/>
        <v>-999</v>
      </c>
      <c r="AN68" s="87">
        <f t="shared" ca="1" si="87"/>
        <v>0.49562685914411714</v>
      </c>
      <c r="AO68" s="158">
        <f t="shared" si="29"/>
        <v>25.724499999999985</v>
      </c>
    </row>
    <row r="69" spans="1:41" s="21" customFormat="1" ht="10.199999999999999" x14ac:dyDescent="0.2">
      <c r="A69" s="440"/>
      <c r="B69" s="88">
        <v>59</v>
      </c>
      <c r="C69" s="89" t="s">
        <v>401</v>
      </c>
      <c r="D69" s="90" t="s">
        <v>389</v>
      </c>
      <c r="E69" s="112">
        <f t="shared" ca="1" si="59"/>
        <v>1</v>
      </c>
      <c r="F69" s="91" t="str">
        <f t="shared" ca="1" si="60"/>
        <v>N/A</v>
      </c>
      <c r="G69" s="92">
        <f t="shared" ca="1" si="61"/>
        <v>48.632218844984806</v>
      </c>
      <c r="H69" s="92">
        <f t="shared" ca="1" si="62"/>
        <v>43.023727390841785</v>
      </c>
      <c r="I69" s="92">
        <f t="shared" ca="1" si="63"/>
        <v>54.768676766571701</v>
      </c>
      <c r="J69" s="93">
        <f t="shared" ca="1" si="64"/>
        <v>4</v>
      </c>
      <c r="K69" s="94">
        <f t="shared" ca="1" si="65"/>
        <v>20.595690747782001</v>
      </c>
      <c r="L69" s="92">
        <f t="shared" ca="1" si="66"/>
        <v>31.950909860347014</v>
      </c>
      <c r="M69" s="92">
        <f t="shared" ca="1" si="67"/>
        <v>38.165990869651516</v>
      </c>
      <c r="N69" s="92">
        <f t="shared" ca="1" si="68"/>
        <v>42.548134062277157</v>
      </c>
      <c r="O69" s="92">
        <f t="shared" ca="1" si="69"/>
        <v>94.962362478286039</v>
      </c>
      <c r="P69" s="92"/>
      <c r="Q69" s="92"/>
      <c r="R69" s="92">
        <f t="shared" ca="1" si="70"/>
        <v>40.160642570281126</v>
      </c>
      <c r="S69" s="95">
        <f ca="1">IF($Y$3="Practice Locality",R69,IF($Y$3="Practice Cluster",#REF!,(VLOOKUP((LEFT($Y$3,6)),INDIRECT(D69),7,FALSE))))</f>
        <v>40.160642570281126</v>
      </c>
      <c r="T69" s="81">
        <f t="shared" ca="1" si="71"/>
        <v>94.962362478286039</v>
      </c>
      <c r="U69" s="82">
        <f t="shared" ca="1" si="72"/>
        <v>20.595690747782001</v>
      </c>
      <c r="V69" s="96"/>
      <c r="W69" s="81">
        <f t="shared" ca="1" si="73"/>
        <v>-18.630380738983007</v>
      </c>
      <c r="X69" s="81">
        <f t="shared" ca="1" si="74"/>
        <v>94.962362478286039</v>
      </c>
      <c r="Y69" s="81">
        <f t="shared" ca="1" si="75"/>
        <v>-18.630380738983007</v>
      </c>
      <c r="Z69" s="81">
        <f t="shared" ca="1" si="76"/>
        <v>94.962362478286039</v>
      </c>
      <c r="AA69" s="97">
        <f t="shared" ca="1" si="77"/>
        <v>0.34532198427268573</v>
      </c>
      <c r="AB69" s="87">
        <f t="shared" ca="1" si="78"/>
        <v>0.44528628472844511</v>
      </c>
      <c r="AC69" s="87">
        <v>0.5</v>
      </c>
      <c r="AD69" s="87">
        <f t="shared" ca="1" si="79"/>
        <v>0.5385776685069037</v>
      </c>
      <c r="AE69" s="87">
        <f t="shared" ca="1" si="80"/>
        <v>1</v>
      </c>
      <c r="AF69" s="87"/>
      <c r="AG69" s="87"/>
      <c r="AH69" s="87">
        <f t="shared" ca="1" si="81"/>
        <v>-999</v>
      </c>
      <c r="AI69" s="87">
        <f t="shared" ca="1" si="82"/>
        <v>-999</v>
      </c>
      <c r="AJ69" s="87">
        <f t="shared" ca="1" si="83"/>
        <v>-999</v>
      </c>
      <c r="AK69" s="87">
        <f t="shared" ca="1" si="84"/>
        <v>-999</v>
      </c>
      <c r="AL69" s="87">
        <f t="shared" ca="1" si="85"/>
        <v>-999</v>
      </c>
      <c r="AM69" s="87">
        <f t="shared" ca="1" si="86"/>
        <v>0.59213817431378091</v>
      </c>
      <c r="AN69" s="87">
        <f t="shared" ca="1" si="87"/>
        <v>0.51755967541706815</v>
      </c>
      <c r="AO69" s="158">
        <f t="shared" si="29"/>
        <v>26.163999999999984</v>
      </c>
    </row>
    <row r="70" spans="1:41" s="21" customFormat="1" ht="10.199999999999999" x14ac:dyDescent="0.2">
      <c r="A70" s="440"/>
      <c r="B70" s="88">
        <v>60</v>
      </c>
      <c r="C70" s="89" t="s">
        <v>485</v>
      </c>
      <c r="D70" s="90" t="s">
        <v>378</v>
      </c>
      <c r="E70" s="112">
        <f t="shared" ca="1" si="59"/>
        <v>2</v>
      </c>
      <c r="F70" s="91" t="str">
        <f t="shared" ca="1" si="60"/>
        <v>N/A</v>
      </c>
      <c r="G70" s="92">
        <f t="shared" ca="1" si="61"/>
        <v>15.463917525773196</v>
      </c>
      <c r="H70" s="92">
        <f t="shared" ca="1" si="62"/>
        <v>-16.868187119814838</v>
      </c>
      <c r="I70" s="92">
        <f t="shared" ca="1" si="63"/>
        <v>60.437110519585005</v>
      </c>
      <c r="J70" s="93">
        <f t="shared" ca="1" si="64"/>
        <v>5</v>
      </c>
      <c r="K70" s="94">
        <f t="shared" ca="1" si="65"/>
        <v>-26.530612244897959</v>
      </c>
      <c r="L70" s="92">
        <f t="shared" ca="1" si="66"/>
        <v>7.8838174273858916</v>
      </c>
      <c r="M70" s="92">
        <f t="shared" ca="1" si="67"/>
        <v>21.994134897360702</v>
      </c>
      <c r="N70" s="92">
        <f t="shared" ca="1" si="68"/>
        <v>31.111111111111111</v>
      </c>
      <c r="O70" s="92">
        <f t="shared" ca="1" si="69"/>
        <v>54.117647058823529</v>
      </c>
      <c r="P70" s="92"/>
      <c r="Q70" s="92"/>
      <c r="R70" s="92">
        <f t="shared" ca="1" si="70"/>
        <v>20.437956204379564</v>
      </c>
      <c r="S70" s="95">
        <f ca="1">IF($Y$3="Practice Locality",R70,IF($Y$3="Practice Cluster",#REF!,(VLOOKUP((LEFT($Y$3,6)),INDIRECT(D70),7,FALSE))))</f>
        <v>20.437956204379564</v>
      </c>
      <c r="T70" s="81">
        <f t="shared" ca="1" si="71"/>
        <v>-26.530612244897959</v>
      </c>
      <c r="U70" s="82">
        <f t="shared" ca="1" si="72"/>
        <v>54.117647058823529</v>
      </c>
      <c r="V70" s="96"/>
      <c r="W70" s="81">
        <f t="shared" ca="1" si="73"/>
        <v>-26.530612244897959</v>
      </c>
      <c r="X70" s="81">
        <f t="shared" ca="1" si="74"/>
        <v>70.518882039619371</v>
      </c>
      <c r="Y70" s="81">
        <f t="shared" ca="1" si="75"/>
        <v>70.518882039619371</v>
      </c>
      <c r="Z70" s="81">
        <f t="shared" ca="1" si="76"/>
        <v>-26.530612244897959</v>
      </c>
      <c r="AA70" s="97">
        <f t="shared" ca="1" si="77"/>
        <v>0.16899866508024033</v>
      </c>
      <c r="AB70" s="87">
        <f t="shared" ca="1" si="78"/>
        <v>0.40605848818724993</v>
      </c>
      <c r="AC70" s="87">
        <v>0.5</v>
      </c>
      <c r="AD70" s="87">
        <f t="shared" ca="1" si="79"/>
        <v>0.64539300358029672</v>
      </c>
      <c r="AE70" s="87">
        <f t="shared" ca="1" si="80"/>
        <v>1</v>
      </c>
      <c r="AF70" s="87"/>
      <c r="AG70" s="87"/>
      <c r="AH70" s="87">
        <f t="shared" ca="1" si="81"/>
        <v>-999</v>
      </c>
      <c r="AI70" s="87">
        <f t="shared" ca="1" si="82"/>
        <v>0.56728749510474574</v>
      </c>
      <c r="AJ70" s="87">
        <f t="shared" ca="1" si="83"/>
        <v>-999</v>
      </c>
      <c r="AK70" s="87">
        <f t="shared" ca="1" si="84"/>
        <v>-999</v>
      </c>
      <c r="AL70" s="87">
        <f t="shared" ca="1" si="85"/>
        <v>-999</v>
      </c>
      <c r="AM70" s="87">
        <f t="shared" ca="1" si="86"/>
        <v>-999</v>
      </c>
      <c r="AN70" s="87">
        <f t="shared" ca="1" si="87"/>
        <v>0.51603489749693021</v>
      </c>
      <c r="AO70" s="158">
        <f t="shared" si="29"/>
        <v>26.603499999999983</v>
      </c>
    </row>
    <row r="71" spans="1:41" s="21" customFormat="1" ht="10.199999999999999" x14ac:dyDescent="0.2">
      <c r="A71" s="440"/>
      <c r="B71" s="88">
        <v>61</v>
      </c>
      <c r="C71" s="89" t="s">
        <v>383</v>
      </c>
      <c r="D71" s="90" t="s">
        <v>384</v>
      </c>
      <c r="E71" s="112">
        <f t="shared" ca="1" si="59"/>
        <v>1</v>
      </c>
      <c r="F71" s="91">
        <f t="shared" ca="1" si="60"/>
        <v>34</v>
      </c>
      <c r="G71" s="92">
        <f t="shared" ca="1" si="61"/>
        <v>22.516556291390728</v>
      </c>
      <c r="H71" s="92">
        <f t="shared" ca="1" si="62"/>
        <v>16.58415443311959</v>
      </c>
      <c r="I71" s="92">
        <f t="shared" ca="1" si="63"/>
        <v>29.812630619058382</v>
      </c>
      <c r="J71" s="93">
        <f t="shared" ca="1" si="64"/>
        <v>5</v>
      </c>
      <c r="K71" s="94">
        <f t="shared" ca="1" si="65"/>
        <v>6.1224489795918364</v>
      </c>
      <c r="L71" s="92">
        <f t="shared" ca="1" si="66"/>
        <v>19.347319347319345</v>
      </c>
      <c r="M71" s="92">
        <f t="shared" ca="1" si="67"/>
        <v>25.308531568592382</v>
      </c>
      <c r="N71" s="92">
        <f t="shared" ca="1" si="68"/>
        <v>30.375426621160408</v>
      </c>
      <c r="O71" s="92">
        <f t="shared" ca="1" si="69"/>
        <v>37.878787878787875</v>
      </c>
      <c r="P71" s="92"/>
      <c r="Q71" s="92"/>
      <c r="R71" s="92">
        <f t="shared" ca="1" si="70"/>
        <v>28.237909949972209</v>
      </c>
      <c r="S71" s="95">
        <f ca="1">IF($Y$3="Practice Locality",R71,IF($Y$3="Practice Cluster",#REF!,(VLOOKUP((LEFT($Y$3,6)),INDIRECT(D71),7,FALSE))))</f>
        <v>28.237909949972209</v>
      </c>
      <c r="T71" s="81">
        <f t="shared" ca="1" si="71"/>
        <v>37.878787878787875</v>
      </c>
      <c r="U71" s="82">
        <f t="shared" ca="1" si="72"/>
        <v>6.1224489795918364</v>
      </c>
      <c r="V71" s="96"/>
      <c r="W71" s="81">
        <f t="shared" ca="1" si="73"/>
        <v>6.1224489795918364</v>
      </c>
      <c r="X71" s="81">
        <f t="shared" ca="1" si="74"/>
        <v>44.494614157592927</v>
      </c>
      <c r="Y71" s="81">
        <f t="shared" ca="1" si="75"/>
        <v>6.1224489795918364</v>
      </c>
      <c r="Z71" s="81">
        <f t="shared" ca="1" si="76"/>
        <v>44.494614157592927</v>
      </c>
      <c r="AA71" s="97">
        <f t="shared" ca="1" si="77"/>
        <v>0</v>
      </c>
      <c r="AB71" s="87">
        <f t="shared" ca="1" si="78"/>
        <v>0.34464748878203455</v>
      </c>
      <c r="AC71" s="87">
        <v>0.5</v>
      </c>
      <c r="AD71" s="87">
        <f t="shared" ca="1" si="79"/>
        <v>0.6320461076163848</v>
      </c>
      <c r="AE71" s="87">
        <f t="shared" ca="1" si="80"/>
        <v>0.82758788178578124</v>
      </c>
      <c r="AF71" s="87"/>
      <c r="AG71" s="87"/>
      <c r="AH71" s="87">
        <f t="shared" ca="1" si="81"/>
        <v>-999</v>
      </c>
      <c r="AI71" s="87">
        <f t="shared" ca="1" si="82"/>
        <v>0.42723956898834825</v>
      </c>
      <c r="AJ71" s="87">
        <f t="shared" ca="1" si="83"/>
        <v>-999</v>
      </c>
      <c r="AK71" s="87">
        <f t="shared" ca="1" si="84"/>
        <v>-999</v>
      </c>
      <c r="AL71" s="87">
        <f t="shared" ca="1" si="85"/>
        <v>-999</v>
      </c>
      <c r="AM71" s="87">
        <f t="shared" ca="1" si="86"/>
        <v>-999</v>
      </c>
      <c r="AN71" s="87">
        <f t="shared" ca="1" si="87"/>
        <v>0.57634123244781743</v>
      </c>
      <c r="AO71" s="158">
        <f t="shared" si="29"/>
        <v>27.042999999999981</v>
      </c>
    </row>
    <row r="72" spans="1:41" s="21" customFormat="1" ht="10.199999999999999" x14ac:dyDescent="0.2">
      <c r="A72" s="440"/>
      <c r="B72" s="88">
        <v>62</v>
      </c>
      <c r="C72" s="215" t="s">
        <v>235</v>
      </c>
      <c r="D72" s="90" t="s">
        <v>369</v>
      </c>
      <c r="E72" s="112">
        <f t="shared" ca="1" si="59"/>
        <v>2</v>
      </c>
      <c r="F72" s="91" t="str">
        <f t="shared" ca="1" si="60"/>
        <v>N/A</v>
      </c>
      <c r="G72" s="92">
        <f t="shared" ca="1" si="61"/>
        <v>1.9610040340654415</v>
      </c>
      <c r="H72" s="92">
        <f t="shared" ca="1" si="62"/>
        <v>1.8222490104399167</v>
      </c>
      <c r="I72" s="92">
        <f t="shared" ca="1" si="63"/>
        <v>2.1100974691376102</v>
      </c>
      <c r="J72" s="93">
        <f t="shared" ca="1" si="64"/>
        <v>2</v>
      </c>
      <c r="K72" s="94">
        <f t="shared" ca="1" si="65"/>
        <v>1.5315170078994036</v>
      </c>
      <c r="L72" s="92">
        <f t="shared" ca="1" si="66"/>
        <v>1.9610040340654415</v>
      </c>
      <c r="M72" s="92">
        <f t="shared" ca="1" si="67"/>
        <v>2.9116025921911395</v>
      </c>
      <c r="N72" s="92">
        <f t="shared" ca="1" si="68"/>
        <v>3.3333333333333335</v>
      </c>
      <c r="O72" s="92">
        <f t="shared" ca="1" si="69"/>
        <v>4.3053960964408731</v>
      </c>
      <c r="P72" s="92"/>
      <c r="Q72" s="92"/>
      <c r="R72" s="92">
        <f t="shared" ca="1" si="70"/>
        <v>3.0599755201958385</v>
      </c>
      <c r="S72" s="95">
        <f ca="1">IF($Y$3="Practice Locality",R72,IF($Y$3="Practice Cluster",#REF!,(VLOOKUP((LEFT($Y$3,6)),INDIRECT(D72),7,FALSE))))</f>
        <v>3.0599755201958385</v>
      </c>
      <c r="T72" s="81">
        <f t="shared" ca="1" si="71"/>
        <v>1.5315170078994036</v>
      </c>
      <c r="U72" s="82">
        <f t="shared" ca="1" si="72"/>
        <v>4.3053960964408731</v>
      </c>
      <c r="V72" s="96"/>
      <c r="W72" s="81">
        <f t="shared" ca="1" si="73"/>
        <v>1.5178090879414059</v>
      </c>
      <c r="X72" s="81">
        <f t="shared" ca="1" si="74"/>
        <v>4.3053960964408731</v>
      </c>
      <c r="Y72" s="81">
        <f t="shared" ca="1" si="75"/>
        <v>4.3053960964408731</v>
      </c>
      <c r="Z72" s="81">
        <f t="shared" ca="1" si="76"/>
        <v>1.5178090879414059</v>
      </c>
      <c r="AA72" s="97">
        <f t="shared" ca="1" si="77"/>
        <v>0</v>
      </c>
      <c r="AB72" s="87">
        <f t="shared" ca="1" si="78"/>
        <v>0.34871118287740627</v>
      </c>
      <c r="AC72" s="87">
        <v>0.5</v>
      </c>
      <c r="AD72" s="87">
        <f t="shared" ca="1" si="79"/>
        <v>0.84101125999916193</v>
      </c>
      <c r="AE72" s="87">
        <f t="shared" ca="1" si="80"/>
        <v>0.99508251404666404</v>
      </c>
      <c r="AF72" s="87"/>
      <c r="AG72" s="87"/>
      <c r="AH72" s="87">
        <f t="shared" ca="1" si="81"/>
        <v>-999</v>
      </c>
      <c r="AI72" s="87">
        <f t="shared" ca="1" si="82"/>
        <v>-999</v>
      </c>
      <c r="AJ72" s="87">
        <f t="shared" ca="1" si="83"/>
        <v>-999</v>
      </c>
      <c r="AK72" s="87">
        <f t="shared" ca="1" si="84"/>
        <v>0.84101125999916193</v>
      </c>
      <c r="AL72" s="87">
        <f t="shared" ca="1" si="85"/>
        <v>-999</v>
      </c>
      <c r="AM72" s="87">
        <f t="shared" ca="1" si="86"/>
        <v>-999</v>
      </c>
      <c r="AN72" s="87">
        <f t="shared" ca="1" si="87"/>
        <v>0.44677370516066267</v>
      </c>
      <c r="AO72" s="158">
        <f t="shared" si="29"/>
        <v>27.48249999999998</v>
      </c>
    </row>
    <row r="73" spans="1:41" s="21" customFormat="1" ht="10.199999999999999" x14ac:dyDescent="0.2">
      <c r="A73" s="440"/>
      <c r="B73" s="88">
        <v>63</v>
      </c>
      <c r="C73" s="215" t="s">
        <v>236</v>
      </c>
      <c r="D73" s="90" t="s">
        <v>371</v>
      </c>
      <c r="E73" s="112">
        <f t="shared" ca="1" si="59"/>
        <v>2</v>
      </c>
      <c r="F73" s="91" t="str">
        <f t="shared" ca="1" si="60"/>
        <v>N/A</v>
      </c>
      <c r="G73" s="92">
        <f t="shared" ca="1" si="61"/>
        <v>12.560673066551614</v>
      </c>
      <c r="H73" s="92">
        <f t="shared" ca="1" si="62"/>
        <v>12.091401966423689</v>
      </c>
      <c r="I73" s="92">
        <f t="shared" ca="1" si="63"/>
        <v>13.045454019172203</v>
      </c>
      <c r="J73" s="93">
        <f t="shared" ca="1" si="64"/>
        <v>1</v>
      </c>
      <c r="K73" s="94">
        <f t="shared" ca="1" si="65"/>
        <v>8.4733382030679323</v>
      </c>
      <c r="L73" s="92">
        <f t="shared" ca="1" si="66"/>
        <v>9.3337450783602254</v>
      </c>
      <c r="M73" s="92">
        <f t="shared" ca="1" si="67"/>
        <v>11.470826773531797</v>
      </c>
      <c r="N73" s="92">
        <f t="shared" ca="1" si="68"/>
        <v>14.799281006590773</v>
      </c>
      <c r="O73" s="92">
        <f t="shared" ca="1" si="69"/>
        <v>18.022741629816803</v>
      </c>
      <c r="P73" s="92"/>
      <c r="Q73" s="92"/>
      <c r="R73" s="92">
        <f t="shared" ca="1" si="70"/>
        <v>9.9991164256472196</v>
      </c>
      <c r="S73" s="95">
        <f ca="1">IF($Y$3="Practice Locality",R73,IF($Y$3="Practice Cluster",#REF!,(VLOOKUP((LEFT($Y$3,6)),INDIRECT(D73),7,FALSE))))</f>
        <v>9.9991164256472196</v>
      </c>
      <c r="T73" s="81">
        <f t="shared" ca="1" si="71"/>
        <v>8.4733382030679323</v>
      </c>
      <c r="U73" s="82">
        <f t="shared" ca="1" si="72"/>
        <v>18.022741629816803</v>
      </c>
      <c r="V73" s="96"/>
      <c r="W73" s="81">
        <f t="shared" ca="1" si="73"/>
        <v>4.9189119172467919</v>
      </c>
      <c r="X73" s="81">
        <f t="shared" ca="1" si="74"/>
        <v>18.022741629816803</v>
      </c>
      <c r="Y73" s="81">
        <f t="shared" ca="1" si="75"/>
        <v>18.022741629816803</v>
      </c>
      <c r="Z73" s="81">
        <f t="shared" ca="1" si="76"/>
        <v>4.9189119172467919</v>
      </c>
      <c r="AA73" s="97">
        <f t="shared" ca="1" si="77"/>
        <v>0</v>
      </c>
      <c r="AB73" s="87">
        <f t="shared" ca="1" si="78"/>
        <v>0.2459937815075455</v>
      </c>
      <c r="AC73" s="87">
        <v>0.5</v>
      </c>
      <c r="AD73" s="87">
        <f t="shared" ca="1" si="79"/>
        <v>0.66308832929365302</v>
      </c>
      <c r="AE73" s="87">
        <f t="shared" ca="1" si="80"/>
        <v>0.72874904789005979</v>
      </c>
      <c r="AF73" s="87"/>
      <c r="AG73" s="87"/>
      <c r="AH73" s="87">
        <f t="shared" ca="1" si="81"/>
        <v>-999</v>
      </c>
      <c r="AI73" s="87">
        <f t="shared" ca="1" si="82"/>
        <v>-999</v>
      </c>
      <c r="AJ73" s="87">
        <f t="shared" ca="1" si="83"/>
        <v>0.41682994079399799</v>
      </c>
      <c r="AK73" s="87">
        <f t="shared" ca="1" si="84"/>
        <v>-999</v>
      </c>
      <c r="AL73" s="87">
        <f t="shared" ca="1" si="85"/>
        <v>-999</v>
      </c>
      <c r="AM73" s="87">
        <f t="shared" ca="1" si="86"/>
        <v>-999</v>
      </c>
      <c r="AN73" s="87">
        <f t="shared" ca="1" si="87"/>
        <v>0.61231146772861533</v>
      </c>
      <c r="AO73" s="158">
        <f t="shared" si="29"/>
        <v>27.921999999999979</v>
      </c>
    </row>
    <row r="74" spans="1:41" s="21" customFormat="1" ht="10.199999999999999" x14ac:dyDescent="0.2">
      <c r="A74" s="440"/>
      <c r="B74" s="88">
        <v>64</v>
      </c>
      <c r="C74" s="215" t="s">
        <v>237</v>
      </c>
      <c r="D74" s="90" t="s">
        <v>386</v>
      </c>
      <c r="E74" s="112">
        <f t="shared" ca="1" si="59"/>
        <v>1</v>
      </c>
      <c r="F74" s="91" t="str">
        <f t="shared" ca="1" si="60"/>
        <v>N/A</v>
      </c>
      <c r="G74" s="92">
        <f t="shared" ca="1" si="61"/>
        <v>4.0080390467987366</v>
      </c>
      <c r="H74" s="92">
        <f t="shared" ca="1" si="62"/>
        <v>3.7267178243153913</v>
      </c>
      <c r="I74" s="92">
        <f t="shared" ca="1" si="63"/>
        <v>4.3096459150872137</v>
      </c>
      <c r="J74" s="93">
        <f t="shared" ca="1" si="64"/>
        <v>3</v>
      </c>
      <c r="K74" s="94">
        <f t="shared" ca="1" si="65"/>
        <v>2.5883379380543845</v>
      </c>
      <c r="L74" s="92">
        <f t="shared" ca="1" si="66"/>
        <v>4.6030607364897174</v>
      </c>
      <c r="M74" s="92">
        <f t="shared" ca="1" si="67"/>
        <v>7.0409347202149535</v>
      </c>
      <c r="N74" s="92">
        <f t="shared" ca="1" si="68"/>
        <v>8.2477059179075773</v>
      </c>
      <c r="O74" s="92">
        <f t="shared" ca="1" si="69"/>
        <v>11.318805185046028</v>
      </c>
      <c r="P74" s="92"/>
      <c r="Q74" s="92"/>
      <c r="R74" s="92">
        <f t="shared" ca="1" si="70"/>
        <v>8.0026371970362931</v>
      </c>
      <c r="S74" s="95">
        <f ca="1">IF($Y$3="Practice Locality",R74,IF($Y$3="Practice Cluster",#REF!,(VLOOKUP((LEFT($Y$3,6)),INDIRECT(D74),7,FALSE))))</f>
        <v>8.0026371970362931</v>
      </c>
      <c r="T74" s="81">
        <f t="shared" ca="1" si="71"/>
        <v>11.318805185046028</v>
      </c>
      <c r="U74" s="82">
        <f t="shared" ca="1" si="72"/>
        <v>2.5883379380543845</v>
      </c>
      <c r="V74" s="96"/>
      <c r="W74" s="81">
        <f t="shared" ca="1" si="73"/>
        <v>2.5883379380543845</v>
      </c>
      <c r="X74" s="81">
        <f t="shared" ca="1" si="74"/>
        <v>11.493531502375522</v>
      </c>
      <c r="Y74" s="81">
        <f t="shared" ca="1" si="75"/>
        <v>2.5883379380543845</v>
      </c>
      <c r="Z74" s="81">
        <f t="shared" ca="1" si="76"/>
        <v>11.493531502375522</v>
      </c>
      <c r="AA74" s="97">
        <f t="shared" ca="1" si="77"/>
        <v>0</v>
      </c>
      <c r="AB74" s="87">
        <f t="shared" ca="1" si="78"/>
        <v>0.22624132579300307</v>
      </c>
      <c r="AC74" s="87">
        <v>0.5</v>
      </c>
      <c r="AD74" s="87">
        <f t="shared" ca="1" si="79"/>
        <v>0.63551319114809368</v>
      </c>
      <c r="AE74" s="87">
        <f t="shared" ca="1" si="80"/>
        <v>0.98037927911757705</v>
      </c>
      <c r="AF74" s="87"/>
      <c r="AG74" s="87"/>
      <c r="AH74" s="87">
        <f t="shared" ca="1" si="81"/>
        <v>-999</v>
      </c>
      <c r="AI74" s="87">
        <f t="shared" ca="1" si="82"/>
        <v>-999</v>
      </c>
      <c r="AJ74" s="87">
        <f t="shared" ca="1" si="83"/>
        <v>-999</v>
      </c>
      <c r="AK74" s="87">
        <f t="shared" ca="1" si="84"/>
        <v>-999</v>
      </c>
      <c r="AL74" s="87">
        <f t="shared" ca="1" si="85"/>
        <v>0.15942394721574801</v>
      </c>
      <c r="AM74" s="87">
        <f t="shared" ca="1" si="86"/>
        <v>-999</v>
      </c>
      <c r="AN74" s="87">
        <f t="shared" ca="1" si="87"/>
        <v>0.60799343887082058</v>
      </c>
      <c r="AO74" s="158">
        <f t="shared" si="29"/>
        <v>28.361499999999978</v>
      </c>
    </row>
    <row r="75" spans="1:41" s="21" customFormat="1" ht="10.199999999999999" x14ac:dyDescent="0.2">
      <c r="A75" s="441"/>
      <c r="B75" s="88">
        <v>65</v>
      </c>
      <c r="C75" s="243" t="s">
        <v>402</v>
      </c>
      <c r="D75" s="90" t="s">
        <v>381</v>
      </c>
      <c r="E75" s="112">
        <f t="shared" ca="1" si="59"/>
        <v>2</v>
      </c>
      <c r="F75" s="91" t="str">
        <f t="shared" ca="1" si="60"/>
        <v>N/A</v>
      </c>
      <c r="G75" s="92">
        <f t="shared" ca="1" si="61"/>
        <v>166.06117930308045</v>
      </c>
      <c r="H75" s="92">
        <f t="shared" ca="1" si="62"/>
        <v>162.37846489339049</v>
      </c>
      <c r="I75" s="92">
        <f t="shared" ca="1" si="63"/>
        <v>169.80635052043789</v>
      </c>
      <c r="J75" s="93">
        <f t="shared" ca="1" si="64"/>
        <v>1</v>
      </c>
      <c r="K75" s="94">
        <f t="shared" ca="1" si="65"/>
        <v>63.531815335947542</v>
      </c>
      <c r="L75" s="92">
        <f t="shared" ca="1" si="66"/>
        <v>94.572202239017088</v>
      </c>
      <c r="M75" s="92">
        <f t="shared" ca="1" si="67"/>
        <v>120.58020743975669</v>
      </c>
      <c r="N75" s="92">
        <f t="shared" ca="1" si="68"/>
        <v>129.90240213202722</v>
      </c>
      <c r="O75" s="92">
        <f t="shared" ca="1" si="69"/>
        <v>262.32869860958283</v>
      </c>
      <c r="P75" s="92"/>
      <c r="Q75" s="92"/>
      <c r="R75" s="92">
        <f t="shared" ca="1" si="70"/>
        <v>116.26629886466675</v>
      </c>
      <c r="S75" s="95">
        <f ca="1">IF($Y$3="Practice Locality",R75,IF($Y$3="Practice Cluster",#REF!,(VLOOKUP((LEFT($Y$3,6)),INDIRECT(D75),7,FALSE))))</f>
        <v>116.26629886466675</v>
      </c>
      <c r="T75" s="81">
        <f t="shared" ca="1" si="71"/>
        <v>63.531815335947542</v>
      </c>
      <c r="U75" s="82">
        <f t="shared" ca="1" si="72"/>
        <v>262.32869860958283</v>
      </c>
      <c r="V75" s="96"/>
      <c r="W75" s="81">
        <f t="shared" ca="1" si="73"/>
        <v>-21.168283730069447</v>
      </c>
      <c r="X75" s="81">
        <f t="shared" ca="1" si="74"/>
        <v>262.32869860958283</v>
      </c>
      <c r="Y75" s="81">
        <f t="shared" ca="1" si="75"/>
        <v>262.32869860958283</v>
      </c>
      <c r="Z75" s="81">
        <f t="shared" ca="1" si="76"/>
        <v>-21.168283730069447</v>
      </c>
      <c r="AA75" s="97">
        <f t="shared" ca="1" si="77"/>
        <v>0</v>
      </c>
      <c r="AB75" s="87">
        <f t="shared" ca="1" si="78"/>
        <v>0.46711712902431607</v>
      </c>
      <c r="AC75" s="87">
        <v>0.5</v>
      </c>
      <c r="AD75" s="87">
        <f t="shared" ca="1" si="79"/>
        <v>0.59173997192527406</v>
      </c>
      <c r="AE75" s="87">
        <f t="shared" ca="1" si="80"/>
        <v>0.7012310382741942</v>
      </c>
      <c r="AF75" s="87"/>
      <c r="AG75" s="87"/>
      <c r="AH75" s="87">
        <f t="shared" ca="1" si="81"/>
        <v>-999</v>
      </c>
      <c r="AI75" s="87">
        <f t="shared" ca="1" si="82"/>
        <v>-999</v>
      </c>
      <c r="AJ75" s="87">
        <f t="shared" ca="1" si="83"/>
        <v>0.33957158383846964</v>
      </c>
      <c r="AK75" s="87">
        <f t="shared" ca="1" si="84"/>
        <v>-999</v>
      </c>
      <c r="AL75" s="87">
        <f t="shared" ca="1" si="85"/>
        <v>-999</v>
      </c>
      <c r="AM75" s="87">
        <f t="shared" ca="1" si="86"/>
        <v>-999</v>
      </c>
      <c r="AN75" s="87">
        <f t="shared" ca="1" si="87"/>
        <v>0.51521677070241811</v>
      </c>
      <c r="AO75" s="158">
        <f t="shared" si="29"/>
        <v>28.800999999999977</v>
      </c>
    </row>
    <row r="76" spans="1:41" s="21" customFormat="1" ht="10.199999999999999" x14ac:dyDescent="0.2">
      <c r="B76" s="98"/>
      <c r="C76" s="98"/>
      <c r="D76" s="98"/>
      <c r="F76" s="98"/>
      <c r="G76" s="98"/>
      <c r="H76" s="98"/>
      <c r="I76" s="98"/>
      <c r="J76" s="98"/>
      <c r="K76" s="98"/>
      <c r="L76" s="98"/>
      <c r="M76" s="98"/>
      <c r="N76" s="98"/>
      <c r="R76" s="98"/>
      <c r="S76" s="98"/>
      <c r="Z76" s="26"/>
      <c r="AN76" s="63"/>
    </row>
    <row r="77" spans="1:41" s="21" customFormat="1" ht="10.199999999999999" x14ac:dyDescent="0.2">
      <c r="C77" s="99" t="s">
        <v>11</v>
      </c>
      <c r="D77" s="100"/>
      <c r="E77" s="101"/>
      <c r="G77" s="98"/>
      <c r="H77" s="98"/>
      <c r="I77" s="98"/>
      <c r="J77" s="142">
        <v>1</v>
      </c>
      <c r="K77" s="142" t="s">
        <v>142</v>
      </c>
      <c r="L77" s="142"/>
      <c r="M77" s="142"/>
      <c r="N77" s="142"/>
      <c r="R77" s="98"/>
      <c r="S77" s="98"/>
      <c r="X77" s="98"/>
      <c r="Y77" s="98"/>
      <c r="Z77" s="26"/>
      <c r="AA77" s="26"/>
      <c r="AB77" s="98"/>
      <c r="AC77" s="98"/>
      <c r="AD77" s="98"/>
      <c r="AE77" s="98"/>
      <c r="AF77" s="98"/>
      <c r="AG77" s="98"/>
      <c r="AH77" s="98"/>
    </row>
    <row r="78" spans="1:41" s="21" customFormat="1" ht="10.199999999999999" x14ac:dyDescent="0.2">
      <c r="B78" s="102"/>
      <c r="C78" s="103" t="s">
        <v>13</v>
      </c>
      <c r="D78" s="104"/>
      <c r="E78" s="105">
        <v>1</v>
      </c>
      <c r="J78" s="142">
        <v>2</v>
      </c>
      <c r="K78" s="142" t="s">
        <v>143</v>
      </c>
      <c r="L78" s="142"/>
      <c r="M78" s="142"/>
      <c r="N78" s="142"/>
      <c r="O78" s="63"/>
      <c r="P78" s="63"/>
      <c r="Q78" s="63"/>
      <c r="Z78" s="26"/>
      <c r="AA78" s="26"/>
    </row>
    <row r="79" spans="1:41" s="21" customFormat="1" ht="10.199999999999999" x14ac:dyDescent="0.2">
      <c r="C79" s="106" t="s">
        <v>12</v>
      </c>
      <c r="D79" s="107"/>
      <c r="E79" s="108">
        <v>2</v>
      </c>
      <c r="J79" s="142">
        <v>3</v>
      </c>
      <c r="K79" s="142" t="s">
        <v>144</v>
      </c>
      <c r="L79" s="142"/>
      <c r="M79" s="142"/>
      <c r="N79" s="142"/>
      <c r="S79" s="442" t="s">
        <v>199</v>
      </c>
      <c r="T79" s="442"/>
      <c r="U79" s="26"/>
      <c r="W79" s="26"/>
      <c r="X79" s="63"/>
      <c r="Y79" s="26"/>
      <c r="Z79" s="26"/>
      <c r="AA79" s="26"/>
      <c r="AB79" s="26"/>
      <c r="AC79" s="26"/>
      <c r="AD79" s="26"/>
      <c r="AE79" s="26"/>
      <c r="AF79" s="26"/>
      <c r="AG79" s="26"/>
    </row>
    <row r="80" spans="1:41" ht="12.75" customHeight="1" x14ac:dyDescent="0.25">
      <c r="C80" s="5"/>
      <c r="D80" s="5"/>
      <c r="J80" s="142">
        <v>4</v>
      </c>
      <c r="K80" s="142" t="s">
        <v>145</v>
      </c>
      <c r="L80" s="142"/>
      <c r="M80" s="142"/>
      <c r="N80" s="142"/>
      <c r="S80" s="442"/>
      <c r="T80" s="442"/>
      <c r="U80" s="2"/>
      <c r="W80" s="2"/>
      <c r="X80" s="3"/>
      <c r="Y80" s="2"/>
      <c r="Z80" s="2"/>
      <c r="AA80" s="2"/>
      <c r="AB80" s="2"/>
      <c r="AC80" s="2"/>
      <c r="AD80" s="2"/>
      <c r="AE80" s="2"/>
      <c r="AF80" s="2"/>
      <c r="AG80" s="2"/>
    </row>
    <row r="81" spans="1:41" x14ac:dyDescent="0.25">
      <c r="C81" s="5"/>
      <c r="D81" s="5"/>
      <c r="J81" s="142">
        <v>5</v>
      </c>
      <c r="K81" s="142" t="s">
        <v>146</v>
      </c>
      <c r="L81" s="142"/>
      <c r="M81" s="142"/>
      <c r="N81" s="142"/>
      <c r="S81" s="442"/>
      <c r="T81" s="442"/>
      <c r="U81" s="2"/>
      <c r="W81" s="2"/>
      <c r="X81" s="3"/>
      <c r="Y81" s="2"/>
      <c r="Z81" s="2"/>
      <c r="AA81" s="2"/>
      <c r="AB81" s="2"/>
      <c r="AC81" s="2"/>
      <c r="AD81" s="2"/>
      <c r="AE81" s="2"/>
      <c r="AF81" s="2"/>
      <c r="AG81" s="2"/>
    </row>
    <row r="82" spans="1:41" x14ac:dyDescent="0.25">
      <c r="C82" s="5"/>
      <c r="D82" s="5"/>
      <c r="J82" s="142">
        <v>6</v>
      </c>
      <c r="K82" s="142" t="s">
        <v>141</v>
      </c>
      <c r="L82" s="142"/>
      <c r="M82" s="142"/>
      <c r="N82" s="142"/>
      <c r="R82" s="181" t="s">
        <v>198</v>
      </c>
      <c r="S82" s="442"/>
      <c r="T82" s="442"/>
      <c r="U82" s="2"/>
      <c r="W82" s="2"/>
      <c r="X82" s="3"/>
      <c r="Y82" s="2"/>
      <c r="Z82" s="2"/>
      <c r="AA82" s="2"/>
      <c r="AB82" s="2"/>
      <c r="AC82" s="2"/>
      <c r="AD82" s="2"/>
      <c r="AE82" s="2"/>
      <c r="AF82" s="2"/>
      <c r="AG82" s="2"/>
    </row>
    <row r="83" spans="1:41" x14ac:dyDescent="0.25">
      <c r="C83" s="5"/>
      <c r="D83" s="5"/>
      <c r="S83" s="442"/>
      <c r="T83" s="442"/>
      <c r="U83" s="2"/>
      <c r="W83" s="2"/>
      <c r="X83" s="3"/>
      <c r="Y83" s="2"/>
      <c r="Z83" s="2"/>
      <c r="AA83" s="2"/>
      <c r="AB83" s="2"/>
      <c r="AC83" s="2"/>
      <c r="AD83" s="2"/>
      <c r="AE83" s="2"/>
      <c r="AF83" s="2"/>
      <c r="AG83" s="2"/>
    </row>
    <row r="84" spans="1:41" ht="17.399999999999999" x14ac:dyDescent="0.3">
      <c r="C84" s="32" t="s">
        <v>78</v>
      </c>
      <c r="D84" s="32"/>
      <c r="E84" s="34" t="str">
        <f>'Spine Chart (Locality)'!$B$6</f>
        <v>East Locality</v>
      </c>
      <c r="F84" s="33"/>
      <c r="G84" s="33"/>
      <c r="H84" s="33"/>
      <c r="I84" s="33"/>
      <c r="J84" s="33"/>
      <c r="K84" s="33"/>
      <c r="L84" s="33"/>
      <c r="S84" s="442"/>
      <c r="T84" s="442"/>
      <c r="U84" s="150" t="s">
        <v>122</v>
      </c>
      <c r="V84" s="124"/>
      <c r="W84" s="151"/>
      <c r="X84" s="152"/>
      <c r="Y84" s="153" t="str">
        <f>'Spine Chart (Locality)'!E6</f>
        <v>No Comparator</v>
      </c>
      <c r="Z84" s="2"/>
      <c r="AA84" s="2"/>
      <c r="AB84" s="2"/>
      <c r="AC84" s="2"/>
      <c r="AD84" s="2"/>
      <c r="AE84" s="2"/>
      <c r="AF84" s="2"/>
      <c r="AG84" s="2"/>
    </row>
    <row r="85" spans="1:41" x14ac:dyDescent="0.25">
      <c r="C85" s="5"/>
      <c r="D85" s="5"/>
      <c r="E85" s="185" t="s">
        <v>197</v>
      </c>
      <c r="P85" s="185" t="s">
        <v>197</v>
      </c>
      <c r="Q85" s="185" t="s">
        <v>197</v>
      </c>
      <c r="S85" s="185" t="s">
        <v>197</v>
      </c>
      <c r="T85" s="6"/>
      <c r="U85" s="2"/>
      <c r="W85" s="2"/>
      <c r="X85" s="3"/>
      <c r="Y85" s="2"/>
      <c r="Z85" s="2"/>
      <c r="AA85" s="2"/>
      <c r="AB85" s="2"/>
      <c r="AC85" s="2"/>
      <c r="AD85" s="2"/>
      <c r="AE85" s="2"/>
      <c r="AF85" s="186" t="s">
        <v>197</v>
      </c>
      <c r="AG85" s="186" t="s">
        <v>197</v>
      </c>
      <c r="AO85" s="185" t="s">
        <v>197</v>
      </c>
    </row>
    <row r="86" spans="1:41" s="21" customFormat="1" ht="95.25" customHeight="1" x14ac:dyDescent="0.2">
      <c r="A86" s="439" t="s">
        <v>81</v>
      </c>
      <c r="B86" s="70"/>
      <c r="C86" s="71" t="s">
        <v>0</v>
      </c>
      <c r="D86" s="72" t="s">
        <v>87</v>
      </c>
      <c r="E86" s="114" t="s">
        <v>10</v>
      </c>
      <c r="F86" s="115" t="s">
        <v>83</v>
      </c>
      <c r="G86" s="115" t="s">
        <v>84</v>
      </c>
      <c r="H86" s="115" t="s">
        <v>85</v>
      </c>
      <c r="I86" s="115" t="s">
        <v>86</v>
      </c>
      <c r="J86" s="116" t="s">
        <v>1</v>
      </c>
      <c r="K86" s="116" t="s">
        <v>93</v>
      </c>
      <c r="L86" s="115" t="s">
        <v>94</v>
      </c>
      <c r="M86" s="115" t="s">
        <v>92</v>
      </c>
      <c r="N86" s="115" t="s">
        <v>95</v>
      </c>
      <c r="O86" s="115" t="s">
        <v>96</v>
      </c>
      <c r="P86" s="179" t="s">
        <v>189</v>
      </c>
      <c r="Q86" s="179" t="s">
        <v>190</v>
      </c>
      <c r="R86" s="115" t="s">
        <v>23</v>
      </c>
      <c r="S86" s="119" t="s">
        <v>97</v>
      </c>
      <c r="T86" s="115" t="s">
        <v>5</v>
      </c>
      <c r="U86" s="117" t="s">
        <v>4</v>
      </c>
      <c r="V86" s="113" t="s">
        <v>14</v>
      </c>
      <c r="W86" s="115" t="s">
        <v>2</v>
      </c>
      <c r="X86" s="115" t="s">
        <v>3</v>
      </c>
      <c r="Y86" s="115" t="s">
        <v>6</v>
      </c>
      <c r="Z86" s="115" t="s">
        <v>7</v>
      </c>
      <c r="AA86" s="116" t="s">
        <v>4</v>
      </c>
      <c r="AB86" s="115" t="s">
        <v>8</v>
      </c>
      <c r="AC86" s="115" t="s">
        <v>92</v>
      </c>
      <c r="AD86" s="115" t="s">
        <v>9</v>
      </c>
      <c r="AE86" s="115" t="s">
        <v>5</v>
      </c>
      <c r="AF86" s="179" t="s">
        <v>189</v>
      </c>
      <c r="AG86" s="179" t="s">
        <v>190</v>
      </c>
      <c r="AH86" s="115" t="s">
        <v>147</v>
      </c>
      <c r="AI86" s="115" t="s">
        <v>148</v>
      </c>
      <c r="AJ86" s="115" t="s">
        <v>152</v>
      </c>
      <c r="AK86" s="115" t="s">
        <v>149</v>
      </c>
      <c r="AL86" s="115" t="s">
        <v>150</v>
      </c>
      <c r="AM86" s="115" t="s">
        <v>151</v>
      </c>
      <c r="AN86" s="117" t="s">
        <v>97</v>
      </c>
      <c r="AO86" s="118" t="s">
        <v>16</v>
      </c>
    </row>
    <row r="87" spans="1:41" s="21" customFormat="1" ht="10.199999999999999" x14ac:dyDescent="0.2">
      <c r="A87" s="440"/>
      <c r="B87" s="73"/>
      <c r="C87" s="74"/>
      <c r="D87" s="75"/>
      <c r="E87" s="73"/>
      <c r="F87" s="109"/>
      <c r="G87" s="77"/>
      <c r="H87" s="76"/>
      <c r="I87" s="76"/>
      <c r="J87" s="78"/>
      <c r="K87" s="79"/>
      <c r="L87" s="77"/>
      <c r="M87" s="77"/>
      <c r="N87" s="77"/>
      <c r="O87" s="77"/>
      <c r="P87" s="77"/>
      <c r="Q87" s="77"/>
      <c r="R87" s="77"/>
      <c r="S87" s="80"/>
      <c r="T87" s="81"/>
      <c r="U87" s="82"/>
      <c r="V87" s="83"/>
      <c r="W87" s="84"/>
      <c r="X87" s="84"/>
      <c r="Y87" s="84"/>
      <c r="Z87" s="84"/>
      <c r="AA87" s="85"/>
      <c r="AB87" s="86"/>
      <c r="AC87" s="86"/>
      <c r="AD87" s="86"/>
      <c r="AE87" s="86"/>
      <c r="AF87" s="87"/>
      <c r="AG87" s="87"/>
      <c r="AH87" s="87"/>
      <c r="AI87" s="86"/>
      <c r="AJ87" s="86"/>
      <c r="AK87" s="86"/>
      <c r="AL87" s="86"/>
      <c r="AM87" s="86"/>
      <c r="AN87" s="86"/>
      <c r="AO87" s="83"/>
    </row>
    <row r="88" spans="1:41" s="21" customFormat="1" ht="10.199999999999999" x14ac:dyDescent="0.2">
      <c r="A88" s="440"/>
      <c r="B88" s="88">
        <f t="shared" ref="B88:C105" si="146">B11</f>
        <v>1</v>
      </c>
      <c r="C88" s="89" t="str">
        <f t="shared" si="146"/>
        <v>% Registered patients aged 0-4 years</v>
      </c>
      <c r="D88" s="90" t="s">
        <v>140</v>
      </c>
      <c r="E88" s="88">
        <f t="shared" ref="E88:E114" ca="1" si="147">IF((INDIRECT(LEFT(D88,(LEN(D88)-10))&amp;"K2"))="Low = Worst",1,IF((INDIRECT(LEFT(D88,(LEN(D88)-10))&amp;"K2"))="High = Worst",2,""))</f>
        <v>1</v>
      </c>
      <c r="F88" s="110">
        <f t="shared" ref="F88:F99" ca="1" si="148">VLOOKUP($E$84,INDIRECT(D88),4,FALSE)</f>
        <v>6173</v>
      </c>
      <c r="G88" s="92">
        <f t="shared" ref="G88:G99" ca="1" si="149">VLOOKUP($E$84,INDIRECT(D88),5,FALSE)</f>
        <v>6.3209740013721207</v>
      </c>
      <c r="H88" s="92">
        <f t="shared" ref="H88:H99" ca="1" si="150">VLOOKUP($E$84,INDIRECT(D88),6,FALSE)</f>
        <v>6.1700676155683327</v>
      </c>
      <c r="I88" s="92">
        <f t="shared" ref="I88:I99" ca="1" si="151">VLOOKUP($E$84,INDIRECT(D88),7,FALSE)</f>
        <v>6.4753165186092252</v>
      </c>
      <c r="J88" s="93">
        <f t="shared" ref="J88:J99" ca="1" si="152">VLOOKUP($E$84,INDIRECT(D88),11,FALSE)</f>
        <v>4</v>
      </c>
      <c r="K88" s="94">
        <f t="shared" ref="K88:K99" ca="1" si="153">VLOOKUP($E$84,INDIRECT(D88),12,FALSE)</f>
        <v>1.3017689360138576</v>
      </c>
      <c r="L88" s="92">
        <f t="shared" ref="L88:L99" ca="1" si="154">VLOOKUP($E$84,INDIRECT(D88),13,FALSE)</f>
        <v>4.8160629036787421</v>
      </c>
      <c r="M88" s="92">
        <f t="shared" ref="M88:M99" ca="1" si="155">VLOOKUP($E$84,INDIRECT(D88),14,FALSE)</f>
        <v>5.476312119412877</v>
      </c>
      <c r="N88" s="92">
        <f t="shared" ref="N88:N99" ca="1" si="156">VLOOKUP($E$84,INDIRECT(D88),17,FALSE)</f>
        <v>6.1674292711219953</v>
      </c>
      <c r="O88" s="92">
        <f t="shared" ref="O88:O99" ca="1" si="157">VLOOKUP($E$84,INDIRECT(D88),18,FALSE)</f>
        <v>7.8571935552558738</v>
      </c>
      <c r="P88" s="92">
        <f t="shared" ref="P88:P99" ca="1" si="158">VLOOKUP($E$84,INDIRECT(D88),8,FALSE)</f>
        <v>4.5397710878137927</v>
      </c>
      <c r="Q88" s="92">
        <f t="shared" ref="Q88:Q99" ca="1" si="159">VLOOKUP($E$84,INDIRECT(D88),9,FALSE)</f>
        <v>7.8571935552558738</v>
      </c>
      <c r="R88" s="92" t="s">
        <v>79</v>
      </c>
      <c r="S88" s="95" t="str">
        <f ca="1">IF(OR(LEFT($Y$84,1)="J",LEFT($Y$84,1)="Y"),(VLOOKUP((LEFT($Y$84,6)),INDIRECT(D11),7,FALSE)),IF(RIGHT($Y$84,8)="Locality",(VLOOKUP($Y$84,INDIRECT(D88),5,FALSE)),IF(LEFT($Y$84,7)="Cluster",(VLOOKUP($Y$84,INDIRECT(#REF!),4,FALSE)),"N/A")))</f>
        <v>N/A</v>
      </c>
      <c r="T88" s="81">
        <f t="shared" ref="T88:T114" ca="1" si="160">IF($E88=1,O88,K88)</f>
        <v>7.8571935552558738</v>
      </c>
      <c r="U88" s="82">
        <f t="shared" ref="U88:U114" ca="1" si="161">IF($E88=1,K88,O88)</f>
        <v>1.3017689360138576</v>
      </c>
      <c r="V88" s="96"/>
      <c r="W88" s="81">
        <f t="shared" ref="W88:W114" ca="1" si="162">IF((M88-K88)&gt;(O88-M88),K88,(M88-(O88-M88)))</f>
        <v>1.3017689360138576</v>
      </c>
      <c r="X88" s="81">
        <f t="shared" ref="X88:X114" ca="1" si="163">IF(W88=K88,M88+(M88-K88),O88)</f>
        <v>9.6508553028118964</v>
      </c>
      <c r="Y88" s="81">
        <f t="shared" ref="Y88:Y114" ca="1" si="164">IF(E88=1,W88,X88)</f>
        <v>1.3017689360138576</v>
      </c>
      <c r="Z88" s="81">
        <f t="shared" ref="Z88:Z114" ca="1" si="165">IF(E88=1,X88,W88)</f>
        <v>9.6508553028118964</v>
      </c>
      <c r="AA88" s="97">
        <f t="shared" ref="AA88:AA114" ca="1" si="166">IF(ISERROR(IF(E88=1,(K88-$Y88)/($Z88-$Y88),(U88-$Y88)/($Z88-$Y88))),"",IF(E88=1,(K88-$Y88)/($Z88-$Y88),(U88-$Y88)/($Z88-$Y88)))</f>
        <v>0</v>
      </c>
      <c r="AB88" s="87">
        <f t="shared" ref="AB88:AB114" ca="1" si="167">IF(ISERROR(IF(E88=1,(L88-$Y88)/($Z88-$Y88),(N88-$Y88)/($Z88-$Y88))),"",IF(E88=1,(L88-$Y88)/($Z88-$Y88),(N88-$Y88)/($Z88-$Y88)))</f>
        <v>0.42091958488299275</v>
      </c>
      <c r="AC88" s="87">
        <v>0.5</v>
      </c>
      <c r="AD88" s="87">
        <f t="shared" ref="AD88:AD114" ca="1" si="168">IF(ISERROR(IF(E88=1,(N88-$Y88)/($Z88-$Y88),(L88-$Y88)/($Z88-$Y88))),"",IF(E88=1,(N88-$Y88)/($Z88-$Y88),(L88-$Y88)/($Z88-$Y88)))</f>
        <v>0.58277757844948119</v>
      </c>
      <c r="AE88" s="87">
        <f t="shared" ref="AE88:AE114" ca="1" si="169">IF(ISERROR(IF(E88=1,(O88-$Y88)/($Z88-$Y88),(K88-$Y88)/($Z88-$Y88))),"",IF(E88=1,(O88-$Y88)/($Z88-$Y88),(K88-$Y88)/($Z88-$Y88)))</f>
        <v>0.78516670342650796</v>
      </c>
      <c r="AF88" s="180">
        <f ca="1">IF(ISERROR((P88-$Y88)/($Z88-$Y88)),-999,(P88-$Y88)/($Z88-$Y88))</f>
        <v>0.3878271237768669</v>
      </c>
      <c r="AG88" s="180">
        <f ca="1">IF(ISERROR((Q88-$Y88)/($Z88-$Y88)),-999,(Q88-$Y88)/($Z88-$Y88))</f>
        <v>0.78516670342650796</v>
      </c>
      <c r="AH88" s="87">
        <f t="shared" ref="AH88:AH114" ca="1" si="170">IF(G88="",-999,IF(J88=6,(G88-$Y88)/($Z88-$Y88),-999))</f>
        <v>-999</v>
      </c>
      <c r="AI88" s="87">
        <f t="shared" ref="AI88:AI114" ca="1" si="171">IF(G88="",-999,IF(J88=5,(G88-$Y88)/($Z88-$Y88),-999))</f>
        <v>-999</v>
      </c>
      <c r="AJ88" s="87">
        <f t="shared" ref="AJ88:AJ114" ca="1" si="172">IF(G88="",-999,IF(J88=1,(G88-$Y88)/($Z88-$Y88),-999))</f>
        <v>-999</v>
      </c>
      <c r="AK88" s="87">
        <f t="shared" ref="AK88:AK114" ca="1" si="173">IF(G88="",-999,IF(J88=2,(G88-$Y88)/($Z88-$Y88),-999))</f>
        <v>-999</v>
      </c>
      <c r="AL88" s="87">
        <f t="shared" ref="AL88:AL114" ca="1" si="174">IF(G88="",-999,IF(J88=3,(G88-$Y88)/($Z88-$Y88),-999))</f>
        <v>-999</v>
      </c>
      <c r="AM88" s="87">
        <f t="shared" ref="AM88:AM114" ca="1" si="175">IF(G88="",-999,IF(J88=4,(G88-$Y88)/($Z88-$Y88),-999))</f>
        <v>0.60116818114593062</v>
      </c>
      <c r="AN88" s="87">
        <f ca="1">IF(ISERROR((S88-$Y88)/($Z88-$Y88)),-999,(S88-$Y88)/($Z88-$Y88))</f>
        <v>-999</v>
      </c>
      <c r="AO88" s="96">
        <f>AO11</f>
        <v>0.67300000000000004</v>
      </c>
    </row>
    <row r="89" spans="1:41" s="21" customFormat="1" ht="10.199999999999999" x14ac:dyDescent="0.2">
      <c r="A89" s="440"/>
      <c r="B89" s="88">
        <f t="shared" si="146"/>
        <v>2</v>
      </c>
      <c r="C89" s="89" t="str">
        <f t="shared" si="146"/>
        <v xml:space="preserve">% Registered patients aged 0-17 years </v>
      </c>
      <c r="D89" s="90" t="s">
        <v>173</v>
      </c>
      <c r="E89" s="88">
        <f t="shared" ca="1" si="147"/>
        <v>1</v>
      </c>
      <c r="F89" s="110">
        <f t="shared" ca="1" si="148"/>
        <v>21318</v>
      </c>
      <c r="G89" s="92">
        <f t="shared" ca="1" si="149"/>
        <v>21.829017294872976</v>
      </c>
      <c r="H89" s="92">
        <f t="shared" ca="1" si="150"/>
        <v>21.571049320958814</v>
      </c>
      <c r="I89" s="92">
        <f t="shared" ca="1" si="151"/>
        <v>22.089201417086407</v>
      </c>
      <c r="J89" s="93">
        <f t="shared" ca="1" si="152"/>
        <v>4</v>
      </c>
      <c r="K89" s="94">
        <f t="shared" ca="1" si="153"/>
        <v>3.9735446958164928</v>
      </c>
      <c r="L89" s="92">
        <f t="shared" ca="1" si="154"/>
        <v>17.461783112752642</v>
      </c>
      <c r="M89" s="92">
        <f t="shared" ca="1" si="155"/>
        <v>18.814984603913228</v>
      </c>
      <c r="N89" s="92">
        <f t="shared" ca="1" si="156"/>
        <v>21.575234284510898</v>
      </c>
      <c r="O89" s="92">
        <f t="shared" ca="1" si="157"/>
        <v>25.920931222939885</v>
      </c>
      <c r="P89" s="92">
        <f t="shared" ca="1" si="158"/>
        <v>18.341829373857845</v>
      </c>
      <c r="Q89" s="92">
        <f t="shared" ca="1" si="159"/>
        <v>25.920931222939885</v>
      </c>
      <c r="R89" s="92" t="s">
        <v>79</v>
      </c>
      <c r="S89" s="95" t="str">
        <f ca="1">IF(OR(LEFT($Y$84,1)="J",LEFT($Y$84,1)="Y"),(VLOOKUP((LEFT($Y$84,6)),INDIRECT(D12),7,FALSE)),IF(RIGHT($Y$84,8)="Locality",(VLOOKUP($Y$84,INDIRECT(D89),5,FALSE)),IF(LEFT($Y$84,7)="Cluster",(VLOOKUP($Y$84,INDIRECT(#REF!),4,FALSE)),"N/A")))</f>
        <v>N/A</v>
      </c>
      <c r="T89" s="81">
        <f t="shared" ca="1" si="160"/>
        <v>25.920931222939885</v>
      </c>
      <c r="U89" s="82">
        <f t="shared" ca="1" si="161"/>
        <v>3.9735446958164928</v>
      </c>
      <c r="V89" s="96"/>
      <c r="W89" s="81">
        <f t="shared" ca="1" si="162"/>
        <v>3.9735446958164928</v>
      </c>
      <c r="X89" s="81">
        <f t="shared" ca="1" si="163"/>
        <v>33.656424512009963</v>
      </c>
      <c r="Y89" s="81">
        <f t="shared" ca="1" si="164"/>
        <v>3.9735446958164928</v>
      </c>
      <c r="Z89" s="81">
        <f t="shared" ca="1" si="165"/>
        <v>33.656424512009963</v>
      </c>
      <c r="AA89" s="97">
        <f t="shared" ca="1" si="166"/>
        <v>0</v>
      </c>
      <c r="AB89" s="87">
        <f t="shared" ca="1" si="167"/>
        <v>0.45441138125612907</v>
      </c>
      <c r="AC89" s="87">
        <v>0.5</v>
      </c>
      <c r="AD89" s="87">
        <f t="shared" ca="1" si="168"/>
        <v>0.59299130332670147</v>
      </c>
      <c r="AE89" s="87">
        <f t="shared" ca="1" si="169"/>
        <v>0.73939545835946863</v>
      </c>
      <c r="AF89" s="180">
        <f t="shared" ref="AF89:AF90" ca="1" si="176">IF(ISERROR((P89-$Y89)/($Z89-$Y89)),-999,(P89-$Y89)/($Z89-$Y89))</f>
        <v>0.48405965886782815</v>
      </c>
      <c r="AG89" s="180">
        <f t="shared" ref="AG89:AG90" ca="1" si="177">IF(ISERROR((Q89-$Y89)/($Z89-$Y89)),-999,(Q89-$Y89)/($Z89-$Y89))</f>
        <v>0.73939545835946863</v>
      </c>
      <c r="AH89" s="87">
        <f t="shared" ca="1" si="170"/>
        <v>-999</v>
      </c>
      <c r="AI89" s="87">
        <f t="shared" ca="1" si="171"/>
        <v>-999</v>
      </c>
      <c r="AJ89" s="87">
        <f t="shared" ca="1" si="172"/>
        <v>-999</v>
      </c>
      <c r="AK89" s="87">
        <f t="shared" ca="1" si="173"/>
        <v>-999</v>
      </c>
      <c r="AL89" s="87">
        <f t="shared" ca="1" si="174"/>
        <v>-999</v>
      </c>
      <c r="AM89" s="87">
        <f t="shared" ca="1" si="175"/>
        <v>0.60154111425925205</v>
      </c>
      <c r="AN89" s="87">
        <f t="shared" ref="AN89:AN114" ca="1" si="178">IF(ISERROR((S89-$Y89)/($Z89-$Y89)),-999,(S89-$Y89)/($Z89-$Y89))</f>
        <v>-999</v>
      </c>
      <c r="AO89" s="158">
        <f>AO88+$AO$2</f>
        <v>1.1125</v>
      </c>
    </row>
    <row r="90" spans="1:41" s="21" customFormat="1" ht="10.199999999999999" x14ac:dyDescent="0.2">
      <c r="A90" s="440"/>
      <c r="B90" s="88">
        <f t="shared" si="146"/>
        <v>3</v>
      </c>
      <c r="C90" s="89" t="str">
        <f t="shared" si="146"/>
        <v xml:space="preserve">% Registered patients 18-64 years </v>
      </c>
      <c r="D90" s="90" t="s">
        <v>174</v>
      </c>
      <c r="E90" s="88">
        <f t="shared" ca="1" si="147"/>
        <v>1</v>
      </c>
      <c r="F90" s="110">
        <f t="shared" ca="1" si="148"/>
        <v>60324</v>
      </c>
      <c r="G90" s="92">
        <f t="shared" ca="1" si="149"/>
        <v>61.770036555770588</v>
      </c>
      <c r="H90" s="92">
        <f t="shared" ca="1" si="150"/>
        <v>61.46480179119672</v>
      </c>
      <c r="I90" s="92">
        <f t="shared" ca="1" si="151"/>
        <v>62.074345397852916</v>
      </c>
      <c r="J90" s="93">
        <f t="shared" ca="1" si="152"/>
        <v>3</v>
      </c>
      <c r="K90" s="94">
        <f t="shared" ca="1" si="153"/>
        <v>59.791326566825191</v>
      </c>
      <c r="L90" s="92">
        <f t="shared" ca="1" si="154"/>
        <v>62.407407407407405</v>
      </c>
      <c r="M90" s="92">
        <f t="shared" ca="1" si="155"/>
        <v>68.250231286505297</v>
      </c>
      <c r="N90" s="92">
        <f t="shared" ca="1" si="156"/>
        <v>70.301084790790341</v>
      </c>
      <c r="O90" s="92">
        <f t="shared" ca="1" si="157"/>
        <v>94.782426119363819</v>
      </c>
      <c r="P90" s="92">
        <f t="shared" ca="1" si="158"/>
        <v>59.791326566825191</v>
      </c>
      <c r="Q90" s="92">
        <f t="shared" ca="1" si="159"/>
        <v>63.809360534887709</v>
      </c>
      <c r="R90" s="92" t="s">
        <v>79</v>
      </c>
      <c r="S90" s="95" t="str">
        <f ca="1">IF(OR(LEFT($Y$84,1)="J",LEFT($Y$84,1)="Y"),(VLOOKUP((LEFT($Y$84,6)),INDIRECT(D13),7,FALSE)),IF(RIGHT($Y$84,8)="Locality",(VLOOKUP($Y$84,INDIRECT(D90),5,FALSE)),IF(LEFT($Y$84,7)="Cluster",(VLOOKUP($Y$84,INDIRECT(#REF!),4,FALSE)),"N/A")))</f>
        <v>N/A</v>
      </c>
      <c r="T90" s="81">
        <f t="shared" ca="1" si="160"/>
        <v>94.782426119363819</v>
      </c>
      <c r="U90" s="82">
        <f t="shared" ca="1" si="161"/>
        <v>59.791326566825191</v>
      </c>
      <c r="V90" s="96"/>
      <c r="W90" s="81">
        <f t="shared" ca="1" si="162"/>
        <v>41.718036453646775</v>
      </c>
      <c r="X90" s="81">
        <f t="shared" ca="1" si="163"/>
        <v>94.782426119363819</v>
      </c>
      <c r="Y90" s="81">
        <f t="shared" ca="1" si="164"/>
        <v>41.718036453646775</v>
      </c>
      <c r="Z90" s="81">
        <f t="shared" ca="1" si="165"/>
        <v>94.782426119363819</v>
      </c>
      <c r="AA90" s="97">
        <f t="shared" ca="1" si="166"/>
        <v>0.34059168921064414</v>
      </c>
      <c r="AB90" s="87">
        <f t="shared" ca="1" si="167"/>
        <v>0.38989181038536042</v>
      </c>
      <c r="AC90" s="87">
        <v>0.5</v>
      </c>
      <c r="AD90" s="87">
        <f t="shared" ca="1" si="168"/>
        <v>0.53864839522709196</v>
      </c>
      <c r="AE90" s="87">
        <f t="shared" ca="1" si="169"/>
        <v>1</v>
      </c>
      <c r="AF90" s="180">
        <f t="shared" ca="1" si="176"/>
        <v>0.34059168921064414</v>
      </c>
      <c r="AG90" s="180">
        <f t="shared" ca="1" si="177"/>
        <v>0.41631165873021109</v>
      </c>
      <c r="AH90" s="87">
        <f t="shared" ca="1" si="170"/>
        <v>-999</v>
      </c>
      <c r="AI90" s="87">
        <f t="shared" ca="1" si="171"/>
        <v>-999</v>
      </c>
      <c r="AJ90" s="87">
        <f t="shared" ca="1" si="172"/>
        <v>-999</v>
      </c>
      <c r="AK90" s="87">
        <f t="shared" ca="1" si="173"/>
        <v>-999</v>
      </c>
      <c r="AL90" s="87">
        <f t="shared" ca="1" si="174"/>
        <v>0.37788053774749575</v>
      </c>
      <c r="AM90" s="87">
        <f t="shared" ca="1" si="175"/>
        <v>-999</v>
      </c>
      <c r="AN90" s="87">
        <f t="shared" ca="1" si="178"/>
        <v>-999</v>
      </c>
      <c r="AO90" s="158">
        <f t="shared" ref="AO90:AO152" si="179">AO89+$AO$2</f>
        <v>1.552</v>
      </c>
    </row>
    <row r="91" spans="1:41" s="21" customFormat="1" ht="10.199999999999999" x14ac:dyDescent="0.2">
      <c r="A91" s="440"/>
      <c r="B91" s="88">
        <f t="shared" si="146"/>
        <v>4</v>
      </c>
      <c r="C91" s="89" t="str">
        <f t="shared" si="146"/>
        <v>% Registered patients aged 65+ years</v>
      </c>
      <c r="D91" s="90" t="s">
        <v>193</v>
      </c>
      <c r="E91" s="88">
        <f t="shared" ca="1" si="147"/>
        <v>1</v>
      </c>
      <c r="F91" s="110">
        <f t="shared" ca="1" si="148"/>
        <v>16017</v>
      </c>
      <c r="G91" s="92">
        <f t="shared" ca="1" si="149"/>
        <v>16.400946149356432</v>
      </c>
      <c r="H91" s="92">
        <f t="shared" ca="1" si="150"/>
        <v>16.170033850737571</v>
      </c>
      <c r="I91" s="92">
        <f t="shared" ca="1" si="151"/>
        <v>16.634501610509865</v>
      </c>
      <c r="J91" s="93">
        <f t="shared" ca="1" si="152"/>
        <v>4</v>
      </c>
      <c r="K91" s="94">
        <f t="shared" ca="1" si="153"/>
        <v>1.2440291848196945</v>
      </c>
      <c r="L91" s="92">
        <f t="shared" ca="1" si="154"/>
        <v>10.094212651413191</v>
      </c>
      <c r="M91" s="92">
        <f t="shared" ca="1" si="155"/>
        <v>12.934784109581475</v>
      </c>
      <c r="N91" s="92">
        <f t="shared" ca="1" si="156"/>
        <v>17.506211881635419</v>
      </c>
      <c r="O91" s="92">
        <f t="shared" ca="1" si="157"/>
        <v>20.986823122054439</v>
      </c>
      <c r="P91" s="92">
        <f t="shared" ca="1" si="158"/>
        <v>14.287742210234937</v>
      </c>
      <c r="Q91" s="92">
        <f t="shared" ca="1" si="159"/>
        <v>20.986823122054439</v>
      </c>
      <c r="R91" s="92" t="s">
        <v>79</v>
      </c>
      <c r="S91" s="95" t="str">
        <f ca="1">IF(OR(LEFT($Y$84,1)="J",LEFT($Y$84,1)="Y"),(VLOOKUP((LEFT($Y$84,6)),INDIRECT(D14),7,FALSE)),IF(RIGHT($Y$84,8)="Locality",(VLOOKUP($Y$84,INDIRECT(D91),5,FALSE)),IF(LEFT($Y$84,7)="Cluster",(VLOOKUP($Y$84,INDIRECT(#REF!),4,FALSE)),"N/A")))</f>
        <v>N/A</v>
      </c>
      <c r="T91" s="81">
        <f t="shared" ca="1" si="160"/>
        <v>20.986823122054439</v>
      </c>
      <c r="U91" s="82">
        <f t="shared" ca="1" si="161"/>
        <v>1.2440291848196945</v>
      </c>
      <c r="V91" s="96"/>
      <c r="W91" s="81">
        <f t="shared" ca="1" si="162"/>
        <v>1.2440291848196945</v>
      </c>
      <c r="X91" s="81">
        <f t="shared" ca="1" si="163"/>
        <v>24.625539034343255</v>
      </c>
      <c r="Y91" s="81">
        <f t="shared" ca="1" si="164"/>
        <v>1.2440291848196945</v>
      </c>
      <c r="Z91" s="81">
        <f t="shared" ca="1" si="165"/>
        <v>24.625539034343255</v>
      </c>
      <c r="AA91" s="97">
        <f t="shared" ca="1" si="166"/>
        <v>0</v>
      </c>
      <c r="AB91" s="87">
        <f t="shared" ca="1" si="167"/>
        <v>0.37851206032247886</v>
      </c>
      <c r="AC91" s="87">
        <v>0.5</v>
      </c>
      <c r="AD91" s="87">
        <f t="shared" ca="1" si="168"/>
        <v>0.69551465245291233</v>
      </c>
      <c r="AE91" s="87">
        <f t="shared" ca="1" si="169"/>
        <v>0.84437634970083164</v>
      </c>
      <c r="AF91" s="180">
        <f t="shared" ref="AF91:AF114" ca="1" si="180">IF(ISERROR((P91-$Y91)/($Z91-$Y91)),-999,(P91-$Y91)/($Z91-$Y91))</f>
        <v>0.5578644454254964</v>
      </c>
      <c r="AG91" s="180">
        <f t="shared" ref="AG91:AG114" ca="1" si="181">IF(ISERROR((Q91-$Y91)/($Z91-$Y91)),-999,(Q91-$Y91)/($Z91-$Y91))</f>
        <v>0.84437634970083164</v>
      </c>
      <c r="AH91" s="87">
        <f t="shared" ca="1" si="170"/>
        <v>-999</v>
      </c>
      <c r="AI91" s="87">
        <f t="shared" ca="1" si="171"/>
        <v>-999</v>
      </c>
      <c r="AJ91" s="87">
        <f t="shared" ca="1" si="172"/>
        <v>-999</v>
      </c>
      <c r="AK91" s="87">
        <f t="shared" ca="1" si="173"/>
        <v>-999</v>
      </c>
      <c r="AL91" s="87">
        <f t="shared" ca="1" si="174"/>
        <v>-999</v>
      </c>
      <c r="AM91" s="87">
        <f t="shared" ca="1" si="175"/>
        <v>0.6482437217306386</v>
      </c>
      <c r="AN91" s="87">
        <f t="shared" ca="1" si="178"/>
        <v>-999</v>
      </c>
      <c r="AO91" s="158">
        <f t="shared" si="179"/>
        <v>1.9915</v>
      </c>
    </row>
    <row r="92" spans="1:41" s="21" customFormat="1" ht="10.199999999999999" x14ac:dyDescent="0.2">
      <c r="A92" s="440"/>
      <c r="B92" s="88">
        <f t="shared" si="146"/>
        <v>5</v>
      </c>
      <c r="C92" s="89" t="str">
        <f t="shared" si="146"/>
        <v>% Patients living in the most deprived quintile in England</v>
      </c>
      <c r="D92" s="90" t="s">
        <v>195</v>
      </c>
      <c r="E92" s="88">
        <f t="shared" ca="1" si="147"/>
        <v>2</v>
      </c>
      <c r="F92" s="110">
        <f t="shared" ca="1" si="148"/>
        <v>25554</v>
      </c>
      <c r="G92" s="92">
        <f t="shared" ca="1" si="149"/>
        <v>26.170310819806442</v>
      </c>
      <c r="H92" s="92">
        <f t="shared" ca="1" si="150"/>
        <v>25.89554811072502</v>
      </c>
      <c r="I92" s="92">
        <f t="shared" ca="1" si="151"/>
        <v>26.44694842608742</v>
      </c>
      <c r="J92" s="93">
        <f t="shared" ca="1" si="152"/>
        <v>2</v>
      </c>
      <c r="K92" s="94">
        <f t="shared" ca="1" si="153"/>
        <v>4.4858299595141702</v>
      </c>
      <c r="L92" s="92">
        <f t="shared" ca="1" si="154"/>
        <v>12.113354324874976</v>
      </c>
      <c r="M92" s="92">
        <f t="shared" ca="1" si="155"/>
        <v>27.410865991628796</v>
      </c>
      <c r="N92" s="92">
        <f t="shared" ca="1" si="156"/>
        <v>29.471032745591941</v>
      </c>
      <c r="O92" s="92">
        <f t="shared" ca="1" si="157"/>
        <v>52.974739641037004</v>
      </c>
      <c r="P92" s="92">
        <f t="shared" ca="1" si="158"/>
        <v>12.113354324874976</v>
      </c>
      <c r="Q92" s="92">
        <f t="shared" ca="1" si="159"/>
        <v>39.838148647689358</v>
      </c>
      <c r="R92" s="92" t="s">
        <v>79</v>
      </c>
      <c r="S92" s="95" t="str">
        <f ca="1">IF(OR(LEFT($Y$84,1)="J",LEFT($Y$84,1)="Y"),(VLOOKUP((LEFT($Y$84,6)),INDIRECT(D15),7,FALSE)),IF(RIGHT($Y$84,8)="Locality",(VLOOKUP($Y$84,INDIRECT(D92),5,FALSE)),IF(LEFT($Y$84,7)="Cluster",(VLOOKUP($Y$84,INDIRECT(#REF!),4,FALSE)),"N/A")))</f>
        <v>N/A</v>
      </c>
      <c r="T92" s="81">
        <f t="shared" ca="1" si="160"/>
        <v>4.4858299595141702</v>
      </c>
      <c r="U92" s="82">
        <f t="shared" ca="1" si="161"/>
        <v>52.974739641037004</v>
      </c>
      <c r="V92" s="96"/>
      <c r="W92" s="81">
        <f t="shared" ca="1" si="162"/>
        <v>1.8469923422205881</v>
      </c>
      <c r="X92" s="81">
        <f t="shared" ca="1" si="163"/>
        <v>52.974739641037004</v>
      </c>
      <c r="Y92" s="81">
        <f t="shared" ca="1" si="164"/>
        <v>52.974739641037004</v>
      </c>
      <c r="Z92" s="81">
        <f t="shared" ca="1" si="165"/>
        <v>1.8469923422205881</v>
      </c>
      <c r="AA92" s="97">
        <f t="shared" ca="1" si="166"/>
        <v>0</v>
      </c>
      <c r="AB92" s="87">
        <f t="shared" ca="1" si="167"/>
        <v>0.45970550507687169</v>
      </c>
      <c r="AC92" s="87">
        <v>0.5</v>
      </c>
      <c r="AD92" s="87">
        <f t="shared" ca="1" si="168"/>
        <v>0.79920175393896042</v>
      </c>
      <c r="AE92" s="87">
        <f t="shared" ca="1" si="169"/>
        <v>0.94838736778542421</v>
      </c>
      <c r="AF92" s="180">
        <f t="shared" ca="1" si="180"/>
        <v>0.79920175393896042</v>
      </c>
      <c r="AG92" s="180">
        <f t="shared" ca="1" si="181"/>
        <v>0.25693662810079942</v>
      </c>
      <c r="AH92" s="87">
        <f t="shared" ca="1" si="170"/>
        <v>-999</v>
      </c>
      <c r="AI92" s="87">
        <f t="shared" ca="1" si="171"/>
        <v>-999</v>
      </c>
      <c r="AJ92" s="87">
        <f t="shared" ca="1" si="172"/>
        <v>-999</v>
      </c>
      <c r="AK92" s="87">
        <f t="shared" ca="1" si="173"/>
        <v>0.52426383397202936</v>
      </c>
      <c r="AL92" s="87">
        <f t="shared" ca="1" si="174"/>
        <v>-999</v>
      </c>
      <c r="AM92" s="87">
        <f t="shared" ca="1" si="175"/>
        <v>-999</v>
      </c>
      <c r="AN92" s="87">
        <f t="shared" ca="1" si="178"/>
        <v>-999</v>
      </c>
      <c r="AO92" s="158">
        <f t="shared" si="179"/>
        <v>2.431</v>
      </c>
    </row>
    <row r="93" spans="1:41" s="21" customFormat="1" ht="10.199999999999999" x14ac:dyDescent="0.2">
      <c r="A93" s="440"/>
      <c r="B93" s="88">
        <f t="shared" si="146"/>
        <v>6</v>
      </c>
      <c r="C93" s="89" t="str">
        <f t="shared" si="146"/>
        <v>% Resident population age 3+ that have English as a first language*</v>
      </c>
      <c r="D93" s="90" t="s">
        <v>204</v>
      </c>
      <c r="E93" s="88">
        <f t="shared" ca="1" si="147"/>
        <v>1</v>
      </c>
      <c r="F93" s="110">
        <f t="shared" ca="1" si="148"/>
        <v>76549</v>
      </c>
      <c r="G93" s="92">
        <f t="shared" ca="1" si="149"/>
        <v>95.433351618211745</v>
      </c>
      <c r="H93" s="92">
        <f t="shared" ca="1" si="150"/>
        <v>95.286693061315745</v>
      </c>
      <c r="I93" s="92">
        <f t="shared" ca="1" si="151"/>
        <v>95.575658656850152</v>
      </c>
      <c r="J93" s="93">
        <f t="shared" ca="1" si="152"/>
        <v>4</v>
      </c>
      <c r="K93" s="94">
        <f t="shared" ca="1" si="153"/>
        <v>74.0476335135792</v>
      </c>
      <c r="L93" s="92">
        <f t="shared" ca="1" si="154"/>
        <v>82.313302973083054</v>
      </c>
      <c r="M93" s="92">
        <f t="shared" ca="1" si="155"/>
        <v>88.151671279165441</v>
      </c>
      <c r="N93" s="92">
        <f t="shared" ca="1" si="156"/>
        <v>95.607169448126839</v>
      </c>
      <c r="O93" s="92">
        <f t="shared" ca="1" si="157"/>
        <v>96.096831575962256</v>
      </c>
      <c r="P93" s="92">
        <f t="shared" ca="1" si="158"/>
        <v>95.07560684440908</v>
      </c>
      <c r="Q93" s="92">
        <f t="shared" ca="1" si="159"/>
        <v>96.096831575962256</v>
      </c>
      <c r="R93" s="92" t="s">
        <v>79</v>
      </c>
      <c r="S93" s="95" t="str">
        <f ca="1">IF(OR(LEFT($Y$84,1)="J",LEFT($Y$84,1)="Y"),(VLOOKUP((LEFT($Y$84,6)),INDIRECT(D16),7,FALSE)),IF(RIGHT($Y$84,8)="Locality",(VLOOKUP($Y$84,INDIRECT(D93),5,FALSE)),IF(LEFT($Y$84,7)="Cluster",(VLOOKUP($Y$84,INDIRECT(#REF!),4,FALSE)),"N/A")))</f>
        <v>N/A</v>
      </c>
      <c r="T93" s="81">
        <f t="shared" ca="1" si="160"/>
        <v>96.096831575962256</v>
      </c>
      <c r="U93" s="82">
        <f t="shared" ca="1" si="161"/>
        <v>74.0476335135792</v>
      </c>
      <c r="V93" s="96"/>
      <c r="W93" s="81">
        <f t="shared" ca="1" si="162"/>
        <v>74.0476335135792</v>
      </c>
      <c r="X93" s="81">
        <f t="shared" ca="1" si="163"/>
        <v>102.25570904475168</v>
      </c>
      <c r="Y93" s="81">
        <f t="shared" ca="1" si="164"/>
        <v>74.0476335135792</v>
      </c>
      <c r="Z93" s="81">
        <f t="shared" ca="1" si="165"/>
        <v>102.25570904475168</v>
      </c>
      <c r="AA93" s="97">
        <f t="shared" ca="1" si="166"/>
        <v>0</v>
      </c>
      <c r="AB93" s="87">
        <f t="shared" ca="1" si="167"/>
        <v>0.29302493359993809</v>
      </c>
      <c r="AC93" s="87">
        <v>0.5</v>
      </c>
      <c r="AD93" s="87">
        <f t="shared" ca="1" si="168"/>
        <v>0.76430368001256932</v>
      </c>
      <c r="AE93" s="87">
        <f t="shared" ca="1" si="169"/>
        <v>0.78166261424026218</v>
      </c>
      <c r="AF93" s="180">
        <f t="shared" ca="1" si="180"/>
        <v>0.74545933867739622</v>
      </c>
      <c r="AG93" s="180">
        <f t="shared" ca="1" si="181"/>
        <v>0.78166261424026218</v>
      </c>
      <c r="AH93" s="87">
        <f t="shared" ca="1" si="170"/>
        <v>-999</v>
      </c>
      <c r="AI93" s="87">
        <f t="shared" ca="1" si="171"/>
        <v>-999</v>
      </c>
      <c r="AJ93" s="87">
        <f t="shared" ca="1" si="172"/>
        <v>-999</v>
      </c>
      <c r="AK93" s="87">
        <f t="shared" ca="1" si="173"/>
        <v>-999</v>
      </c>
      <c r="AL93" s="87">
        <f t="shared" ca="1" si="174"/>
        <v>-999</v>
      </c>
      <c r="AM93" s="87">
        <f t="shared" ca="1" si="175"/>
        <v>0.75814169176480639</v>
      </c>
      <c r="AN93" s="87">
        <f t="shared" ca="1" si="178"/>
        <v>-999</v>
      </c>
      <c r="AO93" s="158">
        <f t="shared" si="179"/>
        <v>2.8704999999999998</v>
      </c>
    </row>
    <row r="94" spans="1:41" s="21" customFormat="1" ht="10.199999999999999" x14ac:dyDescent="0.2">
      <c r="A94" s="440"/>
      <c r="B94" s="88">
        <f t="shared" si="146"/>
        <v>7</v>
      </c>
      <c r="C94" s="89" t="str">
        <f t="shared" si="146"/>
        <v>% of residents (aged 16-64) economically active*</v>
      </c>
      <c r="D94" s="90" t="s">
        <v>211</v>
      </c>
      <c r="E94" s="88">
        <f t="shared" ca="1" si="147"/>
        <v>1</v>
      </c>
      <c r="F94" s="110">
        <f t="shared" ca="1" si="148"/>
        <v>44509</v>
      </c>
      <c r="G94" s="92">
        <f t="shared" ca="1" si="149"/>
        <v>82.609179828875824</v>
      </c>
      <c r="H94" s="92">
        <f t="shared" ca="1" si="150"/>
        <v>82.286811911816258</v>
      </c>
      <c r="I94" s="92">
        <f t="shared" ca="1" si="151"/>
        <v>82.926898146244724</v>
      </c>
      <c r="J94" s="93">
        <f t="shared" ca="1" si="152"/>
        <v>4</v>
      </c>
      <c r="K94" s="94">
        <f t="shared" ca="1" si="153"/>
        <v>55.57344909676516</v>
      </c>
      <c r="L94" s="92">
        <f t="shared" ca="1" si="154"/>
        <v>68.591566460838479</v>
      </c>
      <c r="M94" s="92">
        <f t="shared" ca="1" si="155"/>
        <v>75.04521783464233</v>
      </c>
      <c r="N94" s="92">
        <f t="shared" ca="1" si="156"/>
        <v>82.235252899633053</v>
      </c>
      <c r="O94" s="92">
        <f t="shared" ca="1" si="157"/>
        <v>84.311332767402376</v>
      </c>
      <c r="P94" s="92">
        <f t="shared" ca="1" si="158"/>
        <v>82.116591928251125</v>
      </c>
      <c r="Q94" s="92">
        <f t="shared" ca="1" si="159"/>
        <v>84.311332767402376</v>
      </c>
      <c r="R94" s="92" t="s">
        <v>79</v>
      </c>
      <c r="S94" s="95" t="str">
        <f ca="1">IF(OR(LEFT($Y$84,1)="J",LEFT($Y$84,1)="Y"),(VLOOKUP((LEFT($Y$84,6)),INDIRECT(D17),7,FALSE)),IF(RIGHT($Y$84,8)="Locality",(VLOOKUP($Y$84,INDIRECT(D94),5,FALSE)),IF(LEFT($Y$84,7)="Cluster",(VLOOKUP($Y$84,INDIRECT(#REF!),4,FALSE)),"N/A")))</f>
        <v>N/A</v>
      </c>
      <c r="T94" s="81">
        <f t="shared" ca="1" si="160"/>
        <v>84.311332767402376</v>
      </c>
      <c r="U94" s="82">
        <f t="shared" ca="1" si="161"/>
        <v>55.57344909676516</v>
      </c>
      <c r="V94" s="96"/>
      <c r="W94" s="81">
        <f t="shared" ca="1" si="162"/>
        <v>55.57344909676516</v>
      </c>
      <c r="X94" s="81">
        <f t="shared" ca="1" si="163"/>
        <v>94.5169865725195</v>
      </c>
      <c r="Y94" s="81">
        <f t="shared" ca="1" si="164"/>
        <v>55.57344909676516</v>
      </c>
      <c r="Z94" s="81">
        <f t="shared" ca="1" si="165"/>
        <v>94.5169865725195</v>
      </c>
      <c r="AA94" s="97">
        <f t="shared" ca="1" si="166"/>
        <v>0</v>
      </c>
      <c r="AB94" s="87">
        <f t="shared" ca="1" si="167"/>
        <v>0.33428184001461608</v>
      </c>
      <c r="AC94" s="87">
        <v>0.5</v>
      </c>
      <c r="AD94" s="87">
        <f t="shared" ca="1" si="168"/>
        <v>0.68462716874313567</v>
      </c>
      <c r="AE94" s="87">
        <f t="shared" ca="1" si="169"/>
        <v>0.7379371657885212</v>
      </c>
      <c r="AF94" s="180">
        <f t="shared" ca="1" si="180"/>
        <v>0.68158016841719438</v>
      </c>
      <c r="AG94" s="180">
        <f t="shared" ca="1" si="181"/>
        <v>0.7379371657885212</v>
      </c>
      <c r="AH94" s="87">
        <f t="shared" ca="1" si="170"/>
        <v>-999</v>
      </c>
      <c r="AI94" s="87">
        <f t="shared" ca="1" si="171"/>
        <v>-999</v>
      </c>
      <c r="AJ94" s="87">
        <f t="shared" ca="1" si="172"/>
        <v>-999</v>
      </c>
      <c r="AK94" s="87">
        <f t="shared" ca="1" si="173"/>
        <v>-999</v>
      </c>
      <c r="AL94" s="87">
        <f t="shared" ca="1" si="174"/>
        <v>-999</v>
      </c>
      <c r="AM94" s="87">
        <f t="shared" ca="1" si="175"/>
        <v>0.69422893975522137</v>
      </c>
      <c r="AN94" s="87">
        <f t="shared" ca="1" si="178"/>
        <v>-999</v>
      </c>
      <c r="AO94" s="158">
        <f t="shared" si="179"/>
        <v>3.3099999999999996</v>
      </c>
    </row>
    <row r="95" spans="1:41" s="21" customFormat="1" ht="10.199999999999999" x14ac:dyDescent="0.2">
      <c r="A95" s="440"/>
      <c r="B95" s="88">
        <f t="shared" si="146"/>
        <v>8</v>
      </c>
      <c r="C95" s="89" t="str">
        <f t="shared" si="146"/>
        <v>Life expectancy at birth (males)</v>
      </c>
      <c r="D95" s="90" t="s">
        <v>246</v>
      </c>
      <c r="E95" s="88">
        <f t="shared" ca="1" si="147"/>
        <v>1</v>
      </c>
      <c r="F95" s="110" t="str">
        <f t="shared" ca="1" si="148"/>
        <v>N/A</v>
      </c>
      <c r="G95" s="92">
        <f t="shared" ca="1" si="149"/>
        <v>79.748580051921508</v>
      </c>
      <c r="H95" s="92">
        <f t="shared" ca="1" si="150"/>
        <v>79.09728651835448</v>
      </c>
      <c r="I95" s="92">
        <f t="shared" ca="1" si="151"/>
        <v>80.399873585488535</v>
      </c>
      <c r="J95" s="93">
        <f t="shared" ca="1" si="152"/>
        <v>5</v>
      </c>
      <c r="K95" s="94">
        <f t="shared" ca="1" si="153"/>
        <v>74.20453444581581</v>
      </c>
      <c r="L95" s="92">
        <f t="shared" ca="1" si="154"/>
        <v>79.421799056302632</v>
      </c>
      <c r="M95" s="92">
        <f t="shared" ca="1" si="155"/>
        <v>79.996892875729387</v>
      </c>
      <c r="N95" s="92">
        <f t="shared" ca="1" si="156"/>
        <v>82.086724743066711</v>
      </c>
      <c r="O95" s="92">
        <f t="shared" ca="1" si="157"/>
        <v>89.394808474842165</v>
      </c>
      <c r="P95" s="92">
        <f t="shared" ca="1" si="158"/>
        <v>77.57982825044121</v>
      </c>
      <c r="Q95" s="92">
        <f t="shared" ca="1" si="159"/>
        <v>82.220631076515573</v>
      </c>
      <c r="R95" s="92" t="s">
        <v>79</v>
      </c>
      <c r="S95" s="95" t="str">
        <f ca="1">IF(OR(LEFT($Y$84,1)="J",LEFT($Y$84,1)="Y"),(VLOOKUP((LEFT($Y$84,6)),INDIRECT(D18),7,FALSE)),IF(RIGHT($Y$84,8)="Locality",(VLOOKUP($Y$84,INDIRECT(D95),5,FALSE)),IF(LEFT($Y$84,7)="Cluster",(VLOOKUP($Y$84,INDIRECT(#REF!),4,FALSE)),"N/A")))</f>
        <v>N/A</v>
      </c>
      <c r="T95" s="81">
        <f t="shared" ca="1" si="160"/>
        <v>89.394808474842165</v>
      </c>
      <c r="U95" s="82">
        <f t="shared" ca="1" si="161"/>
        <v>74.20453444581581</v>
      </c>
      <c r="V95" s="96"/>
      <c r="W95" s="81">
        <f t="shared" ca="1" si="162"/>
        <v>70.598977276616608</v>
      </c>
      <c r="X95" s="81">
        <f t="shared" ca="1" si="163"/>
        <v>89.394808474842165</v>
      </c>
      <c r="Y95" s="81">
        <f t="shared" ca="1" si="164"/>
        <v>70.598977276616608</v>
      </c>
      <c r="Z95" s="81">
        <f t="shared" ca="1" si="165"/>
        <v>89.394808474842165</v>
      </c>
      <c r="AA95" s="97">
        <f t="shared" ca="1" si="166"/>
        <v>0.19182749255268841</v>
      </c>
      <c r="AB95" s="87">
        <f t="shared" ca="1" si="167"/>
        <v>0.46940311852337518</v>
      </c>
      <c r="AC95" s="87">
        <v>0.5</v>
      </c>
      <c r="AD95" s="87">
        <f t="shared" ca="1" si="168"/>
        <v>0.61118592443704312</v>
      </c>
      <c r="AE95" s="87">
        <f t="shared" ca="1" si="169"/>
        <v>1</v>
      </c>
      <c r="AF95" s="180">
        <f t="shared" ca="1" si="180"/>
        <v>0.37140421725449618</v>
      </c>
      <c r="AG95" s="180">
        <f t="shared" ca="1" si="181"/>
        <v>0.61831018151493733</v>
      </c>
      <c r="AH95" s="87">
        <f t="shared" ca="1" si="170"/>
        <v>-999</v>
      </c>
      <c r="AI95" s="87">
        <f t="shared" ca="1" si="171"/>
        <v>0.48678894159087144</v>
      </c>
      <c r="AJ95" s="87">
        <f t="shared" ca="1" si="172"/>
        <v>-999</v>
      </c>
      <c r="AK95" s="87">
        <f t="shared" ca="1" si="173"/>
        <v>-999</v>
      </c>
      <c r="AL95" s="87">
        <f t="shared" ca="1" si="174"/>
        <v>-999</v>
      </c>
      <c r="AM95" s="87">
        <f t="shared" ca="1" si="175"/>
        <v>-999</v>
      </c>
      <c r="AN95" s="87">
        <f t="shared" ca="1" si="178"/>
        <v>-999</v>
      </c>
      <c r="AO95" s="158">
        <f t="shared" si="179"/>
        <v>3.7494999999999994</v>
      </c>
    </row>
    <row r="96" spans="1:41" s="21" customFormat="1" ht="10.199999999999999" x14ac:dyDescent="0.2">
      <c r="A96" s="440"/>
      <c r="B96" s="88">
        <f t="shared" si="146"/>
        <v>9</v>
      </c>
      <c r="C96" s="89" t="str">
        <f t="shared" si="146"/>
        <v>Life expectancy at birth (females)</v>
      </c>
      <c r="D96" s="90" t="s">
        <v>247</v>
      </c>
      <c r="E96" s="88">
        <f t="shared" ca="1" si="147"/>
        <v>1</v>
      </c>
      <c r="F96" s="110" t="str">
        <f t="shared" ca="1" si="148"/>
        <v>N/A</v>
      </c>
      <c r="G96" s="92">
        <f t="shared" ca="1" si="149"/>
        <v>83.276967942778256</v>
      </c>
      <c r="H96" s="92">
        <f t="shared" ca="1" si="150"/>
        <v>82.606994713741429</v>
      </c>
      <c r="I96" s="92">
        <f t="shared" ca="1" si="151"/>
        <v>83.946941171815084</v>
      </c>
      <c r="J96" s="93">
        <f t="shared" ca="1" si="152"/>
        <v>5</v>
      </c>
      <c r="K96" s="94">
        <f t="shared" ca="1" si="153"/>
        <v>77.906537997353666</v>
      </c>
      <c r="L96" s="92">
        <f t="shared" ca="1" si="154"/>
        <v>82.305900903132709</v>
      </c>
      <c r="M96" s="92">
        <f t="shared" ca="1" si="155"/>
        <v>83.310312746401536</v>
      </c>
      <c r="N96" s="92">
        <f t="shared" ca="1" si="156"/>
        <v>85.224396464717969</v>
      </c>
      <c r="O96" s="92">
        <f t="shared" ca="1" si="157"/>
        <v>88.250913297544571</v>
      </c>
      <c r="P96" s="92">
        <f t="shared" ca="1" si="158"/>
        <v>80.71590671018204</v>
      </c>
      <c r="Q96" s="92">
        <f t="shared" ca="1" si="159"/>
        <v>88.250913297544571</v>
      </c>
      <c r="R96" s="92" t="s">
        <v>79</v>
      </c>
      <c r="S96" s="95" t="str">
        <f ca="1">IF(OR(LEFT($Y$84,1)="J",LEFT($Y$84,1)="Y"),(VLOOKUP((LEFT($Y$84,6)),INDIRECT(D19),7,FALSE)),IF(RIGHT($Y$84,8)="Locality",(VLOOKUP($Y$84,INDIRECT(D96),5,FALSE)),IF(LEFT($Y$84,7)="Cluster",(VLOOKUP($Y$84,INDIRECT(#REF!),4,FALSE)),"N/A")))</f>
        <v>N/A</v>
      </c>
      <c r="T96" s="81">
        <f t="shared" ca="1" si="160"/>
        <v>88.250913297544571</v>
      </c>
      <c r="U96" s="82">
        <f t="shared" ca="1" si="161"/>
        <v>77.906537997353666</v>
      </c>
      <c r="V96" s="96"/>
      <c r="W96" s="81">
        <f t="shared" ca="1" si="162"/>
        <v>77.906537997353666</v>
      </c>
      <c r="X96" s="81">
        <f t="shared" ca="1" si="163"/>
        <v>88.714087495449405</v>
      </c>
      <c r="Y96" s="81">
        <f t="shared" ca="1" si="164"/>
        <v>77.906537997353666</v>
      </c>
      <c r="Z96" s="81">
        <f t="shared" ca="1" si="165"/>
        <v>88.714087495449405</v>
      </c>
      <c r="AA96" s="97">
        <f t="shared" ca="1" si="166"/>
        <v>0</v>
      </c>
      <c r="AB96" s="87">
        <f t="shared" ca="1" si="167"/>
        <v>0.40706386832225</v>
      </c>
      <c r="AC96" s="87">
        <v>0.5</v>
      </c>
      <c r="AD96" s="87">
        <f t="shared" ca="1" si="168"/>
        <v>0.67710617181570065</v>
      </c>
      <c r="AE96" s="87">
        <f t="shared" ca="1" si="169"/>
        <v>0.95714345809968815</v>
      </c>
      <c r="AF96" s="180">
        <f t="shared" ca="1" si="180"/>
        <v>0.25994502392271035</v>
      </c>
      <c r="AG96" s="180">
        <f t="shared" ca="1" si="181"/>
        <v>0.95714345809968815</v>
      </c>
      <c r="AH96" s="87">
        <f t="shared" ca="1" si="170"/>
        <v>-999</v>
      </c>
      <c r="AI96" s="87">
        <f t="shared" ca="1" si="171"/>
        <v>0.49691467491042673</v>
      </c>
      <c r="AJ96" s="87">
        <f t="shared" ca="1" si="172"/>
        <v>-999</v>
      </c>
      <c r="AK96" s="87">
        <f t="shared" ca="1" si="173"/>
        <v>-999</v>
      </c>
      <c r="AL96" s="87">
        <f t="shared" ca="1" si="174"/>
        <v>-999</v>
      </c>
      <c r="AM96" s="87">
        <f t="shared" ca="1" si="175"/>
        <v>-999</v>
      </c>
      <c r="AN96" s="87">
        <f t="shared" ca="1" si="178"/>
        <v>-999</v>
      </c>
      <c r="AO96" s="158">
        <f t="shared" si="179"/>
        <v>4.1889999999999992</v>
      </c>
    </row>
    <row r="97" spans="1:41" s="21" customFormat="1" ht="10.199999999999999" x14ac:dyDescent="0.2">
      <c r="A97" s="440"/>
      <c r="B97" s="88">
        <f t="shared" si="146"/>
        <v>10</v>
      </c>
      <c r="C97" s="89" t="str">
        <f t="shared" si="146"/>
        <v xml:space="preserve">Mortality rate from all causes (DSR per 100,000 registered population) </v>
      </c>
      <c r="D97" s="90" t="s">
        <v>248</v>
      </c>
      <c r="E97" s="88">
        <f t="shared" ca="1" si="147"/>
        <v>2</v>
      </c>
      <c r="F97" s="110">
        <f t="shared" ca="1" si="148"/>
        <v>2405</v>
      </c>
      <c r="G97" s="92">
        <f t="shared" ca="1" si="149"/>
        <v>957.62634385360479</v>
      </c>
      <c r="H97" s="92">
        <f t="shared" ca="1" si="150"/>
        <v>919.54923209702451</v>
      </c>
      <c r="I97" s="92">
        <f t="shared" ca="1" si="151"/>
        <v>996.86944037872956</v>
      </c>
      <c r="J97" s="93">
        <f t="shared" ca="1" si="152"/>
        <v>5</v>
      </c>
      <c r="K97" s="94">
        <f t="shared" ca="1" si="153"/>
        <v>401.4376879031974</v>
      </c>
      <c r="L97" s="92">
        <f t="shared" ca="1" si="154"/>
        <v>809.80787116797467</v>
      </c>
      <c r="M97" s="92">
        <f t="shared" ca="1" si="155"/>
        <v>961.24571079814052</v>
      </c>
      <c r="N97" s="92">
        <f t="shared" ca="1" si="156"/>
        <v>1122.435537489102</v>
      </c>
      <c r="O97" s="92">
        <f t="shared" ca="1" si="157"/>
        <v>2189.1405588611224</v>
      </c>
      <c r="P97" s="92">
        <f t="shared" ca="1" si="158"/>
        <v>692.32839359773629</v>
      </c>
      <c r="Q97" s="92">
        <f t="shared" ca="1" si="159"/>
        <v>1319.7442060069284</v>
      </c>
      <c r="R97" s="92" t="s">
        <v>79</v>
      </c>
      <c r="S97" s="95" t="str">
        <f ca="1">IF(OR(LEFT($Y$84,1)="J",LEFT($Y$84,1)="Y"),(VLOOKUP((LEFT($Y$84,6)),INDIRECT(D20),7,FALSE)),IF(RIGHT($Y$84,8)="Locality",(VLOOKUP($Y$84,INDIRECT(D97),5,FALSE)),IF(LEFT($Y$84,7)="Cluster",(VLOOKUP($Y$84,INDIRECT(#REF!),4,FALSE)),"N/A")))</f>
        <v>N/A</v>
      </c>
      <c r="T97" s="81">
        <f t="shared" ca="1" si="160"/>
        <v>401.4376879031974</v>
      </c>
      <c r="U97" s="82">
        <f t="shared" ca="1" si="161"/>
        <v>2189.1405588611224</v>
      </c>
      <c r="V97" s="96"/>
      <c r="W97" s="81">
        <f t="shared" ca="1" si="162"/>
        <v>-266.64913726484144</v>
      </c>
      <c r="X97" s="81">
        <f t="shared" ca="1" si="163"/>
        <v>2189.1405588611224</v>
      </c>
      <c r="Y97" s="81">
        <f t="shared" ca="1" si="164"/>
        <v>2189.1405588611224</v>
      </c>
      <c r="Z97" s="81">
        <f t="shared" ca="1" si="165"/>
        <v>-266.64913726484144</v>
      </c>
      <c r="AA97" s="97">
        <f t="shared" ca="1" si="166"/>
        <v>0</v>
      </c>
      <c r="AB97" s="87">
        <f t="shared" ca="1" si="167"/>
        <v>0.43436334269777238</v>
      </c>
      <c r="AC97" s="87">
        <v>0.5</v>
      </c>
      <c r="AD97" s="87">
        <f t="shared" ca="1" si="168"/>
        <v>0.56166563849871221</v>
      </c>
      <c r="AE97" s="87">
        <f t="shared" ca="1" si="169"/>
        <v>0.72795438215985941</v>
      </c>
      <c r="AF97" s="180">
        <f t="shared" ca="1" si="180"/>
        <v>0.60950339828553901</v>
      </c>
      <c r="AG97" s="180">
        <f t="shared" ca="1" si="181"/>
        <v>0.35401905717972371</v>
      </c>
      <c r="AH97" s="87">
        <f t="shared" ca="1" si="170"/>
        <v>-999</v>
      </c>
      <c r="AI97" s="87">
        <f t="shared" ca="1" si="171"/>
        <v>0.50147380980962875</v>
      </c>
      <c r="AJ97" s="87">
        <f t="shared" ca="1" si="172"/>
        <v>-999</v>
      </c>
      <c r="AK97" s="87">
        <f t="shared" ca="1" si="173"/>
        <v>-999</v>
      </c>
      <c r="AL97" s="87">
        <f t="shared" ca="1" si="174"/>
        <v>-999</v>
      </c>
      <c r="AM97" s="87">
        <f t="shared" ca="1" si="175"/>
        <v>-999</v>
      </c>
      <c r="AN97" s="87">
        <f t="shared" ca="1" si="178"/>
        <v>-999</v>
      </c>
      <c r="AO97" s="158">
        <f t="shared" si="179"/>
        <v>4.6284999999999989</v>
      </c>
    </row>
    <row r="98" spans="1:41" s="21" customFormat="1" ht="10.199999999999999" x14ac:dyDescent="0.2">
      <c r="A98" s="440"/>
      <c r="B98" s="88">
        <f t="shared" si="146"/>
        <v>11</v>
      </c>
      <c r="C98" s="89" t="str">
        <f t="shared" si="146"/>
        <v xml:space="preserve">Premature mortality (under 75 years) from all causes (DSR per 100,000 registered population) </v>
      </c>
      <c r="D98" s="90" t="s">
        <v>249</v>
      </c>
      <c r="E98" s="88">
        <f t="shared" ca="1" si="147"/>
        <v>2</v>
      </c>
      <c r="F98" s="110">
        <f t="shared" ca="1" si="148"/>
        <v>820</v>
      </c>
      <c r="G98" s="92">
        <f t="shared" ca="1" si="149"/>
        <v>345.58262428209366</v>
      </c>
      <c r="H98" s="92">
        <f t="shared" ca="1" si="150"/>
        <v>322.24300088131088</v>
      </c>
      <c r="I98" s="92">
        <f t="shared" ca="1" si="151"/>
        <v>370.16099531926199</v>
      </c>
      <c r="J98" s="93">
        <f t="shared" ca="1" si="152"/>
        <v>5</v>
      </c>
      <c r="K98" s="94">
        <f t="shared" ca="1" si="153"/>
        <v>120.9041189017434</v>
      </c>
      <c r="L98" s="92">
        <f t="shared" ca="1" si="154"/>
        <v>317.03778969541867</v>
      </c>
      <c r="M98" s="92">
        <f t="shared" ca="1" si="155"/>
        <v>344.87164830165528</v>
      </c>
      <c r="N98" s="92">
        <f t="shared" ca="1" si="156"/>
        <v>375.73589550749284</v>
      </c>
      <c r="O98" s="92">
        <f t="shared" ca="1" si="157"/>
        <v>671.86872526024422</v>
      </c>
      <c r="P98" s="92">
        <f t="shared" ca="1" si="158"/>
        <v>269.80675379337799</v>
      </c>
      <c r="Q98" s="92">
        <f t="shared" ca="1" si="159"/>
        <v>412.50555062776863</v>
      </c>
      <c r="R98" s="92" t="s">
        <v>79</v>
      </c>
      <c r="S98" s="95" t="str">
        <f ca="1">IF(OR(LEFT($Y$84,1)="J",LEFT($Y$84,1)="Y"),(VLOOKUP((LEFT($Y$84,6)),INDIRECT(D21),7,FALSE)),IF(RIGHT($Y$84,8)="Locality",(VLOOKUP($Y$84,INDIRECT(D98),5,FALSE)),IF(LEFT($Y$84,7)="Cluster",(VLOOKUP($Y$84,INDIRECT(#REF!),4,FALSE)),"N/A")))</f>
        <v>N/A</v>
      </c>
      <c r="T98" s="81">
        <f t="shared" ca="1" si="160"/>
        <v>120.9041189017434</v>
      </c>
      <c r="U98" s="82">
        <f t="shared" ca="1" si="161"/>
        <v>671.86872526024422</v>
      </c>
      <c r="V98" s="96"/>
      <c r="W98" s="81">
        <f t="shared" ca="1" si="162"/>
        <v>17.87457134306635</v>
      </c>
      <c r="X98" s="81">
        <f t="shared" ca="1" si="163"/>
        <v>671.86872526024422</v>
      </c>
      <c r="Y98" s="81">
        <f t="shared" ca="1" si="164"/>
        <v>671.86872526024422</v>
      </c>
      <c r="Z98" s="81">
        <f t="shared" ca="1" si="165"/>
        <v>17.87457134306635</v>
      </c>
      <c r="AA98" s="97">
        <f t="shared" ca="1" si="166"/>
        <v>0</v>
      </c>
      <c r="AB98" s="87">
        <f t="shared" ca="1" si="167"/>
        <v>0.45280653959829398</v>
      </c>
      <c r="AC98" s="87">
        <v>0.5</v>
      </c>
      <c r="AD98" s="87">
        <f t="shared" ca="1" si="168"/>
        <v>0.54255979726962744</v>
      </c>
      <c r="AE98" s="87">
        <f t="shared" ca="1" si="169"/>
        <v>0.84246105727158405</v>
      </c>
      <c r="AF98" s="180">
        <f t="shared" ca="1" si="180"/>
        <v>0.61477915216621881</v>
      </c>
      <c r="AG98" s="180">
        <f t="shared" ca="1" si="181"/>
        <v>0.3965833227697651</v>
      </c>
      <c r="AH98" s="87">
        <f t="shared" ca="1" si="170"/>
        <v>-999</v>
      </c>
      <c r="AI98" s="87">
        <f t="shared" ca="1" si="171"/>
        <v>0.49891287104604848</v>
      </c>
      <c r="AJ98" s="87">
        <f t="shared" ca="1" si="172"/>
        <v>-999</v>
      </c>
      <c r="AK98" s="87">
        <f t="shared" ca="1" si="173"/>
        <v>-999</v>
      </c>
      <c r="AL98" s="87">
        <f t="shared" ca="1" si="174"/>
        <v>-999</v>
      </c>
      <c r="AM98" s="87">
        <f t="shared" ca="1" si="175"/>
        <v>-999</v>
      </c>
      <c r="AN98" s="87">
        <f t="shared" ca="1" si="178"/>
        <v>-999</v>
      </c>
      <c r="AO98" s="158">
        <f t="shared" si="179"/>
        <v>5.0679999999999987</v>
      </c>
    </row>
    <row r="99" spans="1:41" s="21" customFormat="1" ht="10.199999999999999" x14ac:dyDescent="0.2">
      <c r="A99" s="440"/>
      <c r="B99" s="88">
        <f t="shared" si="146"/>
        <v>12</v>
      </c>
      <c r="C99" s="89" t="str">
        <f t="shared" si="146"/>
        <v>Preventable mortality (DSR per 100,000 registered population)</v>
      </c>
      <c r="D99" s="90" t="s">
        <v>251</v>
      </c>
      <c r="E99" s="88">
        <f t="shared" ca="1" si="147"/>
        <v>2</v>
      </c>
      <c r="F99" s="110">
        <f t="shared" ca="1" si="148"/>
        <v>532</v>
      </c>
      <c r="G99" s="92">
        <f t="shared" ca="1" si="149"/>
        <v>204.31179726569945</v>
      </c>
      <c r="H99" s="92">
        <f t="shared" ca="1" si="150"/>
        <v>187.24850254109253</v>
      </c>
      <c r="I99" s="92">
        <f t="shared" ca="1" si="151"/>
        <v>222.50731623218388</v>
      </c>
      <c r="J99" s="93">
        <f t="shared" ca="1" si="152"/>
        <v>5</v>
      </c>
      <c r="K99" s="94">
        <f t="shared" ca="1" si="153"/>
        <v>70.066647490413089</v>
      </c>
      <c r="L99" s="92">
        <f t="shared" ca="1" si="154"/>
        <v>172.35971798956672</v>
      </c>
      <c r="M99" s="92">
        <f t="shared" ca="1" si="155"/>
        <v>204.14706785210666</v>
      </c>
      <c r="N99" s="92">
        <f t="shared" ca="1" si="156"/>
        <v>227.02512790699762</v>
      </c>
      <c r="O99" s="92">
        <f t="shared" ca="1" si="157"/>
        <v>386.97649423620487</v>
      </c>
      <c r="P99" s="92">
        <f t="shared" ca="1" si="158"/>
        <v>169.43843963881977</v>
      </c>
      <c r="Q99" s="92">
        <f t="shared" ca="1" si="159"/>
        <v>243.42839452961715</v>
      </c>
      <c r="R99" s="92" t="s">
        <v>79</v>
      </c>
      <c r="S99" s="95" t="str">
        <f ca="1">IF(OR(LEFT($Y$84,1)="J",LEFT($Y$84,1)="Y"),(VLOOKUP((LEFT($Y$84,6)),INDIRECT(D22),7,FALSE)),IF(RIGHT($Y$84,8)="Locality",(VLOOKUP($Y$84,INDIRECT(D99),5,FALSE)),IF(LEFT($Y$84,7)="Cluster",(VLOOKUP($Y$84,INDIRECT(#REF!),4,FALSE)),"N/A")))</f>
        <v>N/A</v>
      </c>
      <c r="T99" s="81">
        <f t="shared" ca="1" si="160"/>
        <v>70.066647490413089</v>
      </c>
      <c r="U99" s="82">
        <f t="shared" ca="1" si="161"/>
        <v>386.97649423620487</v>
      </c>
      <c r="V99" s="96"/>
      <c r="W99" s="81">
        <f t="shared" ca="1" si="162"/>
        <v>21.317641468008446</v>
      </c>
      <c r="X99" s="81">
        <f t="shared" ca="1" si="163"/>
        <v>386.97649423620487</v>
      </c>
      <c r="Y99" s="81">
        <f t="shared" ca="1" si="164"/>
        <v>386.97649423620487</v>
      </c>
      <c r="Z99" s="81">
        <f t="shared" ca="1" si="165"/>
        <v>21.317641468008446</v>
      </c>
      <c r="AA99" s="97">
        <f t="shared" ca="1" si="166"/>
        <v>0</v>
      </c>
      <c r="AB99" s="87">
        <f t="shared" ca="1" si="167"/>
        <v>0.43743332102670535</v>
      </c>
      <c r="AC99" s="87">
        <v>0.5</v>
      </c>
      <c r="AD99" s="87">
        <f t="shared" ca="1" si="168"/>
        <v>0.58693171140776679</v>
      </c>
      <c r="AE99" s="87">
        <f t="shared" ca="1" si="169"/>
        <v>0.86668172901229257</v>
      </c>
      <c r="AF99" s="180">
        <f t="shared" ca="1" si="180"/>
        <v>0.59492079283880994</v>
      </c>
      <c r="AG99" s="180">
        <f t="shared" ca="1" si="181"/>
        <v>0.39257383930367395</v>
      </c>
      <c r="AH99" s="87">
        <f t="shared" ca="1" si="170"/>
        <v>-999</v>
      </c>
      <c r="AI99" s="87">
        <f t="shared" ca="1" si="171"/>
        <v>0.49954949972537044</v>
      </c>
      <c r="AJ99" s="87">
        <f t="shared" ca="1" si="172"/>
        <v>-999</v>
      </c>
      <c r="AK99" s="87">
        <f t="shared" ca="1" si="173"/>
        <v>-999</v>
      </c>
      <c r="AL99" s="87">
        <f t="shared" ca="1" si="174"/>
        <v>-999</v>
      </c>
      <c r="AM99" s="87">
        <f t="shared" ca="1" si="175"/>
        <v>-999</v>
      </c>
      <c r="AN99" s="87">
        <f t="shared" ca="1" si="178"/>
        <v>-999</v>
      </c>
      <c r="AO99" s="158">
        <f t="shared" si="179"/>
        <v>5.5074999999999985</v>
      </c>
    </row>
    <row r="100" spans="1:41" s="21" customFormat="1" ht="10.199999999999999" x14ac:dyDescent="0.2">
      <c r="A100" s="440"/>
      <c r="B100" s="88">
        <f t="shared" si="146"/>
        <v>13</v>
      </c>
      <c r="C100" s="89" t="str">
        <f t="shared" si="146"/>
        <v>Multiple (3+) chronic condition prevalence (DSR per 1,000 registered population)</v>
      </c>
      <c r="D100" s="90" t="s">
        <v>253</v>
      </c>
      <c r="E100" s="88">
        <f t="shared" ref="E100:E103" ca="1" si="182">IF((INDIRECT(LEFT(D100,(LEN(D100)-10))&amp;"K2"))="Low = Worst",1,IF((INDIRECT(LEFT(D100,(LEN(D100)-10))&amp;"K2"))="High = Worst",2,""))</f>
        <v>2</v>
      </c>
      <c r="F100" s="110">
        <f t="shared" ref="F100:F103" ca="1" si="183">VLOOKUP($E$84,INDIRECT(D100),4,FALSE)</f>
        <v>15644</v>
      </c>
      <c r="G100" s="92">
        <f t="shared" ref="G100:G103" ca="1" si="184">VLOOKUP($E$84,INDIRECT(D100),5,FALSE)</f>
        <v>182.41164829957881</v>
      </c>
      <c r="H100" s="92">
        <f t="shared" ref="H100:H103" ca="1" si="185">VLOOKUP($E$84,INDIRECT(D100),6,FALSE)</f>
        <v>179.54558623138971</v>
      </c>
      <c r="I100" s="92">
        <f t="shared" ref="I100:I103" ca="1" si="186">VLOOKUP($E$84,INDIRECT(D100),7,FALSE)</f>
        <v>185.31177184699169</v>
      </c>
      <c r="J100" s="93">
        <f t="shared" ref="J100:J103" ca="1" si="187">VLOOKUP($E$84,INDIRECT(D100),11,FALSE)</f>
        <v>1</v>
      </c>
      <c r="K100" s="94">
        <f t="shared" ref="K100:K103" ca="1" si="188">VLOOKUP($E$84,INDIRECT(D100),12,FALSE)</f>
        <v>85.335855567458964</v>
      </c>
      <c r="L100" s="92">
        <f t="shared" ref="L100:L103" ca="1" si="189">VLOOKUP($E$84,INDIRECT(D100),13,FALSE)</f>
        <v>153.27069412093047</v>
      </c>
      <c r="M100" s="92">
        <f t="shared" ref="M100:M103" ca="1" si="190">VLOOKUP($E$84,INDIRECT(D100),14,FALSE)</f>
        <v>177.10942742743939</v>
      </c>
      <c r="N100" s="92">
        <f t="shared" ref="N100:N103" ca="1" si="191">VLOOKUP($E$84,INDIRECT(D100),17,FALSE)</f>
        <v>198.35777426836756</v>
      </c>
      <c r="O100" s="92">
        <f t="shared" ref="O100:O103" ca="1" si="192">VLOOKUP($E$84,INDIRECT(D100),18,FALSE)</f>
        <v>228.71451664344383</v>
      </c>
      <c r="P100" s="92">
        <f t="shared" ref="P100:P103" ca="1" si="193">VLOOKUP($E$84,INDIRECT(D100),8,FALSE)</f>
        <v>142.85581263851503</v>
      </c>
      <c r="Q100" s="92">
        <f t="shared" ref="Q100:Q103" ca="1" si="194">VLOOKUP($E$84,INDIRECT(D100),9,FALSE)</f>
        <v>207.26130039389551</v>
      </c>
      <c r="R100" s="92" t="s">
        <v>79</v>
      </c>
      <c r="S100" s="95" t="str">
        <f ca="1">IF(OR(LEFT($Y$84,1)="J",LEFT($Y$84,1)="Y"),(VLOOKUP((LEFT($Y$84,6)),INDIRECT(D23),7,FALSE)),IF(RIGHT($Y$84,8)="Locality",(VLOOKUP($Y$84,INDIRECT(D100),5,FALSE)),IF(LEFT($Y$84,7)="Cluster",(VLOOKUP($Y$84,INDIRECT(#REF!),4,FALSE)),"N/A")))</f>
        <v>N/A</v>
      </c>
      <c r="T100" s="81">
        <f t="shared" ref="T100:T103" ca="1" si="195">IF($E100=1,O100,K100)</f>
        <v>85.335855567458964</v>
      </c>
      <c r="U100" s="82">
        <f t="shared" ref="U100:U103" ca="1" si="196">IF($E100=1,K100,O100)</f>
        <v>228.71451664344383</v>
      </c>
      <c r="V100" s="96"/>
      <c r="W100" s="81">
        <f t="shared" ref="W100:W103" ca="1" si="197">IF((M100-K100)&gt;(O100-M100),K100,(M100-(O100-M100)))</f>
        <v>85.335855567458964</v>
      </c>
      <c r="X100" s="81">
        <f t="shared" ref="X100:X103" ca="1" si="198">IF(W100=K100,M100+(M100-K100),O100)</f>
        <v>268.88299928741981</v>
      </c>
      <c r="Y100" s="81">
        <f t="shared" ref="Y100:Y103" ca="1" si="199">IF(E100=1,W100,X100)</f>
        <v>268.88299928741981</v>
      </c>
      <c r="Z100" s="81">
        <f t="shared" ref="Z100:Z103" ca="1" si="200">IF(E100=1,X100,W100)</f>
        <v>85.335855567458964</v>
      </c>
      <c r="AA100" s="97">
        <f t="shared" ref="AA100:AA103" ca="1" si="201">IF(ISERROR(IF(E100=1,(K100-$Y100)/($Z100-$Y100),(U100-$Y100)/($Z100-$Y100))),"",IF(E100=1,(K100-$Y100)/($Z100-$Y100),(U100-$Y100)/($Z100-$Y100)))</f>
        <v>0.21884558827709852</v>
      </c>
      <c r="AB100" s="87">
        <f t="shared" ref="AB100:AB103" ca="1" si="202">IF(ISERROR(IF(E100=1,(L100-$Y100)/($Z100-$Y100),(N100-$Y100)/($Z100-$Y100))),"",IF(E100=1,(L100-$Y100)/($Z100-$Y100),(N100-$Y100)/($Z100-$Y100)))</f>
        <v>0.38423493599362718</v>
      </c>
      <c r="AC100" s="87">
        <v>0.5</v>
      </c>
      <c r="AD100" s="87">
        <f t="shared" ref="AD100:AD103" ca="1" si="203">IF(ISERROR(IF(E100=1,(N100-$Y100)/($Z100-$Y100),(L100-$Y100)/($Z100-$Y100))),"",IF(E100=1,(N100-$Y100)/($Z100-$Y100),(L100-$Y100)/($Z100-$Y100)))</f>
        <v>0.62987798569548892</v>
      </c>
      <c r="AE100" s="87">
        <f t="shared" ref="AE100:AE103" ca="1" si="204">IF(ISERROR(IF(E100=1,(O100-$Y100)/($Z100-$Y100),(K100-$Y100)/($Z100-$Y100))),"",IF(E100=1,(O100-$Y100)/($Z100-$Y100),(K100-$Y100)/($Z100-$Y100)))</f>
        <v>1</v>
      </c>
      <c r="AF100" s="180">
        <f t="shared" ref="AF100:AF103" ca="1" si="205">IF(ISERROR((P100-$Y100)/($Z100-$Y100)),-999,(P100-$Y100)/($Z100-$Y100))</f>
        <v>0.68662025512739844</v>
      </c>
      <c r="AG100" s="180">
        <f t="shared" ref="AG100:AG103" ca="1" si="206">IF(ISERROR((Q100-$Y100)/($Z100-$Y100)),-999,(Q100-$Y100)/($Z100-$Y100))</f>
        <v>0.33572682006722454</v>
      </c>
      <c r="AH100" s="87">
        <f t="shared" ref="AH100:AH103" ca="1" si="207">IF(G100="",-999,IF(J100=6,(G100-$Y100)/($Z100-$Y100),-999))</f>
        <v>-999</v>
      </c>
      <c r="AI100" s="87">
        <f t="shared" ref="AI100:AI103" ca="1" si="208">IF(G100="",-999,IF(J100=5,(G100-$Y100)/($Z100-$Y100),-999))</f>
        <v>-999</v>
      </c>
      <c r="AJ100" s="87">
        <f t="shared" ref="AJ100:AJ103" ca="1" si="209">IF(G100="",-999,IF(J100=1,(G100-$Y100)/($Z100-$Y100),-999))</f>
        <v>0.47111248497427416</v>
      </c>
      <c r="AK100" s="87">
        <f t="shared" ref="AK100:AK103" ca="1" si="210">IF(G100="",-999,IF(J100=2,(G100-$Y100)/($Z100-$Y100),-999))</f>
        <v>-999</v>
      </c>
      <c r="AL100" s="87">
        <f t="shared" ref="AL100:AL103" ca="1" si="211">IF(G100="",-999,IF(J100=3,(G100-$Y100)/($Z100-$Y100),-999))</f>
        <v>-999</v>
      </c>
      <c r="AM100" s="87">
        <f t="shared" ref="AM100:AM103" ca="1" si="212">IF(G100="",-999,IF(J100=4,(G100-$Y100)/($Z100-$Y100),-999))</f>
        <v>-999</v>
      </c>
      <c r="AN100" s="87">
        <f t="shared" ref="AN100:AN103" ca="1" si="213">IF(ISERROR((S100-$Y100)/($Z100-$Y100)),-999,(S100-$Y100)/($Z100-$Y100))</f>
        <v>-999</v>
      </c>
      <c r="AO100" s="158">
        <f t="shared" si="179"/>
        <v>5.9469999999999983</v>
      </c>
    </row>
    <row r="101" spans="1:41" s="21" customFormat="1" ht="10.199999999999999" x14ac:dyDescent="0.2">
      <c r="A101" s="440"/>
      <c r="B101" s="88">
        <f t="shared" si="146"/>
        <v>14</v>
      </c>
      <c r="C101" s="89" t="str">
        <f t="shared" si="146"/>
        <v>Diabetes prevalence 17+ years (%)</v>
      </c>
      <c r="D101" s="90" t="s">
        <v>262</v>
      </c>
      <c r="E101" s="88">
        <f t="shared" ca="1" si="182"/>
        <v>2</v>
      </c>
      <c r="F101" s="110">
        <f t="shared" ca="1" si="183"/>
        <v>5373</v>
      </c>
      <c r="G101" s="92">
        <f t="shared" ca="1" si="184"/>
        <v>6.9604756908009797</v>
      </c>
      <c r="H101" s="92">
        <f t="shared" ca="1" si="185"/>
        <v>6.7830893185223857</v>
      </c>
      <c r="I101" s="92">
        <f t="shared" ca="1" si="186"/>
        <v>7.1421455170958685</v>
      </c>
      <c r="J101" s="93">
        <f t="shared" ca="1" si="187"/>
        <v>1</v>
      </c>
      <c r="K101" s="94">
        <f t="shared" ca="1" si="188"/>
        <v>0.75834175935288195</v>
      </c>
      <c r="L101" s="92">
        <f t="shared" ca="1" si="189"/>
        <v>5.9499214940913996</v>
      </c>
      <c r="M101" s="92">
        <f t="shared" ca="1" si="190"/>
        <v>5.6964365398100298</v>
      </c>
      <c r="N101" s="92">
        <f t="shared" ca="1" si="191"/>
        <v>6.9905956112852703</v>
      </c>
      <c r="O101" s="92">
        <f t="shared" ca="1" si="192"/>
        <v>7.8422684980061996</v>
      </c>
      <c r="P101" s="92">
        <f ca="1">VLOOKUP($E$84,INDIRECT(D101),8,FALSE)</f>
        <v>6.0827806997484597</v>
      </c>
      <c r="Q101" s="92">
        <f ca="1">VLOOKUP($E$84,INDIRECT(D101),9,FALSE)</f>
        <v>7.8422684980061996</v>
      </c>
      <c r="R101" s="92" t="s">
        <v>79</v>
      </c>
      <c r="S101" s="95" t="str">
        <f ca="1">IF(OR(LEFT($Y$84,1)="J",LEFT($Y$84,1)="Y"),(VLOOKUP((LEFT($Y$84,6)),INDIRECT(D24),7,FALSE)),IF(RIGHT($Y$84,8)="Locality",(VLOOKUP($Y$84,INDIRECT(D101),5,FALSE)),IF(LEFT($Y$84,7)="Cluster",(VLOOKUP($Y$84,INDIRECT(#REF!),4,FALSE)),"N/A")))</f>
        <v>N/A</v>
      </c>
      <c r="T101" s="81">
        <f t="shared" ca="1" si="195"/>
        <v>0.75834175935288195</v>
      </c>
      <c r="U101" s="82">
        <f t="shared" ca="1" si="196"/>
        <v>7.8422684980061996</v>
      </c>
      <c r="V101" s="96"/>
      <c r="W101" s="81">
        <f t="shared" ca="1" si="197"/>
        <v>0.75834175935288195</v>
      </c>
      <c r="X101" s="81">
        <f t="shared" ca="1" si="198"/>
        <v>10.634531320267179</v>
      </c>
      <c r="Y101" s="81">
        <f t="shared" ca="1" si="199"/>
        <v>10.634531320267179</v>
      </c>
      <c r="Z101" s="81">
        <f t="shared" ca="1" si="200"/>
        <v>0.75834175935288195</v>
      </c>
      <c r="AA101" s="97">
        <f t="shared" ca="1" si="201"/>
        <v>0.28272673433806422</v>
      </c>
      <c r="AB101" s="87">
        <f t="shared" ca="1" si="202"/>
        <v>0.36896170193037164</v>
      </c>
      <c r="AC101" s="87">
        <v>0.5</v>
      </c>
      <c r="AD101" s="87">
        <f t="shared" ca="1" si="203"/>
        <v>0.47433372934795082</v>
      </c>
      <c r="AE101" s="87">
        <f t="shared" ca="1" si="204"/>
        <v>1</v>
      </c>
      <c r="AF101" s="180">
        <f t="shared" ca="1" si="205"/>
        <v>0.4608812530829286</v>
      </c>
      <c r="AG101" s="180">
        <f t="shared" ca="1" si="206"/>
        <v>0.28272673433806422</v>
      </c>
      <c r="AH101" s="87">
        <f t="shared" ca="1" si="207"/>
        <v>-999</v>
      </c>
      <c r="AI101" s="87">
        <f t="shared" ca="1" si="208"/>
        <v>-999</v>
      </c>
      <c r="AJ101" s="87">
        <f t="shared" ca="1" si="209"/>
        <v>0.37201145308171568</v>
      </c>
      <c r="AK101" s="87">
        <f t="shared" ca="1" si="210"/>
        <v>-999</v>
      </c>
      <c r="AL101" s="87">
        <f t="shared" ca="1" si="211"/>
        <v>-999</v>
      </c>
      <c r="AM101" s="87">
        <f t="shared" ca="1" si="212"/>
        <v>-999</v>
      </c>
      <c r="AN101" s="87">
        <f t="shared" ca="1" si="213"/>
        <v>-999</v>
      </c>
      <c r="AO101" s="158">
        <f t="shared" si="179"/>
        <v>6.3864999999999981</v>
      </c>
    </row>
    <row r="102" spans="1:41" s="21" customFormat="1" ht="10.199999999999999" x14ac:dyDescent="0.2">
      <c r="A102" s="440"/>
      <c r="B102" s="88">
        <f t="shared" si="146"/>
        <v>15</v>
      </c>
      <c r="C102" s="89" t="str">
        <f t="shared" si="146"/>
        <v>Asthma prevalence (%)</v>
      </c>
      <c r="D102" s="90" t="s">
        <v>264</v>
      </c>
      <c r="E102" s="88">
        <f t="shared" ca="1" si="182"/>
        <v>2</v>
      </c>
      <c r="F102" s="110">
        <f t="shared" ca="1" si="183"/>
        <v>5918</v>
      </c>
      <c r="G102" s="92">
        <f t="shared" ca="1" si="184"/>
        <v>6.0797830263306585</v>
      </c>
      <c r="H102" s="92">
        <f t="shared" ca="1" si="185"/>
        <v>5.9313927819672836</v>
      </c>
      <c r="I102" s="92">
        <f t="shared" ca="1" si="186"/>
        <v>6.2316397342237986</v>
      </c>
      <c r="J102" s="93">
        <f t="shared" ca="1" si="187"/>
        <v>1</v>
      </c>
      <c r="K102" s="94">
        <f t="shared" ca="1" si="188"/>
        <v>2.4640657084188899</v>
      </c>
      <c r="L102" s="92">
        <f t="shared" ca="1" si="189"/>
        <v>5.0266388695853603</v>
      </c>
      <c r="M102" s="92">
        <f t="shared" ca="1" si="190"/>
        <v>5.7934579080787598</v>
      </c>
      <c r="N102" s="92">
        <f t="shared" ca="1" si="191"/>
        <v>6.34071024189398</v>
      </c>
      <c r="O102" s="92">
        <f t="shared" ca="1" si="192"/>
        <v>9.9487977185818899</v>
      </c>
      <c r="P102" s="92">
        <f t="shared" ca="1" si="193"/>
        <v>5.234375</v>
      </c>
      <c r="Q102" s="92">
        <f t="shared" ca="1" si="194"/>
        <v>7.2173215717722501</v>
      </c>
      <c r="R102" s="92" t="s">
        <v>79</v>
      </c>
      <c r="S102" s="95" t="str">
        <f ca="1">IF(OR(LEFT($Y$84,1)="J",LEFT($Y$84,1)="Y"),(VLOOKUP((LEFT($Y$84,6)),INDIRECT(D25),7,FALSE)),IF(RIGHT($Y$84,8)="Locality",(VLOOKUP($Y$84,INDIRECT(D102),5,FALSE)),IF(LEFT($Y$84,7)="Cluster",(VLOOKUP($Y$84,INDIRECT(#REF!),4,FALSE)),"N/A")))</f>
        <v>N/A</v>
      </c>
      <c r="T102" s="81">
        <f t="shared" ca="1" si="195"/>
        <v>2.4640657084188899</v>
      </c>
      <c r="U102" s="82">
        <f t="shared" ca="1" si="196"/>
        <v>9.9487977185818899</v>
      </c>
      <c r="V102" s="96"/>
      <c r="W102" s="81">
        <f t="shared" ca="1" si="197"/>
        <v>1.6381180975756298</v>
      </c>
      <c r="X102" s="81">
        <f t="shared" ca="1" si="198"/>
        <v>9.9487977185818899</v>
      </c>
      <c r="Y102" s="81">
        <f t="shared" ca="1" si="199"/>
        <v>9.9487977185818899</v>
      </c>
      <c r="Z102" s="81">
        <f t="shared" ca="1" si="200"/>
        <v>1.6381180975756298</v>
      </c>
      <c r="AA102" s="97">
        <f t="shared" ca="1" si="201"/>
        <v>0</v>
      </c>
      <c r="AB102" s="87">
        <f t="shared" ca="1" si="202"/>
        <v>0.43415071224356033</v>
      </c>
      <c r="AC102" s="87">
        <v>0.5</v>
      </c>
      <c r="AD102" s="87">
        <f t="shared" ca="1" si="203"/>
        <v>0.59226911317278674</v>
      </c>
      <c r="AE102" s="87">
        <f t="shared" ca="1" si="204"/>
        <v>0.90061611703144273</v>
      </c>
      <c r="AF102" s="180">
        <f t="shared" ca="1" si="205"/>
        <v>0.56727282648047328</v>
      </c>
      <c r="AG102" s="180">
        <f t="shared" ca="1" si="206"/>
        <v>0.32867061075312054</v>
      </c>
      <c r="AH102" s="87">
        <f t="shared" ca="1" si="207"/>
        <v>-999</v>
      </c>
      <c r="AI102" s="87">
        <f t="shared" ca="1" si="208"/>
        <v>-999</v>
      </c>
      <c r="AJ102" s="87">
        <f t="shared" ca="1" si="209"/>
        <v>0.46554732809959648</v>
      </c>
      <c r="AK102" s="87">
        <f t="shared" ca="1" si="210"/>
        <v>-999</v>
      </c>
      <c r="AL102" s="87">
        <f t="shared" ca="1" si="211"/>
        <v>-999</v>
      </c>
      <c r="AM102" s="87">
        <f t="shared" ca="1" si="212"/>
        <v>-999</v>
      </c>
      <c r="AN102" s="87">
        <f t="shared" ca="1" si="213"/>
        <v>-999</v>
      </c>
      <c r="AO102" s="158">
        <f t="shared" si="179"/>
        <v>6.8259999999999978</v>
      </c>
    </row>
    <row r="103" spans="1:41" s="21" customFormat="1" ht="10.199999999999999" x14ac:dyDescent="0.2">
      <c r="A103" s="440"/>
      <c r="B103" s="88">
        <f t="shared" si="146"/>
        <v>16</v>
      </c>
      <c r="C103" s="89" t="str">
        <f t="shared" si="146"/>
        <v>Emergency admissions for asthma (DSR per 100,000 registered population) (all ages)</v>
      </c>
      <c r="D103" s="90" t="s">
        <v>266</v>
      </c>
      <c r="E103" s="88">
        <f t="shared" ca="1" si="182"/>
        <v>2</v>
      </c>
      <c r="F103" s="110">
        <f t="shared" ca="1" si="183"/>
        <v>388</v>
      </c>
      <c r="G103" s="92">
        <f t="shared" ca="1" si="184"/>
        <v>129.72414513846829</v>
      </c>
      <c r="H103" s="92">
        <f t="shared" ca="1" si="185"/>
        <v>117.01107701280569</v>
      </c>
      <c r="I103" s="92">
        <f t="shared" ca="1" si="186"/>
        <v>143.43107418557855</v>
      </c>
      <c r="J103" s="93">
        <f t="shared" ca="1" si="187"/>
        <v>5</v>
      </c>
      <c r="K103" s="94">
        <f t="shared" ca="1" si="188"/>
        <v>35.630369695278844</v>
      </c>
      <c r="L103" s="92">
        <f t="shared" ca="1" si="189"/>
        <v>111.63492272418807</v>
      </c>
      <c r="M103" s="92">
        <f t="shared" ca="1" si="190"/>
        <v>132.33064583324659</v>
      </c>
      <c r="N103" s="92">
        <f t="shared" ca="1" si="191"/>
        <v>157.86774973748336</v>
      </c>
      <c r="O103" s="92">
        <f t="shared" ca="1" si="192"/>
        <v>241.4281734131078</v>
      </c>
      <c r="P103" s="92">
        <f t="shared" ca="1" si="193"/>
        <v>88.714133575543926</v>
      </c>
      <c r="Q103" s="92">
        <f t="shared" ca="1" si="194"/>
        <v>214.27639527373745</v>
      </c>
      <c r="R103" s="92" t="s">
        <v>79</v>
      </c>
      <c r="S103" s="95" t="str">
        <f ca="1">IF(OR(LEFT($Y$84,1)="J",LEFT($Y$84,1)="Y"),(VLOOKUP((LEFT($Y$84,6)),INDIRECT(D26),7,FALSE)),IF(RIGHT($Y$84,8)="Locality",(VLOOKUP($Y$84,INDIRECT(D103),5,FALSE)),IF(LEFT($Y$84,7)="Cluster",(VLOOKUP($Y$84,INDIRECT(#REF!),4,FALSE)),"N/A")))</f>
        <v>N/A</v>
      </c>
      <c r="T103" s="81">
        <f t="shared" ca="1" si="195"/>
        <v>35.630369695278844</v>
      </c>
      <c r="U103" s="82">
        <f t="shared" ca="1" si="196"/>
        <v>241.4281734131078</v>
      </c>
      <c r="V103" s="96"/>
      <c r="W103" s="81">
        <f t="shared" ca="1" si="197"/>
        <v>23.233118253385385</v>
      </c>
      <c r="X103" s="81">
        <f t="shared" ca="1" si="198"/>
        <v>241.4281734131078</v>
      </c>
      <c r="Y103" s="81">
        <f t="shared" ca="1" si="199"/>
        <v>241.4281734131078</v>
      </c>
      <c r="Z103" s="81">
        <f t="shared" ca="1" si="200"/>
        <v>23.233118253385385</v>
      </c>
      <c r="AA103" s="97">
        <f t="shared" ca="1" si="201"/>
        <v>0</v>
      </c>
      <c r="AB103" s="87">
        <f t="shared" ca="1" si="202"/>
        <v>0.38296204107126447</v>
      </c>
      <c r="AC103" s="87">
        <v>0.5</v>
      </c>
      <c r="AD103" s="87">
        <f t="shared" ca="1" si="203"/>
        <v>0.59484964310446409</v>
      </c>
      <c r="AE103" s="87">
        <f t="shared" ca="1" si="204"/>
        <v>0.94318271130013254</v>
      </c>
      <c r="AF103" s="180">
        <f t="shared" ca="1" si="205"/>
        <v>0.69989688687387819</v>
      </c>
      <c r="AG103" s="180">
        <f t="shared" ca="1" si="206"/>
        <v>0.12443810021035902</v>
      </c>
      <c r="AH103" s="87">
        <f t="shared" ca="1" si="207"/>
        <v>-999</v>
      </c>
      <c r="AI103" s="87">
        <f t="shared" ca="1" si="208"/>
        <v>0.5119457367760708</v>
      </c>
      <c r="AJ103" s="87">
        <f t="shared" ca="1" si="209"/>
        <v>-999</v>
      </c>
      <c r="AK103" s="87">
        <f t="shared" ca="1" si="210"/>
        <v>-999</v>
      </c>
      <c r="AL103" s="87">
        <f t="shared" ca="1" si="211"/>
        <v>-999</v>
      </c>
      <c r="AM103" s="87">
        <f t="shared" ca="1" si="212"/>
        <v>-999</v>
      </c>
      <c r="AN103" s="87">
        <f t="shared" ca="1" si="213"/>
        <v>-999</v>
      </c>
      <c r="AO103" s="158">
        <f t="shared" si="179"/>
        <v>7.2654999999999976</v>
      </c>
    </row>
    <row r="104" spans="1:41" s="21" customFormat="1" ht="10.199999999999999" x14ac:dyDescent="0.2">
      <c r="A104" s="440"/>
      <c r="B104" s="88">
        <f t="shared" si="146"/>
        <v>17</v>
      </c>
      <c r="C104" s="89" t="str">
        <f t="shared" si="146"/>
        <v>COPD prevalence (%)</v>
      </c>
      <c r="D104" s="90" t="s">
        <v>269</v>
      </c>
      <c r="E104" s="88">
        <f t="shared" ca="1" si="147"/>
        <v>2</v>
      </c>
      <c r="F104" s="110">
        <f t="shared" ref="F104:F114" ca="1" si="214">VLOOKUP($E$84,INDIRECT(D104),4,FALSE)</f>
        <v>2464</v>
      </c>
      <c r="G104" s="92">
        <f t="shared" ref="G104:G114" ca="1" si="215">VLOOKUP($E$84,INDIRECT(D104),5,FALSE)</f>
        <v>2.5313594756469655</v>
      </c>
      <c r="H104" s="92">
        <f t="shared" ref="H104:H114" ca="1" si="216">VLOOKUP($E$84,INDIRECT(D104),6,FALSE)</f>
        <v>2.4345403433253954</v>
      </c>
      <c r="I104" s="92">
        <f t="shared" ref="I104:I114" ca="1" si="217">VLOOKUP($E$84,INDIRECT(D104),7,FALSE)</f>
        <v>2.6319251357073177</v>
      </c>
      <c r="J104" s="93">
        <f t="shared" ref="J104:J114" ca="1" si="218">VLOOKUP($E$84,INDIRECT(D104),11,FALSE)</f>
        <v>1</v>
      </c>
      <c r="K104" s="94">
        <f t="shared" ref="K104:K114" ca="1" si="219">VLOOKUP($E$84,INDIRECT(D104),12,FALSE)</f>
        <v>0.118880363125473</v>
      </c>
      <c r="L104" s="92">
        <f t="shared" ref="L104:L114" ca="1" si="220">VLOOKUP($E$84,INDIRECT(D104),13,FALSE)</f>
        <v>1.5224035522749599</v>
      </c>
      <c r="M104" s="92">
        <f t="shared" ref="M104:M114" ca="1" si="221">VLOOKUP($E$84,INDIRECT(D104),14,FALSE)</f>
        <v>2.04505751615299</v>
      </c>
      <c r="N104" s="92">
        <f t="shared" ref="N104:N114" ca="1" si="222">VLOOKUP($E$84,INDIRECT(D104),17,FALSE)</f>
        <v>2.734375</v>
      </c>
      <c r="O104" s="92">
        <f t="shared" ref="O104:O114" ca="1" si="223">VLOOKUP($E$84,INDIRECT(D104),18,FALSE)</f>
        <v>3.22632682690756</v>
      </c>
      <c r="P104" s="92">
        <f t="shared" ref="P104:P114" ca="1" si="224">VLOOKUP($E$84,INDIRECT(D104),8,FALSE)</f>
        <v>1.74323588160523</v>
      </c>
      <c r="Q104" s="92">
        <f t="shared" ref="Q104:Q114" ca="1" si="225">VLOOKUP($E$84,INDIRECT(D104),9,FALSE)</f>
        <v>2.7418759231905501</v>
      </c>
      <c r="R104" s="92" t="s">
        <v>79</v>
      </c>
      <c r="S104" s="95" t="str">
        <f ca="1">IF(OR(LEFT($Y$84,1)="J",LEFT($Y$84,1)="Y"),(VLOOKUP((LEFT($Y$84,6)),INDIRECT(D27),7,FALSE)),IF(RIGHT($Y$84,8)="Locality",(VLOOKUP($Y$84,INDIRECT(D104),5,FALSE)),IF(LEFT($Y$84,7)="Cluster",(VLOOKUP($Y$84,INDIRECT(#REF!),4,FALSE)),"N/A")))</f>
        <v>N/A</v>
      </c>
      <c r="T104" s="81">
        <f t="shared" ca="1" si="160"/>
        <v>0.118880363125473</v>
      </c>
      <c r="U104" s="82">
        <f t="shared" ca="1" si="161"/>
        <v>3.22632682690756</v>
      </c>
      <c r="V104" s="96"/>
      <c r="W104" s="81">
        <f t="shared" ca="1" si="162"/>
        <v>0.118880363125473</v>
      </c>
      <c r="X104" s="81">
        <f t="shared" ca="1" si="163"/>
        <v>3.9712346691805074</v>
      </c>
      <c r="Y104" s="81">
        <f t="shared" ca="1" si="164"/>
        <v>3.9712346691805074</v>
      </c>
      <c r="Z104" s="81">
        <f t="shared" ca="1" si="165"/>
        <v>0.118880363125473</v>
      </c>
      <c r="AA104" s="97">
        <f t="shared" ca="1" si="166"/>
        <v>0.19336431259765485</v>
      </c>
      <c r="AB104" s="87">
        <f t="shared" ca="1" si="167"/>
        <v>0.32106591733694956</v>
      </c>
      <c r="AC104" s="87">
        <v>0.5</v>
      </c>
      <c r="AD104" s="87">
        <f t="shared" ca="1" si="168"/>
        <v>0.63567131223016948</v>
      </c>
      <c r="AE104" s="87">
        <f t="shared" ca="1" si="169"/>
        <v>1</v>
      </c>
      <c r="AF104" s="180">
        <f t="shared" ca="1" si="180"/>
        <v>0.57834731973467879</v>
      </c>
      <c r="AG104" s="180">
        <f t="shared" ca="1" si="181"/>
        <v>0.31911881626715433</v>
      </c>
      <c r="AH104" s="87">
        <f t="shared" ca="1" si="170"/>
        <v>-999</v>
      </c>
      <c r="AI104" s="87">
        <f t="shared" ca="1" si="171"/>
        <v>-999</v>
      </c>
      <c r="AJ104" s="87">
        <f t="shared" ca="1" si="172"/>
        <v>0.37376499645174954</v>
      </c>
      <c r="AK104" s="87">
        <f t="shared" ca="1" si="173"/>
        <v>-999</v>
      </c>
      <c r="AL104" s="87">
        <f t="shared" ca="1" si="174"/>
        <v>-999</v>
      </c>
      <c r="AM104" s="87">
        <f t="shared" ca="1" si="175"/>
        <v>-999</v>
      </c>
      <c r="AN104" s="87">
        <f t="shared" ca="1" si="178"/>
        <v>-999</v>
      </c>
      <c r="AO104" s="158">
        <f t="shared" si="179"/>
        <v>7.7049999999999974</v>
      </c>
    </row>
    <row r="105" spans="1:41" s="21" customFormat="1" ht="10.199999999999999" x14ac:dyDescent="0.2">
      <c r="A105" s="440"/>
      <c r="B105" s="88">
        <f t="shared" si="146"/>
        <v>18</v>
      </c>
      <c r="C105" s="89" t="str">
        <f t="shared" si="146"/>
        <v>Emergency admissions for COPD (35+ years - DSR per 100,000 registered population)</v>
      </c>
      <c r="D105" s="90" t="s">
        <v>270</v>
      </c>
      <c r="E105" s="88">
        <f t="shared" ca="1" si="147"/>
        <v>2</v>
      </c>
      <c r="F105" s="110">
        <f t="shared" ca="1" si="214"/>
        <v>808</v>
      </c>
      <c r="G105" s="92">
        <f t="shared" ca="1" si="215"/>
        <v>531.75897051310631</v>
      </c>
      <c r="H105" s="92">
        <f t="shared" ca="1" si="216"/>
        <v>495.57367872202798</v>
      </c>
      <c r="I105" s="92">
        <f t="shared" ca="1" si="217"/>
        <v>569.8794142034925</v>
      </c>
      <c r="J105" s="93">
        <f t="shared" ca="1" si="218"/>
        <v>5</v>
      </c>
      <c r="K105" s="94">
        <f t="shared" ca="1" si="219"/>
        <v>96.15384615384616</v>
      </c>
      <c r="L105" s="92">
        <f t="shared" ca="1" si="220"/>
        <v>403.75755942964616</v>
      </c>
      <c r="M105" s="92">
        <f t="shared" ca="1" si="221"/>
        <v>577.58610687892588</v>
      </c>
      <c r="N105" s="92">
        <f t="shared" ca="1" si="222"/>
        <v>648.66912596249256</v>
      </c>
      <c r="O105" s="92">
        <f t="shared" ca="1" si="223"/>
        <v>1138.9916017903447</v>
      </c>
      <c r="P105" s="92">
        <f t="shared" ca="1" si="224"/>
        <v>403.75755942964616</v>
      </c>
      <c r="Q105" s="92">
        <f t="shared" ca="1" si="225"/>
        <v>648.66912596249256</v>
      </c>
      <c r="R105" s="92" t="s">
        <v>79</v>
      </c>
      <c r="S105" s="95" t="str">
        <f ca="1">IF(OR(LEFT($Y$84,1)="J",LEFT($Y$84,1)="Y"),(VLOOKUP((LEFT($Y$84,6)),INDIRECT(D28),7,FALSE)),IF(RIGHT($Y$84,8)="Locality",(VLOOKUP($Y$84,INDIRECT(D105),5,FALSE)),IF(LEFT($Y$84,7)="Cluster",(VLOOKUP($Y$84,INDIRECT(#REF!),4,FALSE)),"N/A")))</f>
        <v>N/A</v>
      </c>
      <c r="T105" s="81">
        <f t="shared" ca="1" si="160"/>
        <v>96.15384615384616</v>
      </c>
      <c r="U105" s="82">
        <f t="shared" ca="1" si="161"/>
        <v>1138.9916017903447</v>
      </c>
      <c r="V105" s="96"/>
      <c r="W105" s="81">
        <f t="shared" ca="1" si="162"/>
        <v>16.180611967507048</v>
      </c>
      <c r="X105" s="81">
        <f t="shared" ca="1" si="163"/>
        <v>1138.9916017903447</v>
      </c>
      <c r="Y105" s="81">
        <f t="shared" ca="1" si="164"/>
        <v>1138.9916017903447</v>
      </c>
      <c r="Z105" s="81">
        <f t="shared" ca="1" si="165"/>
        <v>16.180611967507048</v>
      </c>
      <c r="AA105" s="97">
        <f t="shared" ca="1" si="166"/>
        <v>0</v>
      </c>
      <c r="AB105" s="87">
        <f t="shared" ca="1" si="167"/>
        <v>0.43669191010075303</v>
      </c>
      <c r="AC105" s="87">
        <v>0.5</v>
      </c>
      <c r="AD105" s="87">
        <f t="shared" ca="1" si="168"/>
        <v>0.65481550236403296</v>
      </c>
      <c r="AE105" s="87">
        <f t="shared" ca="1" si="169"/>
        <v>0.92877409028659608</v>
      </c>
      <c r="AF105" s="180">
        <f t="shared" ca="1" si="180"/>
        <v>0.65481550236403296</v>
      </c>
      <c r="AG105" s="180">
        <f t="shared" ca="1" si="181"/>
        <v>0.43669191010075303</v>
      </c>
      <c r="AH105" s="87">
        <f t="shared" ca="1" si="170"/>
        <v>-999</v>
      </c>
      <c r="AI105" s="87">
        <f t="shared" ca="1" si="171"/>
        <v>0.54081464893129549</v>
      </c>
      <c r="AJ105" s="87">
        <f t="shared" ca="1" si="172"/>
        <v>-999</v>
      </c>
      <c r="AK105" s="87">
        <f t="shared" ca="1" si="173"/>
        <v>-999</v>
      </c>
      <c r="AL105" s="87">
        <f t="shared" ca="1" si="174"/>
        <v>-999</v>
      </c>
      <c r="AM105" s="87">
        <f t="shared" ca="1" si="175"/>
        <v>-999</v>
      </c>
      <c r="AN105" s="87">
        <f t="shared" ca="1" si="178"/>
        <v>-999</v>
      </c>
      <c r="AO105" s="158">
        <f t="shared" si="179"/>
        <v>8.1444999999999972</v>
      </c>
    </row>
    <row r="106" spans="1:41" s="21" customFormat="1" ht="10.199999999999999" x14ac:dyDescent="0.2">
      <c r="A106" s="440"/>
      <c r="B106" s="88">
        <f t="shared" ref="B106:C152" si="226">B29</f>
        <v>19</v>
      </c>
      <c r="C106" s="89" t="str">
        <f>C29</f>
        <v>Premature mortality (under 75 years) from respiratory disease (DSR per 100,000 registered population)</v>
      </c>
      <c r="D106" s="90" t="s">
        <v>309</v>
      </c>
      <c r="E106" s="88">
        <f t="shared" ref="E106" ca="1" si="227">IF((INDIRECT(LEFT(D106,(LEN(D106)-10))&amp;"K2"))="Low = Worst",1,IF((INDIRECT(LEFT(D106,(LEN(D106)-10))&amp;"K2"))="High = Worst",2,""))</f>
        <v>2</v>
      </c>
      <c r="F106" s="110">
        <f t="shared" ref="F106" ca="1" si="228">VLOOKUP($E$84,INDIRECT(D106),4,FALSE)</f>
        <v>90</v>
      </c>
      <c r="G106" s="92">
        <f t="shared" ref="G106" ca="1" si="229">VLOOKUP($E$84,INDIRECT(D106),5,FALSE)</f>
        <v>39.332440431653325</v>
      </c>
      <c r="H106" s="92">
        <f t="shared" ref="H106" ca="1" si="230">VLOOKUP($E$84,INDIRECT(D106),6,FALSE)</f>
        <v>31.609242455151506</v>
      </c>
      <c r="I106" s="92">
        <f t="shared" ref="I106" ca="1" si="231">VLOOKUP($E$84,INDIRECT(D106),7,FALSE)</f>
        <v>48.367596322194181</v>
      </c>
      <c r="J106" s="93">
        <f t="shared" ref="J106" ca="1" si="232">VLOOKUP($E$84,INDIRECT(D106),11,FALSE)</f>
        <v>5</v>
      </c>
      <c r="K106" s="94">
        <f t="shared" ref="K106" ca="1" si="233">VLOOKUP($E$84,INDIRECT(D106),12,FALSE)</f>
        <v>12.845815183753546</v>
      </c>
      <c r="L106" s="92">
        <f t="shared" ref="L106" ca="1" si="234">VLOOKUP($E$84,INDIRECT(D106),13,FALSE)</f>
        <v>30.268387331856474</v>
      </c>
      <c r="M106" s="92">
        <f t="shared" ref="M106" ca="1" si="235">VLOOKUP($E$84,INDIRECT(D106),14,FALSE)</f>
        <v>41.764257200581525</v>
      </c>
      <c r="N106" s="92">
        <f t="shared" ref="N106" ca="1" si="236">VLOOKUP($E$84,INDIRECT(D106),17,FALSE)</f>
        <v>56.077590255440079</v>
      </c>
      <c r="O106" s="92">
        <f t="shared" ref="O106" ca="1" si="237">VLOOKUP($E$84,INDIRECT(D106),18,FALSE)</f>
        <v>98.805534872264218</v>
      </c>
      <c r="P106" s="92">
        <f t="shared" ref="P106" ca="1" si="238">VLOOKUP($E$84,INDIRECT(D106),8,FALSE)</f>
        <v>28.847184584551286</v>
      </c>
      <c r="Q106" s="92">
        <f t="shared" ref="Q106" ca="1" si="239">VLOOKUP($E$84,INDIRECT(D106),9,FALSE)</f>
        <v>63.817330855225258</v>
      </c>
      <c r="R106" s="92" t="s">
        <v>79</v>
      </c>
      <c r="S106" s="95" t="str">
        <f ca="1">IF(OR(LEFT($Y$84,1)="J",LEFT($Y$84,1)="Y"),(VLOOKUP((LEFT($Y$84,6)),INDIRECT(D29),7,FALSE)),IF(RIGHT($Y$84,8)="Locality",(VLOOKUP($Y$84,INDIRECT(D106),5,FALSE)),IF(LEFT($Y$84,7)="Cluster",(VLOOKUP($Y$84,INDIRECT(#REF!),4,FALSE)),"N/A")))</f>
        <v>N/A</v>
      </c>
      <c r="T106" s="81">
        <f t="shared" ref="T106" ca="1" si="240">IF($E106=1,O106,K106)</f>
        <v>12.845815183753546</v>
      </c>
      <c r="U106" s="82">
        <f t="shared" ref="U106" ca="1" si="241">IF($E106=1,K106,O106)</f>
        <v>98.805534872264218</v>
      </c>
      <c r="V106" s="96"/>
      <c r="W106" s="81">
        <f t="shared" ref="W106" ca="1" si="242">IF((M106-K106)&gt;(O106-M106),K106,(M106-(O106-M106)))</f>
        <v>-15.277020471101167</v>
      </c>
      <c r="X106" s="81">
        <f t="shared" ref="X106" ca="1" si="243">IF(W106=K106,M106+(M106-K106),O106)</f>
        <v>98.805534872264218</v>
      </c>
      <c r="Y106" s="81">
        <f t="shared" ref="Y106" ca="1" si="244">IF(E106=1,W106,X106)</f>
        <v>98.805534872264218</v>
      </c>
      <c r="Z106" s="81">
        <f t="shared" ref="Z106" ca="1" si="245">IF(E106=1,X106,W106)</f>
        <v>-15.277020471101167</v>
      </c>
      <c r="AA106" s="97">
        <f t="shared" ref="AA106" ca="1" si="246">IF(ISERROR(IF(E106=1,(K106-$Y106)/($Z106-$Y106),(U106-$Y106)/($Z106-$Y106))),"",IF(E106=1,(K106-$Y106)/($Z106-$Y106),(U106-$Y106)/($Z106-$Y106)))</f>
        <v>0</v>
      </c>
      <c r="AB106" s="87">
        <f t="shared" ref="AB106" ca="1" si="247">IF(ISERROR(IF(E106=1,(L106-$Y106)/($Z106-$Y106),(N106-$Y106)/($Z106-$Y106))),"",IF(E106=1,(L106-$Y106)/($Z106-$Y106),(N106-$Y106)/($Z106-$Y106)))</f>
        <v>0.37453530461534351</v>
      </c>
      <c r="AC106" s="87">
        <v>0.5</v>
      </c>
      <c r="AD106" s="87">
        <f t="shared" ref="AD106" ca="1" si="248">IF(ISERROR(IF(E106=1,(N106-$Y106)/($Z106-$Y106),(L106-$Y106)/($Z106-$Y106))),"",IF(E106=1,(N106-$Y106)/($Z106-$Y106),(L106-$Y106)/($Z106-$Y106)))</f>
        <v>0.60076799063734865</v>
      </c>
      <c r="AE106" s="87">
        <f t="shared" ref="AE106" ca="1" si="249">IF(ISERROR(IF(E106=1,(O106-$Y106)/($Z106-$Y106),(K106-$Y106)/($Z106-$Y106))),"",IF(E106=1,(O106-$Y106)/($Z106-$Y106),(K106-$Y106)/($Z106-$Y106)))</f>
        <v>0.75348697642500495</v>
      </c>
      <c r="AF106" s="180">
        <f t="shared" ref="AF106" ca="1" si="250">IF(ISERROR((P106-$Y106)/($Z106-$Y106)),-999,(P106-$Y106)/($Z106-$Y106))</f>
        <v>0.61322565993681033</v>
      </c>
      <c r="AG106" s="180">
        <f t="shared" ref="AG106" ca="1" si="251">IF(ISERROR((Q106-$Y106)/($Z106-$Y106)),-999,(Q106-$Y106)/($Z106-$Y106))</f>
        <v>0.30669197329715797</v>
      </c>
      <c r="AH106" s="87">
        <f t="shared" ref="AH106" ca="1" si="252">IF(G106="",-999,IF(J106=6,(G106-$Y106)/($Z106-$Y106),-999))</f>
        <v>-999</v>
      </c>
      <c r="AI106" s="87">
        <f t="shared" ref="AI106" ca="1" si="253">IF(G106="",-999,IF(J106=5,(G106-$Y106)/($Z106-$Y106),-999))</f>
        <v>0.52131628943276143</v>
      </c>
      <c r="AJ106" s="87">
        <f t="shared" ref="AJ106" ca="1" si="254">IF(G106="",-999,IF(J106=1,(G106-$Y106)/($Z106-$Y106),-999))</f>
        <v>-999</v>
      </c>
      <c r="AK106" s="87">
        <f t="shared" ref="AK106" ca="1" si="255">IF(G106="",-999,IF(J106=2,(G106-$Y106)/($Z106-$Y106),-999))</f>
        <v>-999</v>
      </c>
      <c r="AL106" s="87">
        <f t="shared" ref="AL106" ca="1" si="256">IF(G106="",-999,IF(J106=3,(G106-$Y106)/($Z106-$Y106),-999))</f>
        <v>-999</v>
      </c>
      <c r="AM106" s="87">
        <f t="shared" ref="AM106" ca="1" si="257">IF(G106="",-999,IF(J106=4,(G106-$Y106)/($Z106-$Y106),-999))</f>
        <v>-999</v>
      </c>
      <c r="AN106" s="87">
        <f t="shared" ref="AN106" ca="1" si="258">IF(ISERROR((S106-$Y106)/($Z106-$Y106)),-999,(S106-$Y106)/($Z106-$Y106))</f>
        <v>-999</v>
      </c>
      <c r="AO106" s="158">
        <f t="shared" si="179"/>
        <v>8.5839999999999979</v>
      </c>
    </row>
    <row r="107" spans="1:41" s="21" customFormat="1" ht="10.199999999999999" x14ac:dyDescent="0.2">
      <c r="A107" s="440"/>
      <c r="B107" s="88">
        <f t="shared" si="226"/>
        <v>20</v>
      </c>
      <c r="C107" s="89" t="str">
        <f t="shared" si="226"/>
        <v>Coronary Heart Disease prevalence (%)</v>
      </c>
      <c r="D107" s="90" t="s">
        <v>310</v>
      </c>
      <c r="E107" s="88">
        <f t="shared" ca="1" si="147"/>
        <v>2</v>
      </c>
      <c r="F107" s="110">
        <f t="shared" ca="1" si="214"/>
        <v>2735</v>
      </c>
      <c r="G107" s="92">
        <f t="shared" ca="1" si="215"/>
        <v>2.8097679244701506</v>
      </c>
      <c r="H107" s="92">
        <f t="shared" ca="1" si="216"/>
        <v>2.7078026802543178</v>
      </c>
      <c r="I107" s="92">
        <f t="shared" ca="1" si="217"/>
        <v>2.9154577226550362</v>
      </c>
      <c r="J107" s="93">
        <f t="shared" ca="1" si="218"/>
        <v>1</v>
      </c>
      <c r="K107" s="94">
        <f t="shared" ca="1" si="219"/>
        <v>0.151302280341511</v>
      </c>
      <c r="L107" s="92">
        <f t="shared" ca="1" si="220"/>
        <v>1.87463386057411</v>
      </c>
      <c r="M107" s="92">
        <f t="shared" ca="1" si="221"/>
        <v>2.2549679381008301</v>
      </c>
      <c r="N107" s="92">
        <f t="shared" ca="1" si="222"/>
        <v>2.8996646171045302</v>
      </c>
      <c r="O107" s="92">
        <f t="shared" ca="1" si="223"/>
        <v>3.6466026587887699</v>
      </c>
      <c r="P107" s="92">
        <f t="shared" ca="1" si="224"/>
        <v>2.1015625</v>
      </c>
      <c r="Q107" s="92">
        <f t="shared" ca="1" si="225"/>
        <v>3.6466026587887699</v>
      </c>
      <c r="R107" s="92" t="s">
        <v>79</v>
      </c>
      <c r="S107" s="95" t="str">
        <f ca="1">IF(OR(LEFT($Y$84,1)="J",LEFT($Y$84,1)="Y"),(VLOOKUP((LEFT($Y$84,6)),INDIRECT(D30),7,FALSE)),IF(RIGHT($Y$84,8)="Locality",(VLOOKUP($Y$84,INDIRECT(D107),5,FALSE)),IF(LEFT($Y$84,7)="Cluster",(VLOOKUP($Y$84,INDIRECT(#REF!),4,FALSE)),"N/A")))</f>
        <v>N/A</v>
      </c>
      <c r="T107" s="81">
        <f t="shared" ca="1" si="160"/>
        <v>0.151302280341511</v>
      </c>
      <c r="U107" s="82">
        <f t="shared" ca="1" si="161"/>
        <v>3.6466026587887699</v>
      </c>
      <c r="V107" s="96"/>
      <c r="W107" s="81">
        <f t="shared" ca="1" si="162"/>
        <v>0.151302280341511</v>
      </c>
      <c r="X107" s="81">
        <f t="shared" ca="1" si="163"/>
        <v>4.358633595860149</v>
      </c>
      <c r="Y107" s="81">
        <f t="shared" ca="1" si="164"/>
        <v>4.358633595860149</v>
      </c>
      <c r="Z107" s="81">
        <f t="shared" ca="1" si="165"/>
        <v>0.151302280341511</v>
      </c>
      <c r="AA107" s="97">
        <f t="shared" ca="1" si="166"/>
        <v>0.16923576577985922</v>
      </c>
      <c r="AB107" s="87">
        <f t="shared" ca="1" si="167"/>
        <v>0.34676826457052423</v>
      </c>
      <c r="AC107" s="87">
        <v>0.5</v>
      </c>
      <c r="AD107" s="87">
        <f t="shared" ca="1" si="168"/>
        <v>0.59039793850412192</v>
      </c>
      <c r="AE107" s="87">
        <f t="shared" ca="1" si="169"/>
        <v>1</v>
      </c>
      <c r="AF107" s="180">
        <f t="shared" ca="1" si="180"/>
        <v>0.53646145896212116</v>
      </c>
      <c r="AG107" s="180">
        <f t="shared" ca="1" si="181"/>
        <v>0.16923576577985922</v>
      </c>
      <c r="AH107" s="87">
        <f t="shared" ca="1" si="170"/>
        <v>-999</v>
      </c>
      <c r="AI107" s="87">
        <f t="shared" ca="1" si="171"/>
        <v>-999</v>
      </c>
      <c r="AJ107" s="87">
        <f t="shared" ca="1" si="172"/>
        <v>0.36813494237476513</v>
      </c>
      <c r="AK107" s="87">
        <f t="shared" ca="1" si="173"/>
        <v>-999</v>
      </c>
      <c r="AL107" s="87">
        <f t="shared" ca="1" si="174"/>
        <v>-999</v>
      </c>
      <c r="AM107" s="87">
        <f t="shared" ca="1" si="175"/>
        <v>-999</v>
      </c>
      <c r="AN107" s="87">
        <f t="shared" ca="1" si="178"/>
        <v>-999</v>
      </c>
      <c r="AO107" s="158">
        <f t="shared" si="179"/>
        <v>9.0234999999999985</v>
      </c>
    </row>
    <row r="108" spans="1:41" s="21" customFormat="1" ht="10.199999999999999" x14ac:dyDescent="0.2">
      <c r="A108" s="440"/>
      <c r="B108" s="88">
        <f t="shared" si="226"/>
        <v>21</v>
      </c>
      <c r="C108" s="89" t="str">
        <f t="shared" ref="C108:C117" si="259">C31</f>
        <v>Hypertension prevalence (%)</v>
      </c>
      <c r="D108" s="90" t="s">
        <v>311</v>
      </c>
      <c r="E108" s="88">
        <f t="shared" ca="1" si="147"/>
        <v>2</v>
      </c>
      <c r="F108" s="110">
        <f t="shared" ca="1" si="214"/>
        <v>12470</v>
      </c>
      <c r="G108" s="92">
        <f t="shared" ca="1" si="215"/>
        <v>12.810897995664636</v>
      </c>
      <c r="H108" s="92">
        <f t="shared" ca="1" si="216"/>
        <v>12.602409939204406</v>
      </c>
      <c r="I108" s="92">
        <f t="shared" ca="1" si="217"/>
        <v>13.022321253148119</v>
      </c>
      <c r="J108" s="93">
        <f t="shared" ca="1" si="218"/>
        <v>1</v>
      </c>
      <c r="K108" s="94">
        <f t="shared" ca="1" si="219"/>
        <v>1.24824381281747</v>
      </c>
      <c r="L108" s="92">
        <f t="shared" ca="1" si="220"/>
        <v>9.1677978490132599</v>
      </c>
      <c r="M108" s="92">
        <f t="shared" ca="1" si="221"/>
        <v>10.5262056773447</v>
      </c>
      <c r="N108" s="92">
        <f t="shared" ca="1" si="222"/>
        <v>12.7735135754382</v>
      </c>
      <c r="O108" s="92">
        <f t="shared" ca="1" si="223"/>
        <v>14.9874231414198</v>
      </c>
      <c r="P108" s="92">
        <f t="shared" ca="1" si="224"/>
        <v>10.3359375</v>
      </c>
      <c r="Q108" s="92">
        <f t="shared" ca="1" si="225"/>
        <v>14.9874231414198</v>
      </c>
      <c r="R108" s="92" t="s">
        <v>79</v>
      </c>
      <c r="S108" s="95" t="str">
        <f ca="1">IF(OR(LEFT($Y$84,1)="J",LEFT($Y$84,1)="Y"),(VLOOKUP((LEFT($Y$84,6)),INDIRECT(D31),7,FALSE)),IF(RIGHT($Y$84,8)="Locality",(VLOOKUP($Y$84,INDIRECT(D108),5,FALSE)),IF(LEFT($Y$84,7)="Cluster",(VLOOKUP($Y$84,INDIRECT(#REF!),4,FALSE)),"N/A")))</f>
        <v>N/A</v>
      </c>
      <c r="T108" s="81">
        <f t="shared" ca="1" si="160"/>
        <v>1.24824381281747</v>
      </c>
      <c r="U108" s="82">
        <f t="shared" ca="1" si="161"/>
        <v>14.9874231414198</v>
      </c>
      <c r="V108" s="96"/>
      <c r="W108" s="81">
        <f t="shared" ca="1" si="162"/>
        <v>1.24824381281747</v>
      </c>
      <c r="X108" s="81">
        <f t="shared" ca="1" si="163"/>
        <v>19.80416754187193</v>
      </c>
      <c r="Y108" s="81">
        <f t="shared" ca="1" si="164"/>
        <v>19.80416754187193</v>
      </c>
      <c r="Z108" s="81">
        <f t="shared" ca="1" si="165"/>
        <v>1.24824381281747</v>
      </c>
      <c r="AA108" s="97">
        <f t="shared" ca="1" si="166"/>
        <v>0.2595798770669755</v>
      </c>
      <c r="AB108" s="87">
        <f t="shared" ca="1" si="167"/>
        <v>0.37889000133285128</v>
      </c>
      <c r="AC108" s="87">
        <v>0.5</v>
      </c>
      <c r="AD108" s="87">
        <f t="shared" ca="1" si="168"/>
        <v>0.57320615498135918</v>
      </c>
      <c r="AE108" s="87">
        <f t="shared" ca="1" si="169"/>
        <v>1</v>
      </c>
      <c r="AF108" s="180">
        <f t="shared" ca="1" si="180"/>
        <v>0.51025377017727136</v>
      </c>
      <c r="AG108" s="180">
        <f t="shared" ca="1" si="181"/>
        <v>0.2595798770669755</v>
      </c>
      <c r="AH108" s="87">
        <f t="shared" ca="1" si="170"/>
        <v>-999</v>
      </c>
      <c r="AI108" s="87">
        <f t="shared" ca="1" si="171"/>
        <v>-999</v>
      </c>
      <c r="AJ108" s="87">
        <f t="shared" ca="1" si="172"/>
        <v>0.376875312073922</v>
      </c>
      <c r="AK108" s="87">
        <f t="shared" ca="1" si="173"/>
        <v>-999</v>
      </c>
      <c r="AL108" s="87">
        <f t="shared" ca="1" si="174"/>
        <v>-999</v>
      </c>
      <c r="AM108" s="87">
        <f t="shared" ca="1" si="175"/>
        <v>-999</v>
      </c>
      <c r="AN108" s="87">
        <f t="shared" ca="1" si="178"/>
        <v>-999</v>
      </c>
      <c r="AO108" s="158">
        <f t="shared" si="179"/>
        <v>9.4629999999999992</v>
      </c>
    </row>
    <row r="109" spans="1:41" s="21" customFormat="1" ht="10.199999999999999" x14ac:dyDescent="0.2">
      <c r="A109" s="440"/>
      <c r="B109" s="88">
        <f t="shared" si="226"/>
        <v>22</v>
      </c>
      <c r="C109" s="89" t="str">
        <f t="shared" si="259"/>
        <v>Premature mortality (under 75 years) from circulatory disease (DSR per 100,000 registered population)</v>
      </c>
      <c r="D109" s="90" t="s">
        <v>312</v>
      </c>
      <c r="E109" s="88">
        <f t="shared" ca="1" si="147"/>
        <v>2</v>
      </c>
      <c r="F109" s="110">
        <f t="shared" ca="1" si="214"/>
        <v>177</v>
      </c>
      <c r="G109" s="92">
        <f t="shared" ca="1" si="215"/>
        <v>74.778086438162859</v>
      </c>
      <c r="H109" s="92">
        <f t="shared" ca="1" si="216"/>
        <v>64.130672158200525</v>
      </c>
      <c r="I109" s="92">
        <f t="shared" ca="1" si="217"/>
        <v>86.683111345728136</v>
      </c>
      <c r="J109" s="93">
        <f t="shared" ca="1" si="218"/>
        <v>5</v>
      </c>
      <c r="K109" s="94">
        <f t="shared" ca="1" si="219"/>
        <v>3.1307723615415921</v>
      </c>
      <c r="L109" s="92">
        <f t="shared" ca="1" si="220"/>
        <v>60.261041199073425</v>
      </c>
      <c r="M109" s="92">
        <f t="shared" ca="1" si="221"/>
        <v>74.662565234312666</v>
      </c>
      <c r="N109" s="92">
        <f t="shared" ca="1" si="222"/>
        <v>98.648146892619806</v>
      </c>
      <c r="O109" s="92">
        <f t="shared" ca="1" si="223"/>
        <v>127.60934194505236</v>
      </c>
      <c r="P109" s="92">
        <f t="shared" ca="1" si="224"/>
        <v>49.087004157339244</v>
      </c>
      <c r="Q109" s="92">
        <f t="shared" ca="1" si="225"/>
        <v>104.06215692651784</v>
      </c>
      <c r="R109" s="92" t="s">
        <v>79</v>
      </c>
      <c r="S109" s="95" t="str">
        <f ca="1">IF(OR(LEFT($Y$84,1)="J",LEFT($Y$84,1)="Y"),(VLOOKUP((LEFT($Y$84,6)),INDIRECT(D32),7,FALSE)),IF(RIGHT($Y$84,8)="Locality",(VLOOKUP($Y$84,INDIRECT(D109),5,FALSE)),IF(LEFT($Y$84,7)="Cluster",(VLOOKUP($Y$84,INDIRECT(#REF!),4,FALSE)),"N/A")))</f>
        <v>N/A</v>
      </c>
      <c r="T109" s="81">
        <f t="shared" ca="1" si="160"/>
        <v>3.1307723615415921</v>
      </c>
      <c r="U109" s="82">
        <f t="shared" ca="1" si="161"/>
        <v>127.60934194505236</v>
      </c>
      <c r="V109" s="96"/>
      <c r="W109" s="81">
        <f t="shared" ca="1" si="162"/>
        <v>3.1307723615415921</v>
      </c>
      <c r="X109" s="81">
        <f t="shared" ca="1" si="163"/>
        <v>146.19435810708376</v>
      </c>
      <c r="Y109" s="81">
        <f t="shared" ca="1" si="164"/>
        <v>146.19435810708376</v>
      </c>
      <c r="Z109" s="81">
        <f t="shared" ca="1" si="165"/>
        <v>3.1307723615415921</v>
      </c>
      <c r="AA109" s="97">
        <f t="shared" ca="1" si="166"/>
        <v>0.12990738394525736</v>
      </c>
      <c r="AB109" s="87">
        <f t="shared" ca="1" si="167"/>
        <v>0.33234320925683553</v>
      </c>
      <c r="AC109" s="87">
        <v>0.5</v>
      </c>
      <c r="AD109" s="87">
        <f t="shared" ca="1" si="168"/>
        <v>0.60066519694853948</v>
      </c>
      <c r="AE109" s="87">
        <f t="shared" ca="1" si="169"/>
        <v>1</v>
      </c>
      <c r="AF109" s="180">
        <f t="shared" ca="1" si="180"/>
        <v>0.67877058612568975</v>
      </c>
      <c r="AG109" s="180">
        <f t="shared" ca="1" si="181"/>
        <v>0.29449982650025075</v>
      </c>
      <c r="AH109" s="87">
        <f t="shared" ca="1" si="170"/>
        <v>-999</v>
      </c>
      <c r="AI109" s="87">
        <f t="shared" ca="1" si="171"/>
        <v>0.49919251846479196</v>
      </c>
      <c r="AJ109" s="87">
        <f t="shared" ca="1" si="172"/>
        <v>-999</v>
      </c>
      <c r="AK109" s="87">
        <f t="shared" ca="1" si="173"/>
        <v>-999</v>
      </c>
      <c r="AL109" s="87">
        <f t="shared" ca="1" si="174"/>
        <v>-999</v>
      </c>
      <c r="AM109" s="87">
        <f t="shared" ca="1" si="175"/>
        <v>-999</v>
      </c>
      <c r="AN109" s="87">
        <f t="shared" ca="1" si="178"/>
        <v>-999</v>
      </c>
      <c r="AO109" s="158">
        <f t="shared" si="179"/>
        <v>9.9024999999999999</v>
      </c>
    </row>
    <row r="110" spans="1:41" s="21" customFormat="1" ht="10.199999999999999" x14ac:dyDescent="0.2">
      <c r="A110" s="440"/>
      <c r="B110" s="88">
        <f t="shared" si="226"/>
        <v>23</v>
      </c>
      <c r="C110" s="89" t="str">
        <f t="shared" si="259"/>
        <v>Cancer incidence* (all cancers) (persons) (DSR per 100,000 resident population)</v>
      </c>
      <c r="D110" s="90" t="s">
        <v>313</v>
      </c>
      <c r="E110" s="88">
        <f t="shared" ca="1" si="147"/>
        <v>2</v>
      </c>
      <c r="F110" s="110">
        <f t="shared" ca="1" si="214"/>
        <v>1483</v>
      </c>
      <c r="G110" s="92">
        <f t="shared" ca="1" si="215"/>
        <v>660.61849375100326</v>
      </c>
      <c r="H110" s="92">
        <f t="shared" ca="1" si="216"/>
        <v>627.21251322550972</v>
      </c>
      <c r="I110" s="92">
        <f t="shared" ca="1" si="217"/>
        <v>695.33316749586061</v>
      </c>
      <c r="J110" s="93">
        <f t="shared" ca="1" si="218"/>
        <v>5</v>
      </c>
      <c r="K110" s="94">
        <f t="shared" ca="1" si="219"/>
        <v>538.99964780180619</v>
      </c>
      <c r="L110" s="92">
        <f t="shared" ca="1" si="220"/>
        <v>605.37969342511428</v>
      </c>
      <c r="M110" s="92">
        <f t="shared" ca="1" si="221"/>
        <v>652.18616308014555</v>
      </c>
      <c r="N110" s="92">
        <f t="shared" ca="1" si="222"/>
        <v>673.77651210859142</v>
      </c>
      <c r="O110" s="92">
        <f t="shared" ca="1" si="223"/>
        <v>785.83076374632401</v>
      </c>
      <c r="P110" s="92">
        <f t="shared" ca="1" si="224"/>
        <v>627.43790906407514</v>
      </c>
      <c r="Q110" s="92">
        <f t="shared" ca="1" si="225"/>
        <v>696.0699523637187</v>
      </c>
      <c r="R110" s="92" t="s">
        <v>79</v>
      </c>
      <c r="S110" s="95" t="str">
        <f ca="1">IF(OR(LEFT($Y$84,1)="J",LEFT($Y$84,1)="Y"),(VLOOKUP((LEFT($Y$84,6)),INDIRECT(D33),7,FALSE)),IF(RIGHT($Y$84,8)="Locality",(VLOOKUP($Y$84,INDIRECT(D110),5,FALSE)),IF(LEFT($Y$84,7)="Cluster",(VLOOKUP($Y$84,INDIRECT(#REF!),4,FALSE)),"N/A")))</f>
        <v>N/A</v>
      </c>
      <c r="T110" s="81">
        <f t="shared" ca="1" si="160"/>
        <v>538.99964780180619</v>
      </c>
      <c r="U110" s="82">
        <f t="shared" ca="1" si="161"/>
        <v>785.83076374632401</v>
      </c>
      <c r="V110" s="96"/>
      <c r="W110" s="81">
        <f t="shared" ca="1" si="162"/>
        <v>518.54156241396709</v>
      </c>
      <c r="X110" s="81">
        <f t="shared" ca="1" si="163"/>
        <v>785.83076374632401</v>
      </c>
      <c r="Y110" s="81">
        <f t="shared" ca="1" si="164"/>
        <v>785.83076374632401</v>
      </c>
      <c r="Z110" s="81">
        <f t="shared" ca="1" si="165"/>
        <v>518.54156241396709</v>
      </c>
      <c r="AA110" s="97">
        <f t="shared" ca="1" si="166"/>
        <v>0</v>
      </c>
      <c r="AB110" s="87">
        <f t="shared" ca="1" si="167"/>
        <v>0.41922476134155656</v>
      </c>
      <c r="AC110" s="87">
        <v>0.5</v>
      </c>
      <c r="AD110" s="87">
        <f t="shared" ca="1" si="168"/>
        <v>0.67511545330568901</v>
      </c>
      <c r="AE110" s="87">
        <f t="shared" ca="1" si="169"/>
        <v>0.92346086079848477</v>
      </c>
      <c r="AF110" s="180">
        <f t="shared" ca="1" si="180"/>
        <v>0.59258980120673688</v>
      </c>
      <c r="AG110" s="180">
        <f t="shared" ca="1" si="181"/>
        <v>0.33581907138475647</v>
      </c>
      <c r="AH110" s="87">
        <f t="shared" ca="1" si="170"/>
        <v>-999</v>
      </c>
      <c r="AI110" s="87">
        <f t="shared" ca="1" si="171"/>
        <v>0.46845240799544069</v>
      </c>
      <c r="AJ110" s="87">
        <f t="shared" ca="1" si="172"/>
        <v>-999</v>
      </c>
      <c r="AK110" s="87">
        <f t="shared" ca="1" si="173"/>
        <v>-999</v>
      </c>
      <c r="AL110" s="87">
        <f t="shared" ca="1" si="174"/>
        <v>-999</v>
      </c>
      <c r="AM110" s="87">
        <f t="shared" ca="1" si="175"/>
        <v>-999</v>
      </c>
      <c r="AN110" s="87">
        <f t="shared" ca="1" si="178"/>
        <v>-999</v>
      </c>
      <c r="AO110" s="158">
        <f t="shared" si="179"/>
        <v>10.342000000000001</v>
      </c>
    </row>
    <row r="111" spans="1:41" s="21" customFormat="1" ht="10.199999999999999" x14ac:dyDescent="0.2">
      <c r="A111" s="440"/>
      <c r="B111" s="88">
        <f t="shared" si="226"/>
        <v>24</v>
      </c>
      <c r="C111" s="89" t="str">
        <f t="shared" si="259"/>
        <v>Cancer incidence* (all cancers) (males) (DSR per 100,000 resident population)</v>
      </c>
      <c r="D111" s="90" t="s">
        <v>314</v>
      </c>
      <c r="E111" s="88">
        <f t="shared" ca="1" si="147"/>
        <v>2</v>
      </c>
      <c r="F111" s="110">
        <f t="shared" ca="1" si="214"/>
        <v>743</v>
      </c>
      <c r="G111" s="92">
        <f t="shared" ca="1" si="215"/>
        <v>729.77723876366792</v>
      </c>
      <c r="H111" s="92">
        <f t="shared" ca="1" si="216"/>
        <v>677.64596348288785</v>
      </c>
      <c r="I111" s="92">
        <f t="shared" ca="1" si="217"/>
        <v>784.81945551819888</v>
      </c>
      <c r="J111" s="93">
        <f t="shared" ca="1" si="218"/>
        <v>5</v>
      </c>
      <c r="K111" s="94">
        <f t="shared" ca="1" si="219"/>
        <v>568.97341686204425</v>
      </c>
      <c r="L111" s="92">
        <f t="shared" ca="1" si="220"/>
        <v>708.717306793185</v>
      </c>
      <c r="M111" s="92">
        <f t="shared" ca="1" si="221"/>
        <v>742.59383804112838</v>
      </c>
      <c r="N111" s="92">
        <f t="shared" ca="1" si="222"/>
        <v>753.51350651618009</v>
      </c>
      <c r="O111" s="92">
        <f t="shared" ca="1" si="223"/>
        <v>876.68695192082794</v>
      </c>
      <c r="P111" s="92">
        <f t="shared" ca="1" si="224"/>
        <v>708.717306793185</v>
      </c>
      <c r="Q111" s="92">
        <f t="shared" ca="1" si="225"/>
        <v>775.64983244508687</v>
      </c>
      <c r="R111" s="92" t="s">
        <v>79</v>
      </c>
      <c r="S111" s="95" t="str">
        <f ca="1">IF(OR(LEFT($Y$84,1)="J",LEFT($Y$84,1)="Y"),(VLOOKUP((LEFT($Y$84,6)),INDIRECT(D34),7,FALSE)),IF(RIGHT($Y$84,8)="Locality",(VLOOKUP($Y$84,INDIRECT(D111),5,FALSE)),IF(LEFT($Y$84,7)="Cluster",(VLOOKUP($Y$84,INDIRECT(#REF!),4,FALSE)),"N/A")))</f>
        <v>N/A</v>
      </c>
      <c r="T111" s="81">
        <f t="shared" ca="1" si="160"/>
        <v>568.97341686204425</v>
      </c>
      <c r="U111" s="82">
        <f t="shared" ca="1" si="161"/>
        <v>876.68695192082794</v>
      </c>
      <c r="V111" s="96"/>
      <c r="W111" s="81">
        <f t="shared" ca="1" si="162"/>
        <v>568.97341686204425</v>
      </c>
      <c r="X111" s="81">
        <f t="shared" ca="1" si="163"/>
        <v>916.21425922021251</v>
      </c>
      <c r="Y111" s="81">
        <f t="shared" ca="1" si="164"/>
        <v>916.21425922021251</v>
      </c>
      <c r="Z111" s="81">
        <f t="shared" ca="1" si="165"/>
        <v>568.97341686204425</v>
      </c>
      <c r="AA111" s="97">
        <f t="shared" ca="1" si="166"/>
        <v>0.11383254063936803</v>
      </c>
      <c r="AB111" s="87">
        <f t="shared" ca="1" si="167"/>
        <v>0.468553041166199</v>
      </c>
      <c r="AC111" s="87">
        <v>0.5</v>
      </c>
      <c r="AD111" s="87">
        <f t="shared" ca="1" si="168"/>
        <v>0.59755917828640903</v>
      </c>
      <c r="AE111" s="87">
        <f t="shared" ca="1" si="169"/>
        <v>1</v>
      </c>
      <c r="AF111" s="180">
        <f t="shared" ca="1" si="180"/>
        <v>0.59755917828640903</v>
      </c>
      <c r="AG111" s="180">
        <f t="shared" ca="1" si="181"/>
        <v>0.40480384110500961</v>
      </c>
      <c r="AH111" s="87">
        <f t="shared" ca="1" si="170"/>
        <v>-999</v>
      </c>
      <c r="AI111" s="87">
        <f t="shared" ca="1" si="171"/>
        <v>0.5369098265930381</v>
      </c>
      <c r="AJ111" s="87">
        <f t="shared" ca="1" si="172"/>
        <v>-999</v>
      </c>
      <c r="AK111" s="87">
        <f t="shared" ca="1" si="173"/>
        <v>-999</v>
      </c>
      <c r="AL111" s="87">
        <f t="shared" ca="1" si="174"/>
        <v>-999</v>
      </c>
      <c r="AM111" s="87">
        <f t="shared" ca="1" si="175"/>
        <v>-999</v>
      </c>
      <c r="AN111" s="87">
        <f t="shared" ca="1" si="178"/>
        <v>-999</v>
      </c>
      <c r="AO111" s="158">
        <f t="shared" si="179"/>
        <v>10.781500000000001</v>
      </c>
    </row>
    <row r="112" spans="1:41" s="21" customFormat="1" ht="10.199999999999999" x14ac:dyDescent="0.2">
      <c r="A112" s="440"/>
      <c r="B112" s="88">
        <f t="shared" si="226"/>
        <v>25</v>
      </c>
      <c r="C112" s="89" t="str">
        <f t="shared" si="259"/>
        <v>Cancer incidence* (all cancers) (females) (DSR per 100,000 resident population)</v>
      </c>
      <c r="D112" s="90" t="s">
        <v>315</v>
      </c>
      <c r="E112" s="88">
        <f t="shared" ca="1" si="147"/>
        <v>2</v>
      </c>
      <c r="F112" s="110">
        <f t="shared" ca="1" si="214"/>
        <v>740</v>
      </c>
      <c r="G112" s="92">
        <f t="shared" ca="1" si="215"/>
        <v>610.11984226579921</v>
      </c>
      <c r="H112" s="92">
        <f t="shared" ca="1" si="216"/>
        <v>566.56835068215514</v>
      </c>
      <c r="I112" s="92">
        <f t="shared" ca="1" si="217"/>
        <v>656.10826567175411</v>
      </c>
      <c r="J112" s="93">
        <f t="shared" ca="1" si="218"/>
        <v>5</v>
      </c>
      <c r="K112" s="94">
        <f t="shared" ca="1" si="219"/>
        <v>461.93502392399483</v>
      </c>
      <c r="L112" s="92">
        <f t="shared" ca="1" si="220"/>
        <v>520.12162838408153</v>
      </c>
      <c r="M112" s="92">
        <f t="shared" ca="1" si="221"/>
        <v>587.10505122555446</v>
      </c>
      <c r="N112" s="92">
        <f t="shared" ca="1" si="222"/>
        <v>617.87494574764378</v>
      </c>
      <c r="O112" s="92">
        <f t="shared" ca="1" si="223"/>
        <v>718.04480255815304</v>
      </c>
      <c r="P112" s="92">
        <f t="shared" ca="1" si="224"/>
        <v>565.69288517549217</v>
      </c>
      <c r="Q112" s="92">
        <f t="shared" ca="1" si="225"/>
        <v>633.50858126713149</v>
      </c>
      <c r="R112" s="92" t="s">
        <v>79</v>
      </c>
      <c r="S112" s="95" t="str">
        <f ca="1">IF(OR(LEFT($Y$84,1)="J",LEFT($Y$84,1)="Y"),(VLOOKUP((LEFT($Y$84,6)),INDIRECT(D35),7,FALSE)),IF(RIGHT($Y$84,8)="Locality",(VLOOKUP($Y$84,INDIRECT(D112),5,FALSE)),IF(LEFT($Y$84,7)="Cluster",(VLOOKUP($Y$84,INDIRECT(#REF!),4,FALSE)),"N/A")))</f>
        <v>N/A</v>
      </c>
      <c r="T112" s="81">
        <f t="shared" ca="1" si="160"/>
        <v>461.93502392399483</v>
      </c>
      <c r="U112" s="82">
        <f t="shared" ca="1" si="161"/>
        <v>718.04480255815304</v>
      </c>
      <c r="V112" s="96"/>
      <c r="W112" s="81">
        <f t="shared" ca="1" si="162"/>
        <v>456.16529989295589</v>
      </c>
      <c r="X112" s="81">
        <f t="shared" ca="1" si="163"/>
        <v>718.04480255815304</v>
      </c>
      <c r="Y112" s="81">
        <f t="shared" ca="1" si="164"/>
        <v>718.04480255815304</v>
      </c>
      <c r="Z112" s="81">
        <f t="shared" ca="1" si="165"/>
        <v>456.16529989295589</v>
      </c>
      <c r="AA112" s="97">
        <f t="shared" ca="1" si="166"/>
        <v>0</v>
      </c>
      <c r="AB112" s="87">
        <f t="shared" ca="1" si="167"/>
        <v>0.38250361632377378</v>
      </c>
      <c r="AC112" s="87">
        <v>0.5</v>
      </c>
      <c r="AD112" s="87">
        <f t="shared" ca="1" si="168"/>
        <v>0.75577955571081346</v>
      </c>
      <c r="AE112" s="87">
        <f t="shared" ca="1" si="169"/>
        <v>0.9779680197483217</v>
      </c>
      <c r="AF112" s="180">
        <f t="shared" ca="1" si="180"/>
        <v>0.58176342872254849</v>
      </c>
      <c r="AG112" s="180">
        <f t="shared" ca="1" si="181"/>
        <v>0.32280579591254932</v>
      </c>
      <c r="AH112" s="87">
        <f t="shared" ca="1" si="170"/>
        <v>-999</v>
      </c>
      <c r="AI112" s="87">
        <f t="shared" ca="1" si="171"/>
        <v>0.41211686746759912</v>
      </c>
      <c r="AJ112" s="87">
        <f t="shared" ca="1" si="172"/>
        <v>-999</v>
      </c>
      <c r="AK112" s="87">
        <f t="shared" ca="1" si="173"/>
        <v>-999</v>
      </c>
      <c r="AL112" s="87">
        <f t="shared" ca="1" si="174"/>
        <v>-999</v>
      </c>
      <c r="AM112" s="87">
        <f t="shared" ca="1" si="175"/>
        <v>-999</v>
      </c>
      <c r="AN112" s="87">
        <f t="shared" ca="1" si="178"/>
        <v>-999</v>
      </c>
      <c r="AO112" s="158">
        <f t="shared" si="179"/>
        <v>11.221000000000002</v>
      </c>
    </row>
    <row r="113" spans="1:41" s="21" customFormat="1" ht="10.199999999999999" x14ac:dyDescent="0.2">
      <c r="A113" s="440"/>
      <c r="B113" s="88">
        <f t="shared" si="226"/>
        <v>26</v>
      </c>
      <c r="C113" s="89" t="str">
        <f t="shared" si="259"/>
        <v>Colorectal cancer incidence* (persons) (DSR per 100,000 resident population)</v>
      </c>
      <c r="D113" s="90" t="s">
        <v>316</v>
      </c>
      <c r="E113" s="88">
        <f t="shared" ca="1" si="147"/>
        <v>2</v>
      </c>
      <c r="F113" s="110">
        <f t="shared" ca="1" si="214"/>
        <v>160</v>
      </c>
      <c r="G113" s="92">
        <f t="shared" ca="1" si="215"/>
        <v>71.599078215424043</v>
      </c>
      <c r="H113" s="92">
        <f t="shared" ca="1" si="216"/>
        <v>60.872345910083823</v>
      </c>
      <c r="I113" s="92">
        <f t="shared" ca="1" si="217"/>
        <v>83.662722933766929</v>
      </c>
      <c r="J113" s="93">
        <f t="shared" ca="1" si="218"/>
        <v>5</v>
      </c>
      <c r="K113" s="94">
        <f t="shared" ca="1" si="219"/>
        <v>44.334041733063991</v>
      </c>
      <c r="L113" s="92">
        <f t="shared" ca="1" si="220"/>
        <v>66.242857022666101</v>
      </c>
      <c r="M113" s="92">
        <f t="shared" ca="1" si="221"/>
        <v>72.521498279672301</v>
      </c>
      <c r="N113" s="92">
        <f t="shared" ca="1" si="222"/>
        <v>80.036640937897857</v>
      </c>
      <c r="O113" s="92">
        <f t="shared" ca="1" si="223"/>
        <v>105.12680216602915</v>
      </c>
      <c r="P113" s="92">
        <f t="shared" ca="1" si="224"/>
        <v>68.373665253953078</v>
      </c>
      <c r="Q113" s="92">
        <f t="shared" ca="1" si="225"/>
        <v>78.03899148811486</v>
      </c>
      <c r="R113" s="92" t="s">
        <v>79</v>
      </c>
      <c r="S113" s="95" t="str">
        <f ca="1">IF(OR(LEFT($Y$84,1)="J",LEFT($Y$84,1)="Y"),(VLOOKUP((LEFT($Y$84,6)),INDIRECT(D36),7,FALSE)),IF(RIGHT($Y$84,8)="Locality",(VLOOKUP($Y$84,INDIRECT(D113),5,FALSE)),IF(LEFT($Y$84,7)="Cluster",(VLOOKUP($Y$84,INDIRECT(#REF!),4,FALSE)),"N/A")))</f>
        <v>N/A</v>
      </c>
      <c r="T113" s="81">
        <f t="shared" ca="1" si="160"/>
        <v>44.334041733063991</v>
      </c>
      <c r="U113" s="82">
        <f t="shared" ca="1" si="161"/>
        <v>105.12680216602915</v>
      </c>
      <c r="V113" s="96"/>
      <c r="W113" s="81">
        <f t="shared" ca="1" si="162"/>
        <v>39.91619439331545</v>
      </c>
      <c r="X113" s="81">
        <f t="shared" ca="1" si="163"/>
        <v>105.12680216602915</v>
      </c>
      <c r="Y113" s="81">
        <f t="shared" ca="1" si="164"/>
        <v>105.12680216602915</v>
      </c>
      <c r="Z113" s="81">
        <f t="shared" ca="1" si="165"/>
        <v>39.91619439331545</v>
      </c>
      <c r="AA113" s="97">
        <f t="shared" ca="1" si="166"/>
        <v>0</v>
      </c>
      <c r="AB113" s="87">
        <f t="shared" ca="1" si="167"/>
        <v>0.3847558255488282</v>
      </c>
      <c r="AC113" s="87">
        <v>0.5</v>
      </c>
      <c r="AD113" s="87">
        <f t="shared" ca="1" si="168"/>
        <v>0.59628251401811649</v>
      </c>
      <c r="AE113" s="87">
        <f t="shared" ca="1" si="169"/>
        <v>0.93225262743836723</v>
      </c>
      <c r="AF113" s="180">
        <f t="shared" ca="1" si="180"/>
        <v>0.56360672239363507</v>
      </c>
      <c r="AG113" s="180">
        <f t="shared" ca="1" si="181"/>
        <v>0.4153896367953917</v>
      </c>
      <c r="AH113" s="87">
        <f t="shared" ca="1" si="170"/>
        <v>-999</v>
      </c>
      <c r="AI113" s="87">
        <f t="shared" ca="1" si="171"/>
        <v>0.51414524562419783</v>
      </c>
      <c r="AJ113" s="87">
        <f t="shared" ca="1" si="172"/>
        <v>-999</v>
      </c>
      <c r="AK113" s="87">
        <f t="shared" ca="1" si="173"/>
        <v>-999</v>
      </c>
      <c r="AL113" s="87">
        <f t="shared" ca="1" si="174"/>
        <v>-999</v>
      </c>
      <c r="AM113" s="87">
        <f t="shared" ca="1" si="175"/>
        <v>-999</v>
      </c>
      <c r="AN113" s="87">
        <f t="shared" ca="1" si="178"/>
        <v>-999</v>
      </c>
      <c r="AO113" s="158">
        <f t="shared" si="179"/>
        <v>11.660500000000003</v>
      </c>
    </row>
    <row r="114" spans="1:41" s="21" customFormat="1" ht="10.199999999999999" x14ac:dyDescent="0.2">
      <c r="A114" s="440"/>
      <c r="B114" s="88">
        <f t="shared" si="226"/>
        <v>27</v>
      </c>
      <c r="C114" s="89" t="str">
        <f t="shared" si="259"/>
        <v>Lung cancer incidence* (persons) (DSR per 100,000 resident population)</v>
      </c>
      <c r="D114" s="90" t="s">
        <v>317</v>
      </c>
      <c r="E114" s="88">
        <f t="shared" ca="1" si="147"/>
        <v>2</v>
      </c>
      <c r="F114" s="110">
        <f t="shared" ca="1" si="214"/>
        <v>230</v>
      </c>
      <c r="G114" s="92">
        <f t="shared" ca="1" si="215"/>
        <v>104.90163144519751</v>
      </c>
      <c r="H114" s="92">
        <f t="shared" ca="1" si="216"/>
        <v>91.712819371660473</v>
      </c>
      <c r="I114" s="92">
        <f t="shared" ca="1" si="217"/>
        <v>119.44656702102196</v>
      </c>
      <c r="J114" s="93">
        <f t="shared" ca="1" si="218"/>
        <v>5</v>
      </c>
      <c r="K114" s="94">
        <f t="shared" ca="1" si="219"/>
        <v>51.064235980336264</v>
      </c>
      <c r="L114" s="92">
        <f t="shared" ca="1" si="220"/>
        <v>71.018799599538269</v>
      </c>
      <c r="M114" s="92">
        <f t="shared" ca="1" si="221"/>
        <v>105.35274830777894</v>
      </c>
      <c r="N114" s="92">
        <f t="shared" ca="1" si="222"/>
        <v>116.57854906875946</v>
      </c>
      <c r="O114" s="92">
        <f t="shared" ca="1" si="223"/>
        <v>156.08630055503525</v>
      </c>
      <c r="P114" s="92">
        <f t="shared" ca="1" si="224"/>
        <v>103.99239923086142</v>
      </c>
      <c r="Q114" s="92">
        <f t="shared" ca="1" si="225"/>
        <v>116.57854906875946</v>
      </c>
      <c r="R114" s="92" t="s">
        <v>79</v>
      </c>
      <c r="S114" s="95" t="str">
        <f ca="1">IF(OR(LEFT($Y$84,1)="J",LEFT($Y$84,1)="Y"),(VLOOKUP((LEFT($Y$84,6)),INDIRECT(D37),7,FALSE)),IF(RIGHT($Y$84,8)="Locality",(VLOOKUP($Y$84,INDIRECT(D114),5,FALSE)),IF(LEFT($Y$84,7)="Cluster",(VLOOKUP($Y$84,INDIRECT(#REF!),4,FALSE)),"N/A")))</f>
        <v>N/A</v>
      </c>
      <c r="T114" s="81">
        <f t="shared" ca="1" si="160"/>
        <v>51.064235980336264</v>
      </c>
      <c r="U114" s="82">
        <f t="shared" ca="1" si="161"/>
        <v>156.08630055503525</v>
      </c>
      <c r="V114" s="96"/>
      <c r="W114" s="81">
        <f t="shared" ca="1" si="162"/>
        <v>51.064235980336264</v>
      </c>
      <c r="X114" s="81">
        <f t="shared" ca="1" si="163"/>
        <v>159.64126063522161</v>
      </c>
      <c r="Y114" s="81">
        <f t="shared" ca="1" si="164"/>
        <v>159.64126063522161</v>
      </c>
      <c r="Z114" s="81">
        <f t="shared" ca="1" si="165"/>
        <v>51.064235980336264</v>
      </c>
      <c r="AA114" s="97">
        <f t="shared" ca="1" si="166"/>
        <v>3.2741365786048082E-2</v>
      </c>
      <c r="AB114" s="87">
        <f t="shared" ca="1" si="167"/>
        <v>0.39660979570344651</v>
      </c>
      <c r="AC114" s="87">
        <v>0.5</v>
      </c>
      <c r="AD114" s="87">
        <f t="shared" ca="1" si="168"/>
        <v>0.81621743934660151</v>
      </c>
      <c r="AE114" s="87">
        <f t="shared" ca="1" si="169"/>
        <v>1</v>
      </c>
      <c r="AF114" s="180">
        <f t="shared" ca="1" si="180"/>
        <v>0.51252888519685835</v>
      </c>
      <c r="AG114" s="180">
        <f t="shared" ca="1" si="181"/>
        <v>0.39660979570344651</v>
      </c>
      <c r="AH114" s="87">
        <f t="shared" ca="1" si="170"/>
        <v>-999</v>
      </c>
      <c r="AI114" s="87">
        <f t="shared" ca="1" si="171"/>
        <v>0.50415480958347603</v>
      </c>
      <c r="AJ114" s="87">
        <f t="shared" ca="1" si="172"/>
        <v>-999</v>
      </c>
      <c r="AK114" s="87">
        <f t="shared" ca="1" si="173"/>
        <v>-999</v>
      </c>
      <c r="AL114" s="87">
        <f t="shared" ca="1" si="174"/>
        <v>-999</v>
      </c>
      <c r="AM114" s="87">
        <f t="shared" ca="1" si="175"/>
        <v>-999</v>
      </c>
      <c r="AN114" s="87">
        <f t="shared" ca="1" si="178"/>
        <v>-999</v>
      </c>
      <c r="AO114" s="158">
        <f t="shared" si="179"/>
        <v>12.100000000000003</v>
      </c>
    </row>
    <row r="115" spans="1:41" s="21" customFormat="1" ht="10.199999999999999" x14ac:dyDescent="0.2">
      <c r="A115" s="440"/>
      <c r="B115" s="88">
        <f t="shared" si="226"/>
        <v>28</v>
      </c>
      <c r="C115" s="89" t="str">
        <f t="shared" si="259"/>
        <v>Female breast cancer incidence* (DSR per 100,000 resident population)</v>
      </c>
      <c r="D115" s="90" t="s">
        <v>318</v>
      </c>
      <c r="E115" s="88">
        <f t="shared" ref="E115:E126" ca="1" si="260">IF((INDIRECT(LEFT(D115,(LEN(D115)-10))&amp;"K2"))="Low = Worst",1,IF((INDIRECT(LEFT(D115,(LEN(D115)-10))&amp;"K2"))="High = Worst",2,""))</f>
        <v>2</v>
      </c>
      <c r="F115" s="110">
        <f t="shared" ref="F115:F126" ca="1" si="261">VLOOKUP($E$84,INDIRECT(D115),4,FALSE)</f>
        <v>227</v>
      </c>
      <c r="G115" s="92">
        <f t="shared" ref="G115:G126" ca="1" si="262">VLOOKUP($E$84,INDIRECT(D115),5,FALSE)</f>
        <v>186.77712388547107</v>
      </c>
      <c r="H115" s="92">
        <f t="shared" ref="H115:H126" ca="1" si="263">VLOOKUP($E$84,INDIRECT(D115),6,FALSE)</f>
        <v>163.11296282960089</v>
      </c>
      <c r="I115" s="92">
        <f t="shared" ref="I115:I126" ca="1" si="264">VLOOKUP($E$84,INDIRECT(D115),7,FALSE)</f>
        <v>212.89143310256247</v>
      </c>
      <c r="J115" s="93">
        <f t="shared" ref="J115:J126" ca="1" si="265">VLOOKUP($E$84,INDIRECT(D115),11,FALSE)</f>
        <v>5</v>
      </c>
      <c r="K115" s="94">
        <f t="shared" ref="K115:K126" ca="1" si="266">VLOOKUP($E$84,INDIRECT(D115),12,FALSE)</f>
        <v>120.98080377397729</v>
      </c>
      <c r="L115" s="92">
        <f t="shared" ref="L115:L126" ca="1" si="267">VLOOKUP($E$84,INDIRECT(D115),13,FALSE)</f>
        <v>162.00446089175094</v>
      </c>
      <c r="M115" s="92">
        <f t="shared" ref="M115:M126" ca="1" si="268">VLOOKUP($E$84,INDIRECT(D115),14,FALSE)</f>
        <v>175.67583764175842</v>
      </c>
      <c r="N115" s="92">
        <f t="shared" ref="N115:N126" ca="1" si="269">VLOOKUP($E$84,INDIRECT(D115),17,FALSE)</f>
        <v>184.19484117435195</v>
      </c>
      <c r="O115" s="92">
        <f t="shared" ref="O115:O126" ca="1" si="270">VLOOKUP($E$84,INDIRECT(D115),18,FALSE)</f>
        <v>244.30958277018706</v>
      </c>
      <c r="P115" s="92">
        <f t="shared" ref="P115:P126" ca="1" si="271">VLOOKUP($E$84,INDIRECT(D115),8,FALSE)</f>
        <v>162.00446089175094</v>
      </c>
      <c r="Q115" s="92">
        <f t="shared" ref="Q115:Q126" ca="1" si="272">VLOOKUP($E$84,INDIRECT(D115),9,FALSE)</f>
        <v>241.56164299381712</v>
      </c>
      <c r="R115" s="92" t="s">
        <v>79</v>
      </c>
      <c r="S115" s="95" t="str">
        <f ca="1">IF(OR(LEFT($Y$84,1)="J",LEFT($Y$84,1)="Y"),(VLOOKUP((LEFT($Y$84,6)),INDIRECT(D38),7,FALSE)),IF(RIGHT($Y$84,8)="Locality",(VLOOKUP($Y$84,INDIRECT(D115),5,FALSE)),IF(LEFT($Y$84,7)="Cluster",(VLOOKUP($Y$84,INDIRECT(#REF!),4,FALSE)),"N/A")))</f>
        <v>N/A</v>
      </c>
      <c r="T115" s="81">
        <f t="shared" ref="T115:T126" ca="1" si="273">IF($E115=1,O115,K115)</f>
        <v>120.98080377397729</v>
      </c>
      <c r="U115" s="82">
        <f t="shared" ref="U115:U126" ca="1" si="274">IF($E115=1,K115,O115)</f>
        <v>244.30958277018706</v>
      </c>
      <c r="V115" s="96"/>
      <c r="W115" s="81">
        <f t="shared" ref="W115:W126" ca="1" si="275">IF((M115-K115)&gt;(O115-M115),K115,(M115-(O115-M115)))</f>
        <v>107.04209251332978</v>
      </c>
      <c r="X115" s="81">
        <f t="shared" ref="X115:X126" ca="1" si="276">IF(W115=K115,M115+(M115-K115),O115)</f>
        <v>244.30958277018706</v>
      </c>
      <c r="Y115" s="81">
        <f t="shared" ref="Y115:Y126" ca="1" si="277">IF(E115=1,W115,X115)</f>
        <v>244.30958277018706</v>
      </c>
      <c r="Z115" s="81">
        <f t="shared" ref="Z115:Z126" ca="1" si="278">IF(E115=1,X115,W115)</f>
        <v>107.04209251332978</v>
      </c>
      <c r="AA115" s="97">
        <f t="shared" ref="AA115:AA126" ca="1" si="279">IF(ISERROR(IF(E115=1,(K115-$Y115)/($Z115-$Y115),(U115-$Y115)/($Z115-$Y115))),"",IF(E115=1,(K115-$Y115)/($Z115-$Y115),(U115-$Y115)/($Z115-$Y115)))</f>
        <v>0</v>
      </c>
      <c r="AB115" s="87">
        <f t="shared" ref="AB115:AB126" ca="1" si="280">IF(ISERROR(IF(E115=1,(L115-$Y115)/($Z115-$Y115),(N115-$Y115)/($Z115-$Y115))),"",IF(E115=1,(L115-$Y115)/($Z115-$Y115),(N115-$Y115)/($Z115-$Y115)))</f>
        <v>0.43793866620091454</v>
      </c>
      <c r="AC115" s="87">
        <v>0.5</v>
      </c>
      <c r="AD115" s="87">
        <f t="shared" ref="AD115:AD126" ca="1" si="281">IF(ISERROR(IF(E115=1,(N115-$Y115)/($Z115-$Y115),(L115-$Y115)/($Z115-$Y115))),"",IF(E115=1,(N115-$Y115)/($Z115-$Y115),(L115-$Y115)/($Z115-$Y115)))</f>
        <v>0.59959661041682466</v>
      </c>
      <c r="AE115" s="87">
        <f t="shared" ref="AE115:AE126" ca="1" si="282">IF(ISERROR(IF(E115=1,(O115-$Y115)/($Z115-$Y115),(K115-$Y115)/($Z115-$Y115))),"",IF(E115=1,(O115-$Y115)/($Z115-$Y115),(K115-$Y115)/($Z115-$Y115)))</f>
        <v>0.89845584533843259</v>
      </c>
      <c r="AF115" s="180">
        <f t="shared" ref="AF115:AF126" ca="1" si="283">IF(ISERROR((P115-$Y115)/($Z115-$Y115)),-999,(P115-$Y115)/($Z115-$Y115))</f>
        <v>0.59959661041682466</v>
      </c>
      <c r="AG115" s="180">
        <f t="shared" ref="AG115:AG126" ca="1" si="284">IF(ISERROR((Q115-$Y115)/($Z115-$Y115)),-999,(Q115-$Y115)/($Z115-$Y115))</f>
        <v>2.0018868059931413E-2</v>
      </c>
      <c r="AH115" s="87">
        <f t="shared" ref="AH115:AH126" ca="1" si="285">IF(G115="",-999,IF(J115=6,(G115-$Y115)/($Z115-$Y115),-999))</f>
        <v>-999</v>
      </c>
      <c r="AI115" s="87">
        <f t="shared" ref="AI115:AI126" ca="1" si="286">IF(G115="",-999,IF(J115=5,(G115-$Y115)/($Z115-$Y115),-999))</f>
        <v>0.41912661750470026</v>
      </c>
      <c r="AJ115" s="87">
        <f t="shared" ref="AJ115:AJ126" ca="1" si="287">IF(G115="",-999,IF(J115=1,(G115-$Y115)/($Z115-$Y115),-999))</f>
        <v>-999</v>
      </c>
      <c r="AK115" s="87">
        <f t="shared" ref="AK115:AK126" ca="1" si="288">IF(G115="",-999,IF(J115=2,(G115-$Y115)/($Z115-$Y115),-999))</f>
        <v>-999</v>
      </c>
      <c r="AL115" s="87">
        <f t="shared" ref="AL115:AL126" ca="1" si="289">IF(G115="",-999,IF(J115=3,(G115-$Y115)/($Z115-$Y115),-999))</f>
        <v>-999</v>
      </c>
      <c r="AM115" s="87">
        <f t="shared" ref="AM115:AM126" ca="1" si="290">IF(G115="",-999,IF(J115=4,(G115-$Y115)/($Z115-$Y115),-999))</f>
        <v>-999</v>
      </c>
      <c r="AN115" s="87">
        <f t="shared" ref="AN115:AN126" ca="1" si="291">IF(ISERROR((S115-$Y115)/($Z115-$Y115)),-999,(S115-$Y115)/($Z115-$Y115))</f>
        <v>-999</v>
      </c>
      <c r="AO115" s="158">
        <f t="shared" si="179"/>
        <v>12.539500000000004</v>
      </c>
    </row>
    <row r="116" spans="1:41" s="21" customFormat="1" ht="10.199999999999999" x14ac:dyDescent="0.2">
      <c r="A116" s="440"/>
      <c r="B116" s="88">
        <f t="shared" si="226"/>
        <v>29</v>
      </c>
      <c r="C116" s="89" t="str">
        <f t="shared" si="259"/>
        <v>Premature mortality from all cancers (under 75 years) (DSR per 100,000 registered population)</v>
      </c>
      <c r="D116" s="90" t="s">
        <v>319</v>
      </c>
      <c r="E116" s="88">
        <f t="shared" ca="1" si="260"/>
        <v>2</v>
      </c>
      <c r="F116" s="110">
        <f t="shared" ca="1" si="261"/>
        <v>330</v>
      </c>
      <c r="G116" s="92">
        <f t="shared" ca="1" si="262"/>
        <v>139.56350171296356</v>
      </c>
      <c r="H116" s="92">
        <f t="shared" ca="1" si="263"/>
        <v>124.86084570636335</v>
      </c>
      <c r="I116" s="92">
        <f t="shared" ca="1" si="264"/>
        <v>155.51690929626938</v>
      </c>
      <c r="J116" s="93">
        <f t="shared" ca="1" si="265"/>
        <v>5</v>
      </c>
      <c r="K116" s="94">
        <f t="shared" ca="1" si="266"/>
        <v>50.555753076102455</v>
      </c>
      <c r="L116" s="92">
        <f t="shared" ca="1" si="267"/>
        <v>114.56451429213493</v>
      </c>
      <c r="M116" s="92">
        <f t="shared" ca="1" si="268"/>
        <v>137.75180364641668</v>
      </c>
      <c r="N116" s="92">
        <f t="shared" ca="1" si="269"/>
        <v>159.96841307151342</v>
      </c>
      <c r="O116" s="92">
        <f t="shared" ca="1" si="270"/>
        <v>278.25636653650866</v>
      </c>
      <c r="P116" s="92">
        <f t="shared" ca="1" si="271"/>
        <v>98.558645367258165</v>
      </c>
      <c r="Q116" s="92">
        <f t="shared" ca="1" si="272"/>
        <v>171.0392577418387</v>
      </c>
      <c r="R116" s="92" t="s">
        <v>79</v>
      </c>
      <c r="S116" s="95" t="str">
        <f ca="1">IF(OR(LEFT($Y$84,1)="J",LEFT($Y$84,1)="Y"),(VLOOKUP((LEFT($Y$84,6)),INDIRECT(D39),7,FALSE)),IF(RIGHT($Y$84,8)="Locality",(VLOOKUP($Y$84,INDIRECT(D116),5,FALSE)),IF(LEFT($Y$84,7)="Cluster",(VLOOKUP($Y$84,INDIRECT(#REF!),4,FALSE)),"N/A")))</f>
        <v>N/A</v>
      </c>
      <c r="T116" s="81">
        <f t="shared" ca="1" si="273"/>
        <v>50.555753076102455</v>
      </c>
      <c r="U116" s="82">
        <f t="shared" ca="1" si="274"/>
        <v>278.25636653650866</v>
      </c>
      <c r="V116" s="96"/>
      <c r="W116" s="81">
        <f t="shared" ca="1" si="275"/>
        <v>-2.7527592436753139</v>
      </c>
      <c r="X116" s="81">
        <f t="shared" ca="1" si="276"/>
        <v>278.25636653650866</v>
      </c>
      <c r="Y116" s="81">
        <f t="shared" ca="1" si="277"/>
        <v>278.25636653650866</v>
      </c>
      <c r="Z116" s="81">
        <f t="shared" ca="1" si="278"/>
        <v>-2.7527592436753139</v>
      </c>
      <c r="AA116" s="97">
        <f t="shared" ca="1" si="279"/>
        <v>0</v>
      </c>
      <c r="AB116" s="87">
        <f t="shared" ca="1" si="280"/>
        <v>0.42093990056936648</v>
      </c>
      <c r="AC116" s="87">
        <v>0.5</v>
      </c>
      <c r="AD116" s="87">
        <f t="shared" ca="1" si="281"/>
        <v>0.58251436422182146</v>
      </c>
      <c r="AE116" s="87">
        <f t="shared" ca="1" si="282"/>
        <v>0.81029615258303844</v>
      </c>
      <c r="AF116" s="180">
        <f t="shared" ca="1" si="283"/>
        <v>0.63947290206445773</v>
      </c>
      <c r="AG116" s="180">
        <f t="shared" ca="1" si="284"/>
        <v>0.38154315628361218</v>
      </c>
      <c r="AH116" s="87">
        <f t="shared" ca="1" si="285"/>
        <v>-999</v>
      </c>
      <c r="AI116" s="87">
        <f t="shared" ca="1" si="286"/>
        <v>0.49355288529681396</v>
      </c>
      <c r="AJ116" s="87">
        <f t="shared" ca="1" si="287"/>
        <v>-999</v>
      </c>
      <c r="AK116" s="87">
        <f t="shared" ca="1" si="288"/>
        <v>-999</v>
      </c>
      <c r="AL116" s="87">
        <f t="shared" ca="1" si="289"/>
        <v>-999</v>
      </c>
      <c r="AM116" s="87">
        <f t="shared" ca="1" si="290"/>
        <v>-999</v>
      </c>
      <c r="AN116" s="87">
        <f t="shared" ca="1" si="291"/>
        <v>-999</v>
      </c>
      <c r="AO116" s="158">
        <f t="shared" si="179"/>
        <v>12.979000000000005</v>
      </c>
    </row>
    <row r="117" spans="1:41" s="21" customFormat="1" ht="10.199999999999999" x14ac:dyDescent="0.2">
      <c r="A117" s="440"/>
      <c r="B117" s="88">
        <f t="shared" si="226"/>
        <v>30</v>
      </c>
      <c r="C117" s="89" t="str">
        <f t="shared" si="259"/>
        <v>Osteoporosis prevalence 50+ years (%)</v>
      </c>
      <c r="D117" s="90" t="s">
        <v>320</v>
      </c>
      <c r="E117" s="88">
        <f t="shared" ca="1" si="260"/>
        <v>2</v>
      </c>
      <c r="F117" s="110">
        <f t="shared" ca="1" si="261"/>
        <v>202</v>
      </c>
      <c r="G117" s="92">
        <f t="shared" ca="1" si="262"/>
        <v>0.58773895079868488</v>
      </c>
      <c r="H117" s="92">
        <f t="shared" ca="1" si="263"/>
        <v>0.51226505303880032</v>
      </c>
      <c r="I117" s="92">
        <f t="shared" ca="1" si="264"/>
        <v>0.67425733356486706</v>
      </c>
      <c r="J117" s="93">
        <f t="shared" ca="1" si="265"/>
        <v>5</v>
      </c>
      <c r="K117" s="94">
        <f t="shared" ca="1" si="266"/>
        <v>0.126710593005575</v>
      </c>
      <c r="L117" s="92">
        <f t="shared" ca="1" si="267"/>
        <v>0.19430051813471499</v>
      </c>
      <c r="M117" s="92">
        <f t="shared" ca="1" si="268"/>
        <v>0.48117746957260099</v>
      </c>
      <c r="N117" s="92">
        <f t="shared" ca="1" si="269"/>
        <v>0.57603686635944695</v>
      </c>
      <c r="O117" s="92">
        <f t="shared" ca="1" si="270"/>
        <v>3.0390738060781501</v>
      </c>
      <c r="P117" s="92">
        <f t="shared" ca="1" si="271"/>
        <v>0.126710593005575</v>
      </c>
      <c r="Q117" s="92">
        <f t="shared" ca="1" si="272"/>
        <v>1.55140186915888</v>
      </c>
      <c r="R117" s="92" t="s">
        <v>79</v>
      </c>
      <c r="S117" s="95" t="str">
        <f ca="1">IF(OR(LEFT($Y$84,1)="J",LEFT($Y$84,1)="Y"),(VLOOKUP((LEFT($Y$84,6)),INDIRECT(D40),7,FALSE)),IF(RIGHT($Y$84,8)="Locality",(VLOOKUP($Y$84,INDIRECT(D117),5,FALSE)),IF(LEFT($Y$84,7)="Cluster",(VLOOKUP($Y$84,INDIRECT(#REF!),4,FALSE)),"N/A")))</f>
        <v>N/A</v>
      </c>
      <c r="T117" s="81">
        <f t="shared" ca="1" si="273"/>
        <v>0.126710593005575</v>
      </c>
      <c r="U117" s="82">
        <f t="shared" ca="1" si="274"/>
        <v>3.0390738060781501</v>
      </c>
      <c r="V117" s="96"/>
      <c r="W117" s="81">
        <f t="shared" ca="1" si="275"/>
        <v>-2.0767188669329482</v>
      </c>
      <c r="X117" s="81">
        <f t="shared" ca="1" si="276"/>
        <v>3.0390738060781501</v>
      </c>
      <c r="Y117" s="81">
        <f t="shared" ca="1" si="277"/>
        <v>3.0390738060781501</v>
      </c>
      <c r="Z117" s="81">
        <f t="shared" ca="1" si="278"/>
        <v>-2.0767188669329482</v>
      </c>
      <c r="AA117" s="97">
        <f t="shared" ca="1" si="279"/>
        <v>0</v>
      </c>
      <c r="AB117" s="87">
        <f t="shared" ca="1" si="280"/>
        <v>0.48145753691558169</v>
      </c>
      <c r="AC117" s="87">
        <v>0.5</v>
      </c>
      <c r="AD117" s="87">
        <f t="shared" ca="1" si="281"/>
        <v>0.55607673527336943</v>
      </c>
      <c r="AE117" s="87">
        <f t="shared" ca="1" si="282"/>
        <v>0.56928874941258922</v>
      </c>
      <c r="AF117" s="180">
        <f t="shared" ca="1" si="283"/>
        <v>0.56928874941258922</v>
      </c>
      <c r="AG117" s="180">
        <f t="shared" ca="1" si="284"/>
        <v>0.29079988811267504</v>
      </c>
      <c r="AH117" s="87">
        <f t="shared" ca="1" si="285"/>
        <v>-999</v>
      </c>
      <c r="AI117" s="87">
        <f t="shared" ca="1" si="286"/>
        <v>0.47917009385695786</v>
      </c>
      <c r="AJ117" s="87">
        <f t="shared" ca="1" si="287"/>
        <v>-999</v>
      </c>
      <c r="AK117" s="87">
        <f t="shared" ca="1" si="288"/>
        <v>-999</v>
      </c>
      <c r="AL117" s="87">
        <f t="shared" ca="1" si="289"/>
        <v>-999</v>
      </c>
      <c r="AM117" s="87">
        <f t="shared" ca="1" si="290"/>
        <v>-999</v>
      </c>
      <c r="AN117" s="87">
        <f t="shared" ca="1" si="291"/>
        <v>-999</v>
      </c>
      <c r="AO117" s="158">
        <f t="shared" si="179"/>
        <v>13.418500000000005</v>
      </c>
    </row>
    <row r="118" spans="1:41" s="21" customFormat="1" ht="10.199999999999999" x14ac:dyDescent="0.2">
      <c r="A118" s="440"/>
      <c r="B118" s="88">
        <f t="shared" si="226"/>
        <v>31</v>
      </c>
      <c r="C118" s="89" t="str">
        <f t="shared" ref="C118:C152" si="292">C41</f>
        <v>Rheumatoid arthritus prevalence 16+ years (%)</v>
      </c>
      <c r="D118" s="90" t="s">
        <v>321</v>
      </c>
      <c r="E118" s="88">
        <f t="shared" ca="1" si="260"/>
        <v>2</v>
      </c>
      <c r="F118" s="110">
        <f t="shared" ca="1" si="261"/>
        <v>623</v>
      </c>
      <c r="G118" s="92">
        <f t="shared" ca="1" si="262"/>
        <v>0.79724610974610965</v>
      </c>
      <c r="H118" s="92">
        <f t="shared" ca="1" si="263"/>
        <v>0.7372662342278089</v>
      </c>
      <c r="I118" s="92">
        <f t="shared" ca="1" si="264"/>
        <v>0.86206323602926371</v>
      </c>
      <c r="J118" s="93">
        <f t="shared" ca="1" si="265"/>
        <v>1</v>
      </c>
      <c r="K118" s="94">
        <f t="shared" ca="1" si="266"/>
        <v>0.10103277952402299</v>
      </c>
      <c r="L118" s="92">
        <f t="shared" ca="1" si="267"/>
        <v>0.41883304448295799</v>
      </c>
      <c r="M118" s="92">
        <f t="shared" ca="1" si="268"/>
        <v>0.60064354665713304</v>
      </c>
      <c r="N118" s="92">
        <f t="shared" ca="1" si="269"/>
        <v>0.790447359569458</v>
      </c>
      <c r="O118" s="92">
        <f t="shared" ca="1" si="270"/>
        <v>0.94741828517290405</v>
      </c>
      <c r="P118" s="92">
        <f t="shared" ca="1" si="271"/>
        <v>0.65581184984170104</v>
      </c>
      <c r="Q118" s="92">
        <f t="shared" ca="1" si="272"/>
        <v>0.94236248082401897</v>
      </c>
      <c r="R118" s="92" t="s">
        <v>79</v>
      </c>
      <c r="S118" s="95" t="str">
        <f ca="1">IF(OR(LEFT($Y$84,1)="J",LEFT($Y$84,1)="Y"),(VLOOKUP((LEFT($Y$84,6)),INDIRECT(D41),7,FALSE)),IF(RIGHT($Y$84,8)="Locality",(VLOOKUP($Y$84,INDIRECT(D118),5,FALSE)),IF(LEFT($Y$84,7)="Cluster",(VLOOKUP($Y$84,INDIRECT(#REF!),4,FALSE)),"N/A")))</f>
        <v>N/A</v>
      </c>
      <c r="T118" s="81">
        <f t="shared" ca="1" si="273"/>
        <v>0.10103277952402299</v>
      </c>
      <c r="U118" s="82">
        <f t="shared" ca="1" si="274"/>
        <v>0.94741828517290405</v>
      </c>
      <c r="V118" s="96"/>
      <c r="W118" s="81">
        <f t="shared" ca="1" si="275"/>
        <v>0.10103277952402299</v>
      </c>
      <c r="X118" s="81">
        <f t="shared" ca="1" si="276"/>
        <v>1.1002543137902432</v>
      </c>
      <c r="Y118" s="81">
        <f t="shared" ca="1" si="277"/>
        <v>1.1002543137902432</v>
      </c>
      <c r="Z118" s="81">
        <f t="shared" ca="1" si="278"/>
        <v>0.10103277952402299</v>
      </c>
      <c r="AA118" s="97">
        <f t="shared" ca="1" si="279"/>
        <v>0.15295509892065576</v>
      </c>
      <c r="AB118" s="87">
        <f t="shared" ca="1" si="280"/>
        <v>0.31004831621077139</v>
      </c>
      <c r="AC118" s="87">
        <v>0.5</v>
      </c>
      <c r="AD118" s="87">
        <f t="shared" ca="1" si="281"/>
        <v>0.68195214568477847</v>
      </c>
      <c r="AE118" s="87">
        <f t="shared" ca="1" si="282"/>
        <v>1</v>
      </c>
      <c r="AF118" s="180">
        <f t="shared" ca="1" si="283"/>
        <v>0.44478871672328313</v>
      </c>
      <c r="AG118" s="180">
        <f t="shared" ca="1" si="284"/>
        <v>0.15801484210623254</v>
      </c>
      <c r="AH118" s="87">
        <f t="shared" ca="1" si="285"/>
        <v>-999</v>
      </c>
      <c r="AI118" s="87">
        <f t="shared" ca="1" si="286"/>
        <v>-999</v>
      </c>
      <c r="AJ118" s="87">
        <f t="shared" ca="1" si="287"/>
        <v>0.30324426931676174</v>
      </c>
      <c r="AK118" s="87">
        <f t="shared" ca="1" si="288"/>
        <v>-999</v>
      </c>
      <c r="AL118" s="87">
        <f t="shared" ca="1" si="289"/>
        <v>-999</v>
      </c>
      <c r="AM118" s="87">
        <f t="shared" ca="1" si="290"/>
        <v>-999</v>
      </c>
      <c r="AN118" s="87">
        <f t="shared" ca="1" si="291"/>
        <v>-999</v>
      </c>
      <c r="AO118" s="158">
        <f t="shared" si="179"/>
        <v>13.858000000000006</v>
      </c>
    </row>
    <row r="119" spans="1:41" s="21" customFormat="1" ht="10.199999999999999" x14ac:dyDescent="0.2">
      <c r="A119" s="440"/>
      <c r="B119" s="88">
        <f t="shared" si="226"/>
        <v>32</v>
      </c>
      <c r="C119" s="89" t="str">
        <f t="shared" si="292"/>
        <v>Emergency hospital admissions (all age) (DSR per 1,000 registered population)</v>
      </c>
      <c r="D119" s="90" t="s">
        <v>322</v>
      </c>
      <c r="E119" s="88">
        <f t="shared" ref="E119" ca="1" si="293">IF((INDIRECT(LEFT(D119,(LEN(D119)-10))&amp;"K2"))="Low = Worst",1,IF((INDIRECT(LEFT(D119,(LEN(D119)-10))&amp;"K2"))="High = Worst",2,""))</f>
        <v>2</v>
      </c>
      <c r="F119" s="110">
        <f t="shared" ref="F119" ca="1" si="294">VLOOKUP($E$84,INDIRECT(D119),4,FALSE)</f>
        <v>34542</v>
      </c>
      <c r="G119" s="92">
        <f t="shared" ref="G119" ca="1" si="295">VLOOKUP($E$84,INDIRECT(D119),5,FALSE)</f>
        <v>124.79232994699034</v>
      </c>
      <c r="H119" s="92">
        <f t="shared" ref="H119" ca="1" si="296">VLOOKUP($E$84,INDIRECT(D119),6,FALSE)</f>
        <v>123.4650337287848</v>
      </c>
      <c r="I119" s="92">
        <f t="shared" ref="I119" ca="1" si="297">VLOOKUP($E$84,INDIRECT(D119),7,FALSE)</f>
        <v>126.13021898826079</v>
      </c>
      <c r="J119" s="93">
        <f t="shared" ref="J119" ca="1" si="298">VLOOKUP($E$84,INDIRECT(D119),11,FALSE)</f>
        <v>5</v>
      </c>
      <c r="K119" s="94">
        <f t="shared" ref="K119" ca="1" si="299">VLOOKUP($E$84,INDIRECT(D119),12,FALSE)</f>
        <v>84.667934090288284</v>
      </c>
      <c r="L119" s="92">
        <f t="shared" ref="L119" ca="1" si="300">VLOOKUP($E$84,INDIRECT(D119),13,FALSE)</f>
        <v>120.13165892751665</v>
      </c>
      <c r="M119" s="92">
        <f t="shared" ref="M119" ca="1" si="301">VLOOKUP($E$84,INDIRECT(D119),14,FALSE)</f>
        <v>125.78549810659193</v>
      </c>
      <c r="N119" s="92">
        <f t="shared" ref="N119" ca="1" si="302">VLOOKUP($E$84,INDIRECT(D119),17,FALSE)</f>
        <v>130.87242308301128</v>
      </c>
      <c r="O119" s="92">
        <f t="shared" ref="O119" ca="1" si="303">VLOOKUP($E$84,INDIRECT(D119),18,FALSE)</f>
        <v>163.17724756274475</v>
      </c>
      <c r="P119" s="92">
        <f t="shared" ref="P119" ca="1" si="304">VLOOKUP($E$84,INDIRECT(D119),8,FALSE)</f>
        <v>111.83246477129548</v>
      </c>
      <c r="Q119" s="92">
        <f t="shared" ref="Q119" ca="1" si="305">VLOOKUP($E$84,INDIRECT(D119),9,FALSE)</f>
        <v>131.32153885765155</v>
      </c>
      <c r="R119" s="92" t="s">
        <v>79</v>
      </c>
      <c r="S119" s="95" t="str">
        <f ca="1">IF(OR(LEFT($Y$84,1)="J",LEFT($Y$84,1)="Y"),(VLOOKUP((LEFT($Y$84,6)),INDIRECT(D42),7,FALSE)),IF(RIGHT($Y$84,8)="Locality",(VLOOKUP($Y$84,INDIRECT(D119),5,FALSE)),IF(LEFT($Y$84,7)="Cluster",(VLOOKUP($Y$84,INDIRECT(#REF!),4,FALSE)),"N/A")))</f>
        <v>N/A</v>
      </c>
      <c r="T119" s="81">
        <f t="shared" ref="T119" ca="1" si="306">IF($E119=1,O119,K119)</f>
        <v>84.667934090288284</v>
      </c>
      <c r="U119" s="82">
        <f t="shared" ref="U119" ca="1" si="307">IF($E119=1,K119,O119)</f>
        <v>163.17724756274475</v>
      </c>
      <c r="V119" s="96"/>
      <c r="W119" s="81">
        <f t="shared" ref="W119" ca="1" si="308">IF((M119-K119)&gt;(O119-M119),K119,(M119-(O119-M119)))</f>
        <v>84.667934090288284</v>
      </c>
      <c r="X119" s="81">
        <f t="shared" ref="X119" ca="1" si="309">IF(W119=K119,M119+(M119-K119),O119)</f>
        <v>166.90306212289556</v>
      </c>
      <c r="Y119" s="81">
        <f t="shared" ref="Y119" ca="1" si="310">IF(E119=1,W119,X119)</f>
        <v>166.90306212289556</v>
      </c>
      <c r="Z119" s="81">
        <f t="shared" ref="Z119" ca="1" si="311">IF(E119=1,X119,W119)</f>
        <v>84.667934090288284</v>
      </c>
      <c r="AA119" s="97">
        <f t="shared" ref="AA119" ca="1" si="312">IF(ISERROR(IF(E119=1,(K119-$Y119)/($Z119-$Y119),(U119-$Y119)/($Z119-$Y119))),"",IF(E119=1,(K119-$Y119)/($Z119-$Y119),(U119-$Y119)/($Z119-$Y119)))</f>
        <v>4.530684938769082E-2</v>
      </c>
      <c r="AB119" s="87">
        <f t="shared" ref="AB119" ca="1" si="313">IF(ISERROR(IF(E119=1,(L119-$Y119)/($Z119-$Y119),(N119-$Y119)/($Z119-$Y119))),"",IF(E119=1,(L119-$Y119)/($Z119-$Y119),(N119-$Y119)/($Z119-$Y119)))</f>
        <v>0.43814170296661625</v>
      </c>
      <c r="AC119" s="87">
        <v>0.5</v>
      </c>
      <c r="AD119" s="87">
        <f t="shared" ref="AD119" ca="1" si="314">IF(ISERROR(IF(E119=1,(N119-$Y119)/($Z119-$Y119),(L119-$Y119)/($Z119-$Y119))),"",IF(E119=1,(N119-$Y119)/($Z119-$Y119),(L119-$Y119)/($Z119-$Y119)))</f>
        <v>0.56875211742642939</v>
      </c>
      <c r="AE119" s="87">
        <f t="shared" ref="AE119" ca="1" si="315">IF(ISERROR(IF(E119=1,(O119-$Y119)/($Z119-$Y119),(K119-$Y119)/($Z119-$Y119))),"",IF(E119=1,(O119-$Y119)/($Z119-$Y119),(K119-$Y119)/($Z119-$Y119)))</f>
        <v>1</v>
      </c>
      <c r="AF119" s="180">
        <f t="shared" ref="AF119" ca="1" si="316">IF(ISERROR((P119-$Y119)/($Z119-$Y119)),-999,(P119-$Y119)/($Z119-$Y119))</f>
        <v>0.6696724218604474</v>
      </c>
      <c r="AG119" s="180">
        <f t="shared" ref="AG119" ca="1" si="317">IF(ISERROR((Q119-$Y119)/($Z119-$Y119)),-999,(Q119-$Y119)/($Z119-$Y119))</f>
        <v>0.43268034131515531</v>
      </c>
      <c r="AH119" s="87">
        <f t="shared" ref="AH119" ca="1" si="318">IF(G119="",-999,IF(J119=6,(G119-$Y119)/($Z119-$Y119),-999))</f>
        <v>-999</v>
      </c>
      <c r="AI119" s="87">
        <f t="shared" ref="AI119" ca="1" si="319">IF(G119="",-999,IF(J119=5,(G119-$Y119)/($Z119-$Y119),-999))</f>
        <v>0.5120771765468376</v>
      </c>
      <c r="AJ119" s="87">
        <f t="shared" ref="AJ119" ca="1" si="320">IF(G119="",-999,IF(J119=1,(G119-$Y119)/($Z119-$Y119),-999))</f>
        <v>-999</v>
      </c>
      <c r="AK119" s="87">
        <f t="shared" ref="AK119" ca="1" si="321">IF(G119="",-999,IF(J119=2,(G119-$Y119)/($Z119-$Y119),-999))</f>
        <v>-999</v>
      </c>
      <c r="AL119" s="87">
        <f t="shared" ref="AL119" ca="1" si="322">IF(G119="",-999,IF(J119=3,(G119-$Y119)/($Z119-$Y119),-999))</f>
        <v>-999</v>
      </c>
      <c r="AM119" s="87">
        <f t="shared" ref="AM119" ca="1" si="323">IF(G119="",-999,IF(J119=4,(G119-$Y119)/($Z119-$Y119),-999))</f>
        <v>-999</v>
      </c>
      <c r="AN119" s="87">
        <f t="shared" ref="AN119" ca="1" si="324">IF(ISERROR((S119-$Y119)/($Z119-$Y119)),-999,(S119-$Y119)/($Z119-$Y119))</f>
        <v>-999</v>
      </c>
      <c r="AO119" s="158">
        <f t="shared" si="179"/>
        <v>14.297500000000007</v>
      </c>
    </row>
    <row r="120" spans="1:41" s="21" customFormat="1" ht="10.199999999999999" x14ac:dyDescent="0.2">
      <c r="A120" s="440"/>
      <c r="B120" s="88">
        <f t="shared" si="226"/>
        <v>33</v>
      </c>
      <c r="C120" s="89" t="str">
        <f t="shared" si="292"/>
        <v>Depression prevalence 18+ years (%)</v>
      </c>
      <c r="D120" s="90" t="s">
        <v>323</v>
      </c>
      <c r="E120" s="88">
        <f t="shared" ca="1" si="260"/>
        <v>2</v>
      </c>
      <c r="F120" s="110">
        <f t="shared" ca="1" si="261"/>
        <v>8731</v>
      </c>
      <c r="G120" s="92">
        <f t="shared" ca="1" si="262"/>
        <v>11.456501771421072</v>
      </c>
      <c r="H120" s="92">
        <f t="shared" ca="1" si="263"/>
        <v>11.232317962120707</v>
      </c>
      <c r="I120" s="92">
        <f t="shared" ca="1" si="264"/>
        <v>11.684571049775787</v>
      </c>
      <c r="J120" s="93">
        <f t="shared" ca="1" si="265"/>
        <v>1</v>
      </c>
      <c r="K120" s="94">
        <f t="shared" ca="1" si="266"/>
        <v>3.7056643726839602</v>
      </c>
      <c r="L120" s="92">
        <f t="shared" ca="1" si="267"/>
        <v>6.9166853806422601</v>
      </c>
      <c r="M120" s="92">
        <f t="shared" ca="1" si="268"/>
        <v>10.0511965914753</v>
      </c>
      <c r="N120" s="92">
        <f t="shared" ca="1" si="269"/>
        <v>12.953890489913499</v>
      </c>
      <c r="O120" s="92">
        <f t="shared" ca="1" si="270"/>
        <v>17.0999914755775</v>
      </c>
      <c r="P120" s="92">
        <f t="shared" ca="1" si="271"/>
        <v>3.7056643726839602</v>
      </c>
      <c r="Q120" s="92">
        <f t="shared" ca="1" si="272"/>
        <v>15.7616790792146</v>
      </c>
      <c r="R120" s="92" t="s">
        <v>79</v>
      </c>
      <c r="S120" s="95" t="str">
        <f ca="1">IF(OR(LEFT($Y$84,1)="J",LEFT($Y$84,1)="Y"),(VLOOKUP((LEFT($Y$84,6)),INDIRECT(D43),7,FALSE)),IF(RIGHT($Y$84,8)="Locality",(VLOOKUP($Y$84,INDIRECT(D120),5,FALSE)),IF(LEFT($Y$84,7)="Cluster",(VLOOKUP($Y$84,INDIRECT(#REF!),4,FALSE)),"N/A")))</f>
        <v>N/A</v>
      </c>
      <c r="T120" s="81">
        <f t="shared" ca="1" si="273"/>
        <v>3.7056643726839602</v>
      </c>
      <c r="U120" s="82">
        <f t="shared" ca="1" si="274"/>
        <v>17.0999914755775</v>
      </c>
      <c r="V120" s="96"/>
      <c r="W120" s="81">
        <f t="shared" ca="1" si="275"/>
        <v>3.0024017073730995</v>
      </c>
      <c r="X120" s="81">
        <f t="shared" ca="1" si="276"/>
        <v>17.0999914755775</v>
      </c>
      <c r="Y120" s="81">
        <f t="shared" ca="1" si="277"/>
        <v>17.0999914755775</v>
      </c>
      <c r="Z120" s="81">
        <f t="shared" ca="1" si="278"/>
        <v>3.0024017073730995</v>
      </c>
      <c r="AA120" s="97">
        <f t="shared" ca="1" si="279"/>
        <v>0</v>
      </c>
      <c r="AB120" s="87">
        <f t="shared" ca="1" si="280"/>
        <v>0.29409998828417366</v>
      </c>
      <c r="AC120" s="87">
        <v>0.5</v>
      </c>
      <c r="AD120" s="87">
        <f t="shared" ca="1" si="281"/>
        <v>0.7223437667268906</v>
      </c>
      <c r="AE120" s="87">
        <f t="shared" ca="1" si="282"/>
        <v>0.95011468790948972</v>
      </c>
      <c r="AF120" s="180">
        <f t="shared" ca="1" si="283"/>
        <v>0.95011468790948972</v>
      </c>
      <c r="AG120" s="180">
        <f t="shared" ca="1" si="284"/>
        <v>9.4932000318332418E-2</v>
      </c>
      <c r="AH120" s="87">
        <f t="shared" ca="1" si="285"/>
        <v>-999</v>
      </c>
      <c r="AI120" s="87">
        <f t="shared" ca="1" si="286"/>
        <v>-999</v>
      </c>
      <c r="AJ120" s="87">
        <f t="shared" ca="1" si="287"/>
        <v>0.40031592612268468</v>
      </c>
      <c r="AK120" s="87">
        <f t="shared" ca="1" si="288"/>
        <v>-999</v>
      </c>
      <c r="AL120" s="87">
        <f t="shared" ca="1" si="289"/>
        <v>-999</v>
      </c>
      <c r="AM120" s="87">
        <f t="shared" ca="1" si="290"/>
        <v>-999</v>
      </c>
      <c r="AN120" s="87">
        <f t="shared" ca="1" si="291"/>
        <v>-999</v>
      </c>
      <c r="AO120" s="158">
        <f t="shared" si="179"/>
        <v>14.737000000000007</v>
      </c>
    </row>
    <row r="121" spans="1:41" s="21" customFormat="1" ht="10.199999999999999" x14ac:dyDescent="0.2">
      <c r="A121" s="440"/>
      <c r="B121" s="88">
        <f t="shared" si="226"/>
        <v>34</v>
      </c>
      <c r="C121" s="89" t="str">
        <f t="shared" si="292"/>
        <v>Mental health prevalence (%) (schizophrenia, bipolar affective disorder and other psychoses)</v>
      </c>
      <c r="D121" s="90" t="s">
        <v>324</v>
      </c>
      <c r="E121" s="88">
        <f t="shared" ca="1" si="260"/>
        <v>2</v>
      </c>
      <c r="F121" s="110">
        <f t="shared" ca="1" si="261"/>
        <v>1046</v>
      </c>
      <c r="G121" s="92">
        <f t="shared" ca="1" si="262"/>
        <v>1.0745949722105221</v>
      </c>
      <c r="H121" s="92">
        <f t="shared" ca="1" si="263"/>
        <v>1.0117271766516613</v>
      </c>
      <c r="I121" s="92">
        <f t="shared" ca="1" si="264"/>
        <v>1.1413242726501405</v>
      </c>
      <c r="J121" s="93">
        <f t="shared" ca="1" si="265"/>
        <v>5</v>
      </c>
      <c r="K121" s="94">
        <f t="shared" ca="1" si="266"/>
        <v>0.35664108937641797</v>
      </c>
      <c r="L121" s="92">
        <f t="shared" ca="1" si="267"/>
        <v>0.87161794080261501</v>
      </c>
      <c r="M121" s="92">
        <f t="shared" ca="1" si="268"/>
        <v>1.1283556900717999</v>
      </c>
      <c r="N121" s="92">
        <f t="shared" ca="1" si="269"/>
        <v>1.2448422966641</v>
      </c>
      <c r="O121" s="92">
        <f t="shared" ca="1" si="270"/>
        <v>2.2130725681935099</v>
      </c>
      <c r="P121" s="92">
        <f t="shared" ca="1" si="271"/>
        <v>0.77901248711192606</v>
      </c>
      <c r="Q121" s="92">
        <f t="shared" ca="1" si="272"/>
        <v>1.2646730016769201</v>
      </c>
      <c r="R121" s="92" t="s">
        <v>79</v>
      </c>
      <c r="S121" s="95" t="str">
        <f ca="1">IF(OR(LEFT($Y$84,1)="J",LEFT($Y$84,1)="Y"),(VLOOKUP((LEFT($Y$84,6)),INDIRECT(D44),7,FALSE)),IF(RIGHT($Y$84,8)="Locality",(VLOOKUP($Y$84,INDIRECT(D121),5,FALSE)),IF(LEFT($Y$84,7)="Cluster",(VLOOKUP($Y$84,INDIRECT(#REF!),4,FALSE)),"N/A")))</f>
        <v>N/A</v>
      </c>
      <c r="T121" s="81">
        <f t="shared" ca="1" si="273"/>
        <v>0.35664108937641797</v>
      </c>
      <c r="U121" s="82">
        <f t="shared" ca="1" si="274"/>
        <v>2.2130725681935099</v>
      </c>
      <c r="V121" s="96"/>
      <c r="W121" s="81">
        <f t="shared" ca="1" si="275"/>
        <v>4.3638811950089895E-2</v>
      </c>
      <c r="X121" s="81">
        <f t="shared" ca="1" si="276"/>
        <v>2.2130725681935099</v>
      </c>
      <c r="Y121" s="81">
        <f t="shared" ca="1" si="277"/>
        <v>2.2130725681935099</v>
      </c>
      <c r="Z121" s="81">
        <f t="shared" ca="1" si="278"/>
        <v>4.3638811950089895E-2</v>
      </c>
      <c r="AA121" s="97">
        <f t="shared" ca="1" si="279"/>
        <v>0</v>
      </c>
      <c r="AB121" s="87">
        <f t="shared" ca="1" si="280"/>
        <v>0.44630552499837212</v>
      </c>
      <c r="AC121" s="87">
        <v>0.5</v>
      </c>
      <c r="AD121" s="87">
        <f t="shared" ca="1" si="281"/>
        <v>0.61834320754451177</v>
      </c>
      <c r="AE121" s="87">
        <f t="shared" ca="1" si="282"/>
        <v>0.8557216709081169</v>
      </c>
      <c r="AF121" s="180">
        <f t="shared" ca="1" si="283"/>
        <v>0.66102967050941186</v>
      </c>
      <c r="AG121" s="180">
        <f t="shared" ca="1" si="284"/>
        <v>0.43716456600123782</v>
      </c>
      <c r="AH121" s="87">
        <f t="shared" ca="1" si="285"/>
        <v>-999</v>
      </c>
      <c r="AI121" s="87">
        <f t="shared" ca="1" si="286"/>
        <v>0.5247809907569474</v>
      </c>
      <c r="AJ121" s="87">
        <f t="shared" ca="1" si="287"/>
        <v>-999</v>
      </c>
      <c r="AK121" s="87">
        <f t="shared" ca="1" si="288"/>
        <v>-999</v>
      </c>
      <c r="AL121" s="87">
        <f t="shared" ca="1" si="289"/>
        <v>-999</v>
      </c>
      <c r="AM121" s="87">
        <f t="shared" ca="1" si="290"/>
        <v>-999</v>
      </c>
      <c r="AN121" s="87">
        <f t="shared" ca="1" si="291"/>
        <v>-999</v>
      </c>
      <c r="AO121" s="158">
        <f t="shared" si="179"/>
        <v>15.176500000000008</v>
      </c>
    </row>
    <row r="122" spans="1:41" s="21" customFormat="1" ht="10.199999999999999" x14ac:dyDescent="0.2">
      <c r="A122" s="440"/>
      <c r="B122" s="88">
        <f t="shared" si="226"/>
        <v>35</v>
      </c>
      <c r="C122" s="89" t="str">
        <f t="shared" si="292"/>
        <v>Learning disability prevalence (%)</v>
      </c>
      <c r="D122" s="90" t="s">
        <v>325</v>
      </c>
      <c r="E122" s="88">
        <f t="shared" ca="1" si="260"/>
        <v>2</v>
      </c>
      <c r="F122" s="110">
        <f t="shared" ca="1" si="261"/>
        <v>489</v>
      </c>
      <c r="G122" s="92">
        <f t="shared" ca="1" si="262"/>
        <v>0.50236801282117138</v>
      </c>
      <c r="H122" s="92">
        <f t="shared" ca="1" si="263"/>
        <v>0.45986507241449603</v>
      </c>
      <c r="I122" s="92">
        <f t="shared" ca="1" si="264"/>
        <v>0.54877762190837953</v>
      </c>
      <c r="J122" s="93">
        <f t="shared" ca="1" si="265"/>
        <v>5</v>
      </c>
      <c r="K122" s="94">
        <f t="shared" ca="1" si="266"/>
        <v>3.2421917216038001E-2</v>
      </c>
      <c r="L122" s="92">
        <f t="shared" ca="1" si="267"/>
        <v>0.26348951769962198</v>
      </c>
      <c r="M122" s="92">
        <f t="shared" ca="1" si="268"/>
        <v>0.46026869928762998</v>
      </c>
      <c r="N122" s="92">
        <f t="shared" ca="1" si="269"/>
        <v>0.62884292901062</v>
      </c>
      <c r="O122" s="92">
        <f t="shared" ca="1" si="270"/>
        <v>0.93798124037519304</v>
      </c>
      <c r="P122" s="92">
        <f t="shared" ca="1" si="271"/>
        <v>0.1328125</v>
      </c>
      <c r="Q122" s="92">
        <f t="shared" ca="1" si="272"/>
        <v>0.75958634574906203</v>
      </c>
      <c r="R122" s="92" t="s">
        <v>79</v>
      </c>
      <c r="S122" s="95" t="str">
        <f ca="1">IF(OR(LEFT($Y$84,1)="J",LEFT($Y$84,1)="Y"),(VLOOKUP((LEFT($Y$84,6)),INDIRECT(D45),7,FALSE)),IF(RIGHT($Y$84,8)="Locality",(VLOOKUP($Y$84,INDIRECT(D122),5,FALSE)),IF(LEFT($Y$84,7)="Cluster",(VLOOKUP($Y$84,INDIRECT(#REF!),4,FALSE)),"N/A")))</f>
        <v>N/A</v>
      </c>
      <c r="T122" s="81">
        <f t="shared" ca="1" si="273"/>
        <v>3.2421917216038001E-2</v>
      </c>
      <c r="U122" s="82">
        <f t="shared" ca="1" si="274"/>
        <v>0.93798124037519304</v>
      </c>
      <c r="V122" s="96"/>
      <c r="W122" s="81">
        <f t="shared" ca="1" si="275"/>
        <v>-1.744384179993308E-2</v>
      </c>
      <c r="X122" s="81">
        <f t="shared" ca="1" si="276"/>
        <v>0.93798124037519304</v>
      </c>
      <c r="Y122" s="81">
        <f t="shared" ca="1" si="277"/>
        <v>0.93798124037519304</v>
      </c>
      <c r="Z122" s="81">
        <f t="shared" ca="1" si="278"/>
        <v>-1.744384179993308E-2</v>
      </c>
      <c r="AA122" s="97">
        <f t="shared" ca="1" si="279"/>
        <v>0</v>
      </c>
      <c r="AB122" s="87">
        <f t="shared" ca="1" si="280"/>
        <v>0.32356101711375113</v>
      </c>
      <c r="AC122" s="87">
        <v>0.5</v>
      </c>
      <c r="AD122" s="87">
        <f t="shared" ca="1" si="281"/>
        <v>0.70595982380954403</v>
      </c>
      <c r="AE122" s="87">
        <f t="shared" ca="1" si="282"/>
        <v>0.94780777692956686</v>
      </c>
      <c r="AF122" s="180">
        <f t="shared" ca="1" si="283"/>
        <v>0.84273351767376814</v>
      </c>
      <c r="AG122" s="180">
        <f t="shared" ca="1" si="284"/>
        <v>0.18671782639408649</v>
      </c>
      <c r="AH122" s="87">
        <f t="shared" ca="1" si="285"/>
        <v>-999</v>
      </c>
      <c r="AI122" s="87">
        <f t="shared" ca="1" si="286"/>
        <v>0.45593656235432101</v>
      </c>
      <c r="AJ122" s="87">
        <f t="shared" ca="1" si="287"/>
        <v>-999</v>
      </c>
      <c r="AK122" s="87">
        <f t="shared" ca="1" si="288"/>
        <v>-999</v>
      </c>
      <c r="AL122" s="87">
        <f t="shared" ca="1" si="289"/>
        <v>-999</v>
      </c>
      <c r="AM122" s="87">
        <f t="shared" ca="1" si="290"/>
        <v>-999</v>
      </c>
      <c r="AN122" s="87">
        <f t="shared" ca="1" si="291"/>
        <v>-999</v>
      </c>
      <c r="AO122" s="158">
        <f t="shared" si="179"/>
        <v>15.616000000000009</v>
      </c>
    </row>
    <row r="123" spans="1:41" s="21" customFormat="1" ht="10.199999999999999" x14ac:dyDescent="0.2">
      <c r="A123" s="440"/>
      <c r="B123" s="88">
        <f t="shared" si="226"/>
        <v>36</v>
      </c>
      <c r="C123" s="89" t="str">
        <f t="shared" si="292"/>
        <v>Dementia prevalence (all ages) (%)</v>
      </c>
      <c r="D123" s="90" t="s">
        <v>326</v>
      </c>
      <c r="E123" s="88">
        <f t="shared" ca="1" si="260"/>
        <v>2</v>
      </c>
      <c r="F123" s="110">
        <f t="shared" ca="1" si="261"/>
        <v>643</v>
      </c>
      <c r="G123" s="92">
        <f t="shared" ca="1" si="262"/>
        <v>0.66057798004910673</v>
      </c>
      <c r="H123" s="92">
        <f t="shared" ca="1" si="263"/>
        <v>0.61159941768896653</v>
      </c>
      <c r="I123" s="92">
        <f t="shared" ca="1" si="264"/>
        <v>0.71345072415052391</v>
      </c>
      <c r="J123" s="93">
        <f t="shared" ca="1" si="265"/>
        <v>1</v>
      </c>
      <c r="K123" s="94">
        <f t="shared" ca="1" si="266"/>
        <v>1.6210958608019001E-2</v>
      </c>
      <c r="L123" s="92">
        <f t="shared" ca="1" si="267"/>
        <v>0.39054872095293902</v>
      </c>
      <c r="M123" s="92">
        <f t="shared" ca="1" si="268"/>
        <v>0.56348046821879505</v>
      </c>
      <c r="N123" s="92">
        <f t="shared" ca="1" si="269"/>
        <v>0.68559445071785796</v>
      </c>
      <c r="O123" s="92">
        <f t="shared" ca="1" si="270"/>
        <v>2.6638869585360201</v>
      </c>
      <c r="P123" s="92">
        <f t="shared" ca="1" si="271"/>
        <v>0.43580897040130701</v>
      </c>
      <c r="Q123" s="92">
        <f t="shared" ca="1" si="272"/>
        <v>1.0620458356623801</v>
      </c>
      <c r="R123" s="92" t="s">
        <v>79</v>
      </c>
      <c r="S123" s="95" t="str">
        <f ca="1">IF(OR(LEFT($Y$84,1)="J",LEFT($Y$84,1)="Y"),(VLOOKUP((LEFT($Y$84,6)),INDIRECT(D46),7,FALSE)),IF(RIGHT($Y$84,8)="Locality",(VLOOKUP($Y$84,INDIRECT(D123),5,FALSE)),IF(LEFT($Y$84,7)="Cluster",(VLOOKUP($Y$84,INDIRECT(#REF!),4,FALSE)),"N/A")))</f>
        <v>N/A</v>
      </c>
      <c r="T123" s="81">
        <f t="shared" ca="1" si="273"/>
        <v>1.6210958608019001E-2</v>
      </c>
      <c r="U123" s="82">
        <f t="shared" ca="1" si="274"/>
        <v>2.6638869585360201</v>
      </c>
      <c r="V123" s="96"/>
      <c r="W123" s="81">
        <f t="shared" ca="1" si="275"/>
        <v>-1.53692602209843</v>
      </c>
      <c r="X123" s="81">
        <f t="shared" ca="1" si="276"/>
        <v>2.6638869585360201</v>
      </c>
      <c r="Y123" s="81">
        <f t="shared" ca="1" si="277"/>
        <v>2.6638869585360201</v>
      </c>
      <c r="Z123" s="81">
        <f t="shared" ca="1" si="278"/>
        <v>-1.53692602209843</v>
      </c>
      <c r="AA123" s="97">
        <f t="shared" ca="1" si="279"/>
        <v>0</v>
      </c>
      <c r="AB123" s="87">
        <f t="shared" ca="1" si="280"/>
        <v>0.47093086908129389</v>
      </c>
      <c r="AC123" s="87">
        <v>0.5</v>
      </c>
      <c r="AD123" s="87">
        <f t="shared" ca="1" si="281"/>
        <v>0.54116625711810151</v>
      </c>
      <c r="AE123" s="87">
        <f t="shared" ca="1" si="282"/>
        <v>0.63027704687965469</v>
      </c>
      <c r="AF123" s="180">
        <f t="shared" ca="1" si="283"/>
        <v>0.53039209277014887</v>
      </c>
      <c r="AG123" s="180">
        <f t="shared" ca="1" si="284"/>
        <v>0.38131693323603122</v>
      </c>
      <c r="AH123" s="87">
        <f t="shared" ca="1" si="285"/>
        <v>-999</v>
      </c>
      <c r="AI123" s="87">
        <f t="shared" ca="1" si="286"/>
        <v>-999</v>
      </c>
      <c r="AJ123" s="87">
        <f t="shared" ca="1" si="287"/>
        <v>0.47688601890207283</v>
      </c>
      <c r="AK123" s="87">
        <f t="shared" ca="1" si="288"/>
        <v>-999</v>
      </c>
      <c r="AL123" s="87">
        <f t="shared" ca="1" si="289"/>
        <v>-999</v>
      </c>
      <c r="AM123" s="87">
        <f t="shared" ca="1" si="290"/>
        <v>-999</v>
      </c>
      <c r="AN123" s="87">
        <f t="shared" ca="1" si="291"/>
        <v>-999</v>
      </c>
      <c r="AO123" s="158">
        <f t="shared" si="179"/>
        <v>16.055500000000009</v>
      </c>
    </row>
    <row r="124" spans="1:41" s="21" customFormat="1" ht="10.199999999999999" x14ac:dyDescent="0.2">
      <c r="A124" s="440"/>
      <c r="B124" s="88">
        <f t="shared" si="226"/>
        <v>37</v>
      </c>
      <c r="C124" s="89" t="str">
        <f t="shared" si="292"/>
        <v>Emergency admissions for intentional self-harm (all ages) (DSR per 100,000 registered population)</v>
      </c>
      <c r="D124" s="90" t="s">
        <v>327</v>
      </c>
      <c r="E124" s="88">
        <f t="shared" ca="1" si="260"/>
        <v>2</v>
      </c>
      <c r="F124" s="110">
        <f t="shared" ca="1" si="261"/>
        <v>935</v>
      </c>
      <c r="G124" s="92">
        <f t="shared" ca="1" si="262"/>
        <v>320.80300218877915</v>
      </c>
      <c r="H124" s="92">
        <f t="shared" ca="1" si="263"/>
        <v>300.47187337833486</v>
      </c>
      <c r="I124" s="92">
        <f t="shared" ca="1" si="264"/>
        <v>342.14281607345168</v>
      </c>
      <c r="J124" s="93">
        <f t="shared" ca="1" si="265"/>
        <v>5</v>
      </c>
      <c r="K124" s="94">
        <f t="shared" ca="1" si="266"/>
        <v>73.523761865252311</v>
      </c>
      <c r="L124" s="92">
        <f t="shared" ca="1" si="267"/>
        <v>211.23557809174056</v>
      </c>
      <c r="M124" s="92">
        <f t="shared" ca="1" si="268"/>
        <v>290.20054734741814</v>
      </c>
      <c r="N124" s="92">
        <f t="shared" ca="1" si="269"/>
        <v>331.01909403215228</v>
      </c>
      <c r="O124" s="92">
        <f t="shared" ca="1" si="270"/>
        <v>492.10422820753524</v>
      </c>
      <c r="P124" s="92">
        <f t="shared" ca="1" si="271"/>
        <v>145.54438811249003</v>
      </c>
      <c r="Q124" s="92">
        <f t="shared" ca="1" si="272"/>
        <v>489.94712425848331</v>
      </c>
      <c r="R124" s="92" t="s">
        <v>79</v>
      </c>
      <c r="S124" s="95" t="str">
        <f ca="1">IF(OR(LEFT($Y$84,1)="J",LEFT($Y$84,1)="Y"),(VLOOKUP((LEFT($Y$84,6)),INDIRECT(D47),7,FALSE)),IF(RIGHT($Y$84,8)="Locality",(VLOOKUP($Y$84,INDIRECT(D124),5,FALSE)),IF(LEFT($Y$84,7)="Cluster",(VLOOKUP($Y$84,INDIRECT(#REF!),4,FALSE)),"N/A")))</f>
        <v>N/A</v>
      </c>
      <c r="T124" s="81">
        <f t="shared" ca="1" si="273"/>
        <v>73.523761865252311</v>
      </c>
      <c r="U124" s="82">
        <f t="shared" ca="1" si="274"/>
        <v>492.10422820753524</v>
      </c>
      <c r="V124" s="96"/>
      <c r="W124" s="81">
        <f t="shared" ca="1" si="275"/>
        <v>73.523761865252311</v>
      </c>
      <c r="X124" s="81">
        <f t="shared" ca="1" si="276"/>
        <v>506.87733282958396</v>
      </c>
      <c r="Y124" s="81">
        <f t="shared" ca="1" si="277"/>
        <v>506.87733282958396</v>
      </c>
      <c r="Z124" s="81">
        <f t="shared" ca="1" si="278"/>
        <v>73.523761865252311</v>
      </c>
      <c r="AA124" s="97">
        <f t="shared" ca="1" si="279"/>
        <v>3.4090187809401165E-2</v>
      </c>
      <c r="AB124" s="87">
        <f t="shared" ca="1" si="280"/>
        <v>0.40580775279201792</v>
      </c>
      <c r="AC124" s="87">
        <v>0.5</v>
      </c>
      <c r="AD124" s="87">
        <f t="shared" ca="1" si="281"/>
        <v>0.6822183421264042</v>
      </c>
      <c r="AE124" s="87">
        <f t="shared" ca="1" si="282"/>
        <v>1</v>
      </c>
      <c r="AF124" s="180">
        <f t="shared" ca="1" si="283"/>
        <v>0.83380631642893377</v>
      </c>
      <c r="AG124" s="180">
        <f t="shared" ca="1" si="284"/>
        <v>3.9067887529866778E-2</v>
      </c>
      <c r="AH124" s="87">
        <f t="shared" ca="1" si="285"/>
        <v>-999</v>
      </c>
      <c r="AI124" s="87">
        <f t="shared" ca="1" si="286"/>
        <v>0.42938224837224237</v>
      </c>
      <c r="AJ124" s="87">
        <f t="shared" ca="1" si="287"/>
        <v>-999</v>
      </c>
      <c r="AK124" s="87">
        <f t="shared" ca="1" si="288"/>
        <v>-999</v>
      </c>
      <c r="AL124" s="87">
        <f t="shared" ca="1" si="289"/>
        <v>-999</v>
      </c>
      <c r="AM124" s="87">
        <f t="shared" ca="1" si="290"/>
        <v>-999</v>
      </c>
      <c r="AN124" s="87">
        <f t="shared" ca="1" si="291"/>
        <v>-999</v>
      </c>
      <c r="AO124" s="158">
        <f t="shared" si="179"/>
        <v>16.495000000000008</v>
      </c>
    </row>
    <row r="125" spans="1:41" s="21" customFormat="1" ht="10.199999999999999" x14ac:dyDescent="0.2">
      <c r="A125" s="440"/>
      <c r="B125" s="88">
        <f t="shared" si="226"/>
        <v>38</v>
      </c>
      <c r="C125" s="89" t="str">
        <f t="shared" si="292"/>
        <v>Drug related mental health and behavioural admissions (DSR per 100,000 registered population)</v>
      </c>
      <c r="D125" s="90" t="s">
        <v>328</v>
      </c>
      <c r="E125" s="88">
        <f t="shared" ca="1" si="260"/>
        <v>2</v>
      </c>
      <c r="F125" s="110">
        <f t="shared" ca="1" si="261"/>
        <v>433</v>
      </c>
      <c r="G125" s="92">
        <f t="shared" ca="1" si="262"/>
        <v>147.50493055819391</v>
      </c>
      <c r="H125" s="92">
        <f t="shared" ca="1" si="263"/>
        <v>133.85737988108212</v>
      </c>
      <c r="I125" s="92">
        <f t="shared" ca="1" si="264"/>
        <v>162.16017062079044</v>
      </c>
      <c r="J125" s="93">
        <f t="shared" ca="1" si="265"/>
        <v>2</v>
      </c>
      <c r="K125" s="94">
        <f t="shared" ca="1" si="266"/>
        <v>20.460780963236843</v>
      </c>
      <c r="L125" s="92">
        <f t="shared" ca="1" si="267"/>
        <v>122.09624583832638</v>
      </c>
      <c r="M125" s="92">
        <f t="shared" ca="1" si="268"/>
        <v>190.10606641164873</v>
      </c>
      <c r="N125" s="92">
        <f t="shared" ca="1" si="269"/>
        <v>211.06475128261931</v>
      </c>
      <c r="O125" s="92">
        <f t="shared" ca="1" si="270"/>
        <v>304.38187960556934</v>
      </c>
      <c r="P125" s="92">
        <f t="shared" ca="1" si="271"/>
        <v>86.044809111084533</v>
      </c>
      <c r="Q125" s="92">
        <f t="shared" ca="1" si="272"/>
        <v>211.06475128261931</v>
      </c>
      <c r="R125" s="92" t="s">
        <v>79</v>
      </c>
      <c r="S125" s="95" t="str">
        <f ca="1">IF(OR(LEFT($Y$84,1)="J",LEFT($Y$84,1)="Y"),(VLOOKUP((LEFT($Y$84,6)),INDIRECT(D48),7,FALSE)),IF(RIGHT($Y$84,8)="Locality",(VLOOKUP($Y$84,INDIRECT(D125),5,FALSE)),IF(LEFT($Y$84,7)="Cluster",(VLOOKUP($Y$84,INDIRECT(#REF!),4,FALSE)),"N/A")))</f>
        <v>N/A</v>
      </c>
      <c r="T125" s="81">
        <f t="shared" ca="1" si="273"/>
        <v>20.460780963236843</v>
      </c>
      <c r="U125" s="82">
        <f t="shared" ca="1" si="274"/>
        <v>304.38187960556934</v>
      </c>
      <c r="V125" s="96"/>
      <c r="W125" s="81">
        <f t="shared" ca="1" si="275"/>
        <v>20.460780963236843</v>
      </c>
      <c r="X125" s="81">
        <f t="shared" ca="1" si="276"/>
        <v>359.75135186006059</v>
      </c>
      <c r="Y125" s="81">
        <f t="shared" ca="1" si="277"/>
        <v>359.75135186006059</v>
      </c>
      <c r="Z125" s="81">
        <f t="shared" ca="1" si="278"/>
        <v>20.460780963236843</v>
      </c>
      <c r="AA125" s="97">
        <f t="shared" ca="1" si="279"/>
        <v>0.16319189804814466</v>
      </c>
      <c r="AB125" s="87">
        <f t="shared" ca="1" si="280"/>
        <v>0.43822791828381225</v>
      </c>
      <c r="AC125" s="87">
        <v>0.5</v>
      </c>
      <c r="AD125" s="87">
        <f t="shared" ca="1" si="281"/>
        <v>0.70044712823452948</v>
      </c>
      <c r="AE125" s="87">
        <f t="shared" ca="1" si="282"/>
        <v>1</v>
      </c>
      <c r="AF125" s="180">
        <f t="shared" ca="1" si="283"/>
        <v>0.80670247341535639</v>
      </c>
      <c r="AG125" s="180">
        <f t="shared" ca="1" si="284"/>
        <v>0.43822791828381225</v>
      </c>
      <c r="AH125" s="87">
        <f t="shared" ca="1" si="285"/>
        <v>-999</v>
      </c>
      <c r="AI125" s="87">
        <f t="shared" ca="1" si="286"/>
        <v>-999</v>
      </c>
      <c r="AJ125" s="87">
        <f t="shared" ca="1" si="287"/>
        <v>-999</v>
      </c>
      <c r="AK125" s="87">
        <f t="shared" ca="1" si="288"/>
        <v>0.62555944522964524</v>
      </c>
      <c r="AL125" s="87">
        <f t="shared" ca="1" si="289"/>
        <v>-999</v>
      </c>
      <c r="AM125" s="87">
        <f t="shared" ca="1" si="290"/>
        <v>-999</v>
      </c>
      <c r="AN125" s="87">
        <f t="shared" ca="1" si="291"/>
        <v>-999</v>
      </c>
      <c r="AO125" s="158">
        <f t="shared" si="179"/>
        <v>16.934500000000007</v>
      </c>
    </row>
    <row r="126" spans="1:41" s="21" customFormat="1" ht="10.199999999999999" x14ac:dyDescent="0.2">
      <c r="A126" s="440"/>
      <c r="B126" s="88">
        <f t="shared" si="226"/>
        <v>39</v>
      </c>
      <c r="C126" s="89" t="str">
        <f t="shared" si="292"/>
        <v>Mortality from suicide and injury undetermined (DSR per 100,000 registered population)</v>
      </c>
      <c r="D126" s="90" t="s">
        <v>329</v>
      </c>
      <c r="E126" s="88">
        <f t="shared" ca="1" si="260"/>
        <v>2</v>
      </c>
      <c r="F126" s="110">
        <f t="shared" ca="1" si="261"/>
        <v>29</v>
      </c>
      <c r="G126" s="92">
        <f t="shared" ca="1" si="262"/>
        <v>10.231008827837405</v>
      </c>
      <c r="H126" s="92">
        <f t="shared" ca="1" si="263"/>
        <v>6.8338556280817748</v>
      </c>
      <c r="I126" s="92">
        <f t="shared" ca="1" si="264"/>
        <v>14.715874390650688</v>
      </c>
      <c r="J126" s="93">
        <f t="shared" ca="1" si="265"/>
        <v>5</v>
      </c>
      <c r="K126" s="94">
        <f t="shared" ca="1" si="266"/>
        <v>2.176848027564807</v>
      </c>
      <c r="L126" s="92">
        <f t="shared" ca="1" si="267"/>
        <v>5.311621368322399</v>
      </c>
      <c r="M126" s="92">
        <f t="shared" ca="1" si="268"/>
        <v>10.144808778604332</v>
      </c>
      <c r="N126" s="92">
        <f t="shared" ca="1" si="269"/>
        <v>16.911821398281489</v>
      </c>
      <c r="O126" s="92">
        <f t="shared" ca="1" si="270"/>
        <v>23.858184065065792</v>
      </c>
      <c r="P126" s="92">
        <f t="shared" ca="1" si="271"/>
        <v>3.8064165307232192</v>
      </c>
      <c r="Q126" s="92">
        <f t="shared" ca="1" si="272"/>
        <v>14.152708199516047</v>
      </c>
      <c r="R126" s="92" t="s">
        <v>79</v>
      </c>
      <c r="S126" s="95" t="str">
        <f ca="1">IF(OR(LEFT($Y$84,1)="J",LEFT($Y$84,1)="Y"),(VLOOKUP((LEFT($Y$84,6)),INDIRECT(D49),7,FALSE)),IF(RIGHT($Y$84,8)="Locality",(VLOOKUP($Y$84,INDIRECT(D126),5,FALSE)),IF(LEFT($Y$84,7)="Cluster",(VLOOKUP($Y$84,INDIRECT(#REF!),4,FALSE)),"N/A")))</f>
        <v>N/A</v>
      </c>
      <c r="T126" s="81">
        <f t="shared" ca="1" si="273"/>
        <v>2.176848027564807</v>
      </c>
      <c r="U126" s="82">
        <f t="shared" ca="1" si="274"/>
        <v>23.858184065065792</v>
      </c>
      <c r="V126" s="96"/>
      <c r="W126" s="81">
        <f t="shared" ca="1" si="275"/>
        <v>-3.5685665078571276</v>
      </c>
      <c r="X126" s="81">
        <f t="shared" ca="1" si="276"/>
        <v>23.858184065065792</v>
      </c>
      <c r="Y126" s="81">
        <f t="shared" ca="1" si="277"/>
        <v>23.858184065065792</v>
      </c>
      <c r="Z126" s="81">
        <f t="shared" ca="1" si="278"/>
        <v>-3.5685665078571276</v>
      </c>
      <c r="AA126" s="97">
        <f t="shared" ca="1" si="279"/>
        <v>0</v>
      </c>
      <c r="AB126" s="87">
        <f t="shared" ca="1" si="280"/>
        <v>0.25326961895522926</v>
      </c>
      <c r="AC126" s="87">
        <v>0.5</v>
      </c>
      <c r="AD126" s="87">
        <f t="shared" ca="1" si="281"/>
        <v>0.67622165620500085</v>
      </c>
      <c r="AE126" s="87">
        <f t="shared" ca="1" si="282"/>
        <v>0.79051785518135342</v>
      </c>
      <c r="AF126" s="180">
        <f t="shared" ca="1" si="283"/>
        <v>0.7311025591977599</v>
      </c>
      <c r="AG126" s="180">
        <f t="shared" ca="1" si="284"/>
        <v>0.35386896598430745</v>
      </c>
      <c r="AH126" s="87">
        <f t="shared" ca="1" si="285"/>
        <v>-999</v>
      </c>
      <c r="AI126" s="87">
        <f t="shared" ca="1" si="286"/>
        <v>0.49685708122790989</v>
      </c>
      <c r="AJ126" s="87">
        <f t="shared" ca="1" si="287"/>
        <v>-999</v>
      </c>
      <c r="AK126" s="87">
        <f t="shared" ca="1" si="288"/>
        <v>-999</v>
      </c>
      <c r="AL126" s="87">
        <f t="shared" ca="1" si="289"/>
        <v>-999</v>
      </c>
      <c r="AM126" s="87">
        <f t="shared" ca="1" si="290"/>
        <v>-999</v>
      </c>
      <c r="AN126" s="87">
        <f t="shared" ca="1" si="291"/>
        <v>-999</v>
      </c>
      <c r="AO126" s="158">
        <f t="shared" si="179"/>
        <v>17.374000000000006</v>
      </c>
    </row>
    <row r="127" spans="1:41" s="21" customFormat="1" ht="10.199999999999999" x14ac:dyDescent="0.2">
      <c r="A127" s="440"/>
      <c r="B127" s="88">
        <f t="shared" si="226"/>
        <v>40</v>
      </c>
      <c r="C127" s="89" t="str">
        <f t="shared" si="292"/>
        <v>Estimated smoking prevalence 15+ years (%)</v>
      </c>
      <c r="D127" s="90" t="s">
        <v>330</v>
      </c>
      <c r="E127" s="88">
        <f t="shared" ref="E127:E152" ca="1" si="325">IF((INDIRECT(LEFT(D127,(LEN(D127)-10))&amp;"K2"))="Low = Worst",1,IF((INDIRECT(LEFT(D127,(LEN(D127)-10))&amp;"K2"))="High = Worst",2,""))</f>
        <v>2</v>
      </c>
      <c r="F127" s="110">
        <f t="shared" ref="F127:F152" ca="1" si="326">VLOOKUP($E$84,INDIRECT(D127),4,FALSE)</f>
        <v>17254</v>
      </c>
      <c r="G127" s="92">
        <f t="shared" ref="G127:G152" ca="1" si="327">VLOOKUP($E$84,INDIRECT(D127),5,FALSE)</f>
        <v>21.796637148018544</v>
      </c>
      <c r="H127" s="92">
        <f t="shared" ref="H127:H152" ca="1" si="328">VLOOKUP($E$84,INDIRECT(D127),6,FALSE)</f>
        <v>21.472603602059099</v>
      </c>
      <c r="I127" s="92">
        <f t="shared" ref="I127:I152" ca="1" si="329">VLOOKUP($E$84,INDIRECT(D127),7,FALSE)</f>
        <v>22.124336422699773</v>
      </c>
      <c r="J127" s="93">
        <f t="shared" ref="J127:J152" ca="1" si="330">VLOOKUP($E$84,INDIRECT(D127),11,FALSE)</f>
        <v>1</v>
      </c>
      <c r="K127" s="94">
        <f t="shared" ref="K127:K152" ca="1" si="331">VLOOKUP($E$84,INDIRECT(D127),12,FALSE)</f>
        <v>6.7466771353261201</v>
      </c>
      <c r="L127" s="92">
        <f t="shared" ref="L127:L152" ca="1" si="332">VLOOKUP($E$84,INDIRECT(D127),13,FALSE)</f>
        <v>18.5221248512388</v>
      </c>
      <c r="M127" s="92">
        <f t="shared" ref="M127:M152" ca="1" si="333">VLOOKUP($E$84,INDIRECT(D127),14,FALSE)</f>
        <v>20.548931776930399</v>
      </c>
      <c r="N127" s="92">
        <f t="shared" ref="N127:N152" ca="1" si="334">VLOOKUP($E$84,INDIRECT(D127),17,FALSE)</f>
        <v>23.1010531032938</v>
      </c>
      <c r="O127" s="92">
        <f t="shared" ref="O127:O152" ca="1" si="335">VLOOKUP($E$84,INDIRECT(D127),18,FALSE)</f>
        <v>27.1110659485825</v>
      </c>
      <c r="P127" s="92">
        <f t="shared" ref="P127:P152" ca="1" si="336">VLOOKUP($E$84,INDIRECT(D127),8,FALSE)</f>
        <v>17.5083426028921</v>
      </c>
      <c r="Q127" s="92">
        <f t="shared" ref="Q127:Q152" ca="1" si="337">VLOOKUP($E$84,INDIRECT(D127),9,FALSE)</f>
        <v>27.1110659485825</v>
      </c>
      <c r="R127" s="92" t="s">
        <v>79</v>
      </c>
      <c r="S127" s="95" t="str">
        <f ca="1">IF(OR(LEFT($Y$84,1)="J",LEFT($Y$84,1)="Y"),(VLOOKUP((LEFT($Y$84,6)),INDIRECT(D50),7,FALSE)),IF(RIGHT($Y$84,8)="Locality",(VLOOKUP($Y$84,INDIRECT(D127),5,FALSE)),IF(LEFT($Y$84,7)="Cluster",(VLOOKUP($Y$84,INDIRECT(#REF!),4,FALSE)),"N/A")))</f>
        <v>N/A</v>
      </c>
      <c r="T127" s="81">
        <f t="shared" ref="T127:T152" ca="1" si="338">IF($E127=1,O127,K127)</f>
        <v>6.7466771353261201</v>
      </c>
      <c r="U127" s="82">
        <f t="shared" ref="U127:U152" ca="1" si="339">IF($E127=1,K127,O127)</f>
        <v>27.1110659485825</v>
      </c>
      <c r="V127" s="96"/>
      <c r="W127" s="81">
        <f t="shared" ref="W127:W152" ca="1" si="340">IF((M127-K127)&gt;(O127-M127),K127,(M127-(O127-M127)))</f>
        <v>6.7466771353261201</v>
      </c>
      <c r="X127" s="81">
        <f t="shared" ref="X127:X152" ca="1" si="341">IF(W127=K127,M127+(M127-K127),O127)</f>
        <v>34.351186418534681</v>
      </c>
      <c r="Y127" s="81">
        <f t="shared" ref="Y127:Y152" ca="1" si="342">IF(E127=1,W127,X127)</f>
        <v>34.351186418534681</v>
      </c>
      <c r="Z127" s="81">
        <f t="shared" ref="Z127:Z152" ca="1" si="343">IF(E127=1,X127,W127)</f>
        <v>6.7466771353261201</v>
      </c>
      <c r="AA127" s="97">
        <f t="shared" ref="AA127:AA152" ca="1" si="344">IF(ISERROR(IF(E127=1,(K127-$Y127)/($Z127-$Y127),(U127-$Y127)/($Z127-$Y127))),"",IF(E127=1,(K127-$Y127)/($Z127-$Y127),(U127-$Y127)/($Z127-$Y127)))</f>
        <v>0.26228035411432749</v>
      </c>
      <c r="AB127" s="87">
        <f t="shared" ref="AB127:AB152" ca="1" si="345">IF(ISERROR(IF(E127=1,(L127-$Y127)/($Z127-$Y127),(N127-$Y127)/($Z127-$Y127))),"",IF(E127=1,(L127-$Y127)/($Z127-$Y127),(N127-$Y127)/($Z127-$Y127)))</f>
        <v>0.40754694096606092</v>
      </c>
      <c r="AC127" s="87">
        <v>0.5</v>
      </c>
      <c r="AD127" s="87">
        <f t="shared" ref="AD127:AD152" ca="1" si="346">IF(ISERROR(IF(E127=1,(N127-$Y127)/($Z127-$Y127),(L127-$Y127)/($Z127-$Y127))),"",IF(E127=1,(N127-$Y127)/($Z127-$Y127),(L127-$Y127)/($Z127-$Y127)))</f>
        <v>0.57342303769639835</v>
      </c>
      <c r="AE127" s="87">
        <f t="shared" ref="AE127:AE152" ca="1" si="347">IF(ISERROR(IF(E127=1,(O127-$Y127)/($Z127-$Y127),(K127-$Y127)/($Z127-$Y127))),"",IF(E127=1,(O127-$Y127)/($Z127-$Y127),(K127-$Y127)/($Z127-$Y127)))</f>
        <v>1</v>
      </c>
      <c r="AF127" s="180">
        <f t="shared" ref="AF127:AF152" ca="1" si="348">IF(ISERROR((P127-$Y127)/($Z127-$Y127)),-999,(P127-$Y127)/($Z127-$Y127))</f>
        <v>0.61014827841507213</v>
      </c>
      <c r="AG127" s="180">
        <f t="shared" ref="AG127:AG152" ca="1" si="349">IF(ISERROR((Q127-$Y127)/($Z127-$Y127)),-999,(Q127-$Y127)/($Z127-$Y127))</f>
        <v>0.26228035411432749</v>
      </c>
      <c r="AH127" s="87">
        <f t="shared" ref="AH127:AH152" ca="1" si="350">IF(G127="",-999,IF(J127=6,(G127-$Y127)/($Z127-$Y127),-999))</f>
        <v>-999</v>
      </c>
      <c r="AI127" s="87">
        <f t="shared" ref="AI127:AI152" ca="1" si="351">IF(G127="",-999,IF(J127=5,(G127-$Y127)/($Z127-$Y127),-999))</f>
        <v>-999</v>
      </c>
      <c r="AJ127" s="87">
        <f t="shared" ref="AJ127:AJ152" ca="1" si="352">IF(G127="",-999,IF(J127=1,(G127-$Y127)/($Z127-$Y127),-999))</f>
        <v>0.45480066831519061</v>
      </c>
      <c r="AK127" s="87">
        <f t="shared" ref="AK127:AK152" ca="1" si="353">IF(G127="",-999,IF(J127=2,(G127-$Y127)/($Z127-$Y127),-999))</f>
        <v>-999</v>
      </c>
      <c r="AL127" s="87">
        <f t="shared" ref="AL127:AL152" ca="1" si="354">IF(G127="",-999,IF(J127=3,(G127-$Y127)/($Z127-$Y127),-999))</f>
        <v>-999</v>
      </c>
      <c r="AM127" s="87">
        <f t="shared" ref="AM127:AM152" ca="1" si="355">IF(G127="",-999,IF(J127=4,(G127-$Y127)/($Z127-$Y127),-999))</f>
        <v>-999</v>
      </c>
      <c r="AN127" s="87">
        <f t="shared" ref="AN127:AN152" ca="1" si="356">IF(ISERROR((S127-$Y127)/($Z127-$Y127)),-999,(S127-$Y127)/($Z127-$Y127))</f>
        <v>-999</v>
      </c>
      <c r="AO127" s="158">
        <f t="shared" si="179"/>
        <v>17.813500000000005</v>
      </c>
    </row>
    <row r="128" spans="1:41" s="21" customFormat="1" ht="10.199999999999999" x14ac:dyDescent="0.2">
      <c r="A128" s="440"/>
      <c r="B128" s="88">
        <f t="shared" si="226"/>
        <v>41</v>
      </c>
      <c r="C128" s="89" t="str">
        <f t="shared" si="292"/>
        <v>Obesity prevalence 18+ years (%)</v>
      </c>
      <c r="D128" s="90" t="s">
        <v>331</v>
      </c>
      <c r="E128" s="88">
        <f t="shared" ca="1" si="325"/>
        <v>2</v>
      </c>
      <c r="F128" s="110">
        <f t="shared" ca="1" si="326"/>
        <v>8144</v>
      </c>
      <c r="G128" s="92">
        <f t="shared" ca="1" si="327"/>
        <v>10.686261645453353</v>
      </c>
      <c r="H128" s="92">
        <f t="shared" ca="1" si="328"/>
        <v>10.468901645046433</v>
      </c>
      <c r="I128" s="92">
        <f t="shared" ca="1" si="329"/>
        <v>10.907584760803328</v>
      </c>
      <c r="J128" s="93">
        <f t="shared" ca="1" si="330"/>
        <v>1</v>
      </c>
      <c r="K128" s="94">
        <f t="shared" ca="1" si="331"/>
        <v>2.0747821197638499</v>
      </c>
      <c r="L128" s="92">
        <f t="shared" ca="1" si="332"/>
        <v>6.7646407207739498</v>
      </c>
      <c r="M128" s="92">
        <f t="shared" ca="1" si="333"/>
        <v>8.7425051969694394</v>
      </c>
      <c r="N128" s="92">
        <f t="shared" ca="1" si="334"/>
        <v>10.4903635032935</v>
      </c>
      <c r="O128" s="92">
        <f t="shared" ca="1" si="335"/>
        <v>16.959504685408302</v>
      </c>
      <c r="P128" s="92">
        <f t="shared" ca="1" si="336"/>
        <v>7.6401869158878499</v>
      </c>
      <c r="Q128" s="92">
        <f t="shared" ca="1" si="337"/>
        <v>14.588023412877099</v>
      </c>
      <c r="R128" s="92" t="s">
        <v>79</v>
      </c>
      <c r="S128" s="95" t="str">
        <f ca="1">IF(OR(LEFT($Y$84,1)="J",LEFT($Y$84,1)="Y"),(VLOOKUP((LEFT($Y$84,6)),INDIRECT(D51),7,FALSE)),IF(RIGHT($Y$84,8)="Locality",(VLOOKUP($Y$84,INDIRECT(D128),5,FALSE)),IF(LEFT($Y$84,7)="Cluster",(VLOOKUP($Y$84,INDIRECT(#REF!),4,FALSE)),"N/A")))</f>
        <v>N/A</v>
      </c>
      <c r="T128" s="81">
        <f t="shared" ca="1" si="338"/>
        <v>2.0747821197638499</v>
      </c>
      <c r="U128" s="82">
        <f t="shared" ca="1" si="339"/>
        <v>16.959504685408302</v>
      </c>
      <c r="V128" s="96"/>
      <c r="W128" s="81">
        <f t="shared" ca="1" si="340"/>
        <v>0.52550570853057721</v>
      </c>
      <c r="X128" s="81">
        <f t="shared" ca="1" si="341"/>
        <v>16.959504685408302</v>
      </c>
      <c r="Y128" s="81">
        <f t="shared" ca="1" si="342"/>
        <v>16.959504685408302</v>
      </c>
      <c r="Z128" s="81">
        <f t="shared" ca="1" si="343"/>
        <v>0.52550570853057721</v>
      </c>
      <c r="AA128" s="97">
        <f t="shared" ca="1" si="344"/>
        <v>0</v>
      </c>
      <c r="AB128" s="87">
        <f t="shared" ca="1" si="345"/>
        <v>0.39364376200927975</v>
      </c>
      <c r="AC128" s="87">
        <v>0.5</v>
      </c>
      <c r="AD128" s="87">
        <f t="shared" ca="1" si="346"/>
        <v>0.62035198973653949</v>
      </c>
      <c r="AE128" s="87">
        <f t="shared" ca="1" si="347"/>
        <v>0.90572736353378935</v>
      </c>
      <c r="AF128" s="180">
        <f t="shared" ca="1" si="348"/>
        <v>0.56707547460800789</v>
      </c>
      <c r="AG128" s="180">
        <f t="shared" ca="1" si="349"/>
        <v>0.14430336011751152</v>
      </c>
      <c r="AH128" s="87">
        <f t="shared" ca="1" si="350"/>
        <v>-999</v>
      </c>
      <c r="AI128" s="87">
        <f t="shared" ca="1" si="351"/>
        <v>-999</v>
      </c>
      <c r="AJ128" s="87">
        <f t="shared" ca="1" si="352"/>
        <v>0.38172346540737062</v>
      </c>
      <c r="AK128" s="87">
        <f t="shared" ca="1" si="353"/>
        <v>-999</v>
      </c>
      <c r="AL128" s="87">
        <f t="shared" ca="1" si="354"/>
        <v>-999</v>
      </c>
      <c r="AM128" s="87">
        <f t="shared" ca="1" si="355"/>
        <v>-999</v>
      </c>
      <c r="AN128" s="87">
        <f t="shared" ca="1" si="356"/>
        <v>-999</v>
      </c>
      <c r="AO128" s="158">
        <f t="shared" si="179"/>
        <v>18.253000000000004</v>
      </c>
    </row>
    <row r="129" spans="1:41" s="21" customFormat="1" ht="10.199999999999999" x14ac:dyDescent="0.2">
      <c r="A129" s="440"/>
      <c r="B129" s="88">
        <f t="shared" si="226"/>
        <v>42</v>
      </c>
      <c r="C129" s="89" t="str">
        <f t="shared" si="292"/>
        <v>Alcohol-specific hospital admissions (DSR per 100,000 registered population)</v>
      </c>
      <c r="D129" s="90" t="s">
        <v>332</v>
      </c>
      <c r="E129" s="88">
        <f t="shared" ca="1" si="325"/>
        <v>2</v>
      </c>
      <c r="F129" s="110">
        <f t="shared" ca="1" si="326"/>
        <v>2117</v>
      </c>
      <c r="G129" s="92">
        <f t="shared" ca="1" si="327"/>
        <v>769.96255324486162</v>
      </c>
      <c r="H129" s="92">
        <f t="shared" ca="1" si="328"/>
        <v>737.31237285435043</v>
      </c>
      <c r="I129" s="92">
        <f t="shared" ca="1" si="329"/>
        <v>803.67955693501187</v>
      </c>
      <c r="J129" s="93">
        <f t="shared" ca="1" si="330"/>
        <v>2</v>
      </c>
      <c r="K129" s="94">
        <f t="shared" ca="1" si="331"/>
        <v>194.16851135322827</v>
      </c>
      <c r="L129" s="92">
        <f t="shared" ca="1" si="332"/>
        <v>700.61946759826139</v>
      </c>
      <c r="M129" s="92">
        <f t="shared" ca="1" si="333"/>
        <v>937.56617676650262</v>
      </c>
      <c r="N129" s="92">
        <f t="shared" ca="1" si="334"/>
        <v>952.81114728804243</v>
      </c>
      <c r="O129" s="92">
        <f t="shared" ca="1" si="335"/>
        <v>1858.4826359216281</v>
      </c>
      <c r="P129" s="92">
        <f t="shared" ca="1" si="336"/>
        <v>506.67482261709102</v>
      </c>
      <c r="Q129" s="92">
        <f t="shared" ca="1" si="337"/>
        <v>939.29517916824227</v>
      </c>
      <c r="R129" s="92" t="s">
        <v>79</v>
      </c>
      <c r="S129" s="95" t="str">
        <f ca="1">IF(OR(LEFT($Y$84,1)="J",LEFT($Y$84,1)="Y"),(VLOOKUP((LEFT($Y$84,6)),INDIRECT(D52),7,FALSE)),IF(RIGHT($Y$84,8)="Locality",(VLOOKUP($Y$84,INDIRECT(D129),5,FALSE)),IF(LEFT($Y$84,7)="Cluster",(VLOOKUP($Y$84,INDIRECT(#REF!),4,FALSE)),"N/A")))</f>
        <v>N/A</v>
      </c>
      <c r="T129" s="81">
        <f t="shared" ca="1" si="338"/>
        <v>194.16851135322827</v>
      </c>
      <c r="U129" s="82">
        <f t="shared" ca="1" si="339"/>
        <v>1858.4826359216281</v>
      </c>
      <c r="V129" s="96"/>
      <c r="W129" s="81">
        <f t="shared" ca="1" si="340"/>
        <v>16.649717611377127</v>
      </c>
      <c r="X129" s="81">
        <f t="shared" ca="1" si="341"/>
        <v>1858.4826359216281</v>
      </c>
      <c r="Y129" s="81">
        <f t="shared" ca="1" si="342"/>
        <v>1858.4826359216281</v>
      </c>
      <c r="Z129" s="81">
        <f t="shared" ca="1" si="343"/>
        <v>16.649717611377127</v>
      </c>
      <c r="AA129" s="97">
        <f t="shared" ca="1" si="344"/>
        <v>0</v>
      </c>
      <c r="AB129" s="87">
        <f t="shared" ca="1" si="345"/>
        <v>0.49172293514249599</v>
      </c>
      <c r="AC129" s="87">
        <v>0.5</v>
      </c>
      <c r="AD129" s="87">
        <f t="shared" ca="1" si="346"/>
        <v>0.62864723331453032</v>
      </c>
      <c r="AE129" s="87">
        <f t="shared" ca="1" si="347"/>
        <v>0.90361840535203819</v>
      </c>
      <c r="AF129" s="180">
        <f t="shared" ca="1" si="348"/>
        <v>0.73394703714206788</v>
      </c>
      <c r="AG129" s="180">
        <f t="shared" ca="1" si="349"/>
        <v>0.49906125990878375</v>
      </c>
      <c r="AH129" s="87">
        <f t="shared" ca="1" si="350"/>
        <v>-999</v>
      </c>
      <c r="AI129" s="87">
        <f t="shared" ca="1" si="351"/>
        <v>-999</v>
      </c>
      <c r="AJ129" s="87">
        <f t="shared" ca="1" si="352"/>
        <v>-999</v>
      </c>
      <c r="AK129" s="87">
        <f t="shared" ca="1" si="353"/>
        <v>0.59099827777831504</v>
      </c>
      <c r="AL129" s="87">
        <f t="shared" ca="1" si="354"/>
        <v>-999</v>
      </c>
      <c r="AM129" s="87">
        <f t="shared" ca="1" si="355"/>
        <v>-999</v>
      </c>
      <c r="AN129" s="87">
        <f t="shared" ca="1" si="356"/>
        <v>-999</v>
      </c>
      <c r="AO129" s="158">
        <f t="shared" si="179"/>
        <v>18.692500000000003</v>
      </c>
    </row>
    <row r="130" spans="1:41" s="21" customFormat="1" ht="10.199999999999999" x14ac:dyDescent="0.2">
      <c r="A130" s="440"/>
      <c r="B130" s="88">
        <f t="shared" si="226"/>
        <v>43</v>
      </c>
      <c r="C130" s="89" t="str">
        <f t="shared" si="292"/>
        <v>Admissions for poisoning by illicit drugs (DSR per 100,000 registered population)</v>
      </c>
      <c r="D130" s="90" t="s">
        <v>333</v>
      </c>
      <c r="E130" s="88">
        <f t="shared" ca="1" si="325"/>
        <v>2</v>
      </c>
      <c r="F130" s="110">
        <f t="shared" ca="1" si="326"/>
        <v>120</v>
      </c>
      <c r="G130" s="92">
        <f t="shared" ca="1" si="327"/>
        <v>41.019754461440435</v>
      </c>
      <c r="H130" s="92">
        <f t="shared" ca="1" si="328"/>
        <v>33.974339018731527</v>
      </c>
      <c r="I130" s="92">
        <f t="shared" ca="1" si="329"/>
        <v>49.089494897087697</v>
      </c>
      <c r="J130" s="93">
        <f t="shared" ca="1" si="330"/>
        <v>5</v>
      </c>
      <c r="K130" s="94">
        <f t="shared" ca="1" si="331"/>
        <v>6.1383928571428559</v>
      </c>
      <c r="L130" s="92">
        <f t="shared" ca="1" si="332"/>
        <v>29.450247108574921</v>
      </c>
      <c r="M130" s="92">
        <f t="shared" ca="1" si="333"/>
        <v>49.491593757294879</v>
      </c>
      <c r="N130" s="92">
        <f t="shared" ca="1" si="334"/>
        <v>59.121408345803268</v>
      </c>
      <c r="O130" s="92">
        <f t="shared" ca="1" si="335"/>
        <v>85.869077570142508</v>
      </c>
      <c r="P130" s="92">
        <f t="shared" ca="1" si="336"/>
        <v>6.1383928571428559</v>
      </c>
      <c r="Q130" s="92">
        <f t="shared" ca="1" si="337"/>
        <v>74.906166992898946</v>
      </c>
      <c r="R130" s="92" t="s">
        <v>79</v>
      </c>
      <c r="S130" s="95" t="str">
        <f ca="1">IF(OR(LEFT($Y$84,1)="J",LEFT($Y$84,1)="Y"),(VLOOKUP((LEFT($Y$84,6)),INDIRECT(D53),7,FALSE)),IF(RIGHT($Y$84,8)="Locality",(VLOOKUP($Y$84,INDIRECT(D130),5,FALSE)),IF(LEFT($Y$84,7)="Cluster",(VLOOKUP($Y$84,INDIRECT(#REF!),4,FALSE)),"N/A")))</f>
        <v>N/A</v>
      </c>
      <c r="T130" s="81">
        <f t="shared" ca="1" si="338"/>
        <v>6.1383928571428559</v>
      </c>
      <c r="U130" s="82">
        <f t="shared" ca="1" si="339"/>
        <v>85.869077570142508</v>
      </c>
      <c r="V130" s="96"/>
      <c r="W130" s="81">
        <f t="shared" ca="1" si="340"/>
        <v>6.1383928571428559</v>
      </c>
      <c r="X130" s="81">
        <f t="shared" ca="1" si="341"/>
        <v>92.844794657446897</v>
      </c>
      <c r="Y130" s="81">
        <f t="shared" ca="1" si="342"/>
        <v>92.844794657446897</v>
      </c>
      <c r="Z130" s="81">
        <f t="shared" ca="1" si="343"/>
        <v>6.1383928571428559</v>
      </c>
      <c r="AA130" s="97">
        <f t="shared" ca="1" si="344"/>
        <v>8.0452157423973839E-2</v>
      </c>
      <c r="AB130" s="87">
        <f t="shared" ca="1" si="345"/>
        <v>0.38893767485949782</v>
      </c>
      <c r="AC130" s="87">
        <v>0.5</v>
      </c>
      <c r="AD130" s="87">
        <f t="shared" ca="1" si="346"/>
        <v>0.73114033373080978</v>
      </c>
      <c r="AE130" s="87">
        <f t="shared" ca="1" si="347"/>
        <v>1</v>
      </c>
      <c r="AF130" s="180">
        <f t="shared" ca="1" si="348"/>
        <v>1</v>
      </c>
      <c r="AG130" s="180">
        <f t="shared" ca="1" si="349"/>
        <v>0.20688931027103294</v>
      </c>
      <c r="AH130" s="87">
        <f t="shared" ca="1" si="350"/>
        <v>-999</v>
      </c>
      <c r="AI130" s="87">
        <f t="shared" ca="1" si="351"/>
        <v>0.59770719485472568</v>
      </c>
      <c r="AJ130" s="87">
        <f t="shared" ca="1" si="352"/>
        <v>-999</v>
      </c>
      <c r="AK130" s="87">
        <f t="shared" ca="1" si="353"/>
        <v>-999</v>
      </c>
      <c r="AL130" s="87">
        <f t="shared" ca="1" si="354"/>
        <v>-999</v>
      </c>
      <c r="AM130" s="87">
        <f t="shared" ca="1" si="355"/>
        <v>-999</v>
      </c>
      <c r="AN130" s="87">
        <f t="shared" ca="1" si="356"/>
        <v>-999</v>
      </c>
      <c r="AO130" s="158">
        <f t="shared" si="179"/>
        <v>19.132000000000001</v>
      </c>
    </row>
    <row r="131" spans="1:41" s="21" customFormat="1" ht="10.199999999999999" x14ac:dyDescent="0.2">
      <c r="A131" s="440"/>
      <c r="B131" s="88">
        <f t="shared" si="226"/>
        <v>44</v>
      </c>
      <c r="C131" s="89" t="str">
        <f t="shared" si="292"/>
        <v>Mothers breastfeeding (%)*</v>
      </c>
      <c r="D131" s="90" t="s">
        <v>334</v>
      </c>
      <c r="E131" s="88">
        <f t="shared" ca="1" si="325"/>
        <v>1</v>
      </c>
      <c r="F131" s="110">
        <f t="shared" ca="1" si="326"/>
        <v>2361</v>
      </c>
      <c r="G131" s="92">
        <f t="shared" ca="1" si="327"/>
        <v>70.752172610128866</v>
      </c>
      <c r="H131" s="92">
        <f t="shared" ca="1" si="328"/>
        <v>69.185584734427692</v>
      </c>
      <c r="I131" s="92">
        <f t="shared" ca="1" si="329"/>
        <v>72.271036810519874</v>
      </c>
      <c r="J131" s="93">
        <f t="shared" ca="1" si="330"/>
        <v>1</v>
      </c>
      <c r="K131" s="94">
        <f t="shared" ca="1" si="331"/>
        <v>66.182749786507259</v>
      </c>
      <c r="L131" s="92">
        <f t="shared" ca="1" si="332"/>
        <v>70.886850152905197</v>
      </c>
      <c r="M131" s="92">
        <f t="shared" ca="1" si="333"/>
        <v>76.56903765690376</v>
      </c>
      <c r="N131" s="92">
        <f t="shared" ca="1" si="334"/>
        <v>87.261146496815286</v>
      </c>
      <c r="O131" s="92">
        <f t="shared" ca="1" si="335"/>
        <v>91.28289473684211</v>
      </c>
      <c r="P131" s="92">
        <f t="shared" ca="1" si="336"/>
        <v>67.621776504297983</v>
      </c>
      <c r="Q131" s="92">
        <f t="shared" ca="1" si="337"/>
        <v>72.822299651567945</v>
      </c>
      <c r="R131" s="92" t="s">
        <v>79</v>
      </c>
      <c r="S131" s="95" t="str">
        <f ca="1">IF(OR(LEFT($Y$84,1)="J",LEFT($Y$84,1)="Y"),(VLOOKUP((LEFT($Y$84,6)),INDIRECT(D54),7,FALSE)),IF(RIGHT($Y$84,8)="Locality",(VLOOKUP($Y$84,INDIRECT(D131),5,FALSE)),IF(LEFT($Y$84,7)="Cluster",(VLOOKUP($Y$84,INDIRECT(#REF!),4,FALSE)),"N/A")))</f>
        <v>N/A</v>
      </c>
      <c r="T131" s="81">
        <f t="shared" ca="1" si="338"/>
        <v>91.28289473684211</v>
      </c>
      <c r="U131" s="82">
        <f t="shared" ca="1" si="339"/>
        <v>66.182749786507259</v>
      </c>
      <c r="V131" s="96"/>
      <c r="W131" s="81">
        <f t="shared" ca="1" si="340"/>
        <v>61.85518057696541</v>
      </c>
      <c r="X131" s="81">
        <f t="shared" ca="1" si="341"/>
        <v>91.28289473684211</v>
      </c>
      <c r="Y131" s="81">
        <f t="shared" ca="1" si="342"/>
        <v>61.85518057696541</v>
      </c>
      <c r="Z131" s="81">
        <f t="shared" ca="1" si="343"/>
        <v>91.28289473684211</v>
      </c>
      <c r="AA131" s="97">
        <f t="shared" ca="1" si="344"/>
        <v>0.14705760651441577</v>
      </c>
      <c r="AB131" s="87">
        <f t="shared" ca="1" si="345"/>
        <v>0.3069103338054725</v>
      </c>
      <c r="AC131" s="87">
        <v>0.5</v>
      </c>
      <c r="AD131" s="87">
        <f t="shared" ca="1" si="346"/>
        <v>0.86333467090997207</v>
      </c>
      <c r="AE131" s="87">
        <f t="shared" ca="1" si="347"/>
        <v>1</v>
      </c>
      <c r="AF131" s="180">
        <f t="shared" ca="1" si="348"/>
        <v>0.19595799714525755</v>
      </c>
      <c r="AG131" s="180">
        <f t="shared" ca="1" si="349"/>
        <v>0.37267995111749747</v>
      </c>
      <c r="AH131" s="87">
        <f t="shared" ca="1" si="350"/>
        <v>-999</v>
      </c>
      <c r="AI131" s="87">
        <f t="shared" ca="1" si="351"/>
        <v>-999</v>
      </c>
      <c r="AJ131" s="87">
        <f t="shared" ca="1" si="352"/>
        <v>0.30233377913171677</v>
      </c>
      <c r="AK131" s="87">
        <f t="shared" ca="1" si="353"/>
        <v>-999</v>
      </c>
      <c r="AL131" s="87">
        <f t="shared" ca="1" si="354"/>
        <v>-999</v>
      </c>
      <c r="AM131" s="87">
        <f t="shared" ca="1" si="355"/>
        <v>-999</v>
      </c>
      <c r="AN131" s="87">
        <f t="shared" ca="1" si="356"/>
        <v>-999</v>
      </c>
      <c r="AO131" s="158">
        <f t="shared" si="179"/>
        <v>19.5715</v>
      </c>
    </row>
    <row r="132" spans="1:41" s="21" customFormat="1" ht="10.199999999999999" x14ac:dyDescent="0.2">
      <c r="A132" s="440"/>
      <c r="B132" s="88">
        <f t="shared" si="226"/>
        <v>45</v>
      </c>
      <c r="C132" s="89" t="str">
        <f t="shared" si="292"/>
        <v>Mothers smoking at time of discharge (%)*</v>
      </c>
      <c r="D132" s="90" t="s">
        <v>336</v>
      </c>
      <c r="E132" s="88">
        <f t="shared" ca="1" si="325"/>
        <v>2</v>
      </c>
      <c r="F132" s="110">
        <f t="shared" ca="1" si="326"/>
        <v>532</v>
      </c>
      <c r="G132" s="92">
        <f t="shared" ca="1" si="327"/>
        <v>15.772309516750669</v>
      </c>
      <c r="H132" s="92">
        <f t="shared" ca="1" si="328"/>
        <v>14.58130188290431</v>
      </c>
      <c r="I132" s="92">
        <f t="shared" ca="1" si="329"/>
        <v>17.041191261728542</v>
      </c>
      <c r="J132" s="93">
        <f t="shared" ca="1" si="330"/>
        <v>5</v>
      </c>
      <c r="K132" s="94">
        <f t="shared" ca="1" si="331"/>
        <v>6.3106796116504853</v>
      </c>
      <c r="L132" s="92">
        <f t="shared" ca="1" si="332"/>
        <v>9.5100864553314111</v>
      </c>
      <c r="M132" s="92">
        <f t="shared" ca="1" si="333"/>
        <v>14.004253890070526</v>
      </c>
      <c r="N132" s="92">
        <f t="shared" ca="1" si="334"/>
        <v>16.223003515821194</v>
      </c>
      <c r="O132" s="92">
        <f t="shared" ca="1" si="335"/>
        <v>19.882055602358889</v>
      </c>
      <c r="P132" s="92">
        <f t="shared" ca="1" si="336"/>
        <v>11.621856027753687</v>
      </c>
      <c r="Q132" s="92">
        <f t="shared" ca="1" si="337"/>
        <v>19.875776397515526</v>
      </c>
      <c r="R132" s="92" t="s">
        <v>79</v>
      </c>
      <c r="S132" s="95" t="str">
        <f ca="1">IF(OR(LEFT($Y$84,1)="J",LEFT($Y$84,1)="Y"),(VLOOKUP((LEFT($Y$84,6)),INDIRECT(D55),7,FALSE)),IF(RIGHT($Y$84,8)="Locality",(VLOOKUP($Y$84,INDIRECT(D132),5,FALSE)),IF(LEFT($Y$84,7)="Cluster",(VLOOKUP($Y$84,INDIRECT(#REF!),4,FALSE)),"N/A")))</f>
        <v>N/A</v>
      </c>
      <c r="T132" s="81">
        <f t="shared" ca="1" si="338"/>
        <v>6.3106796116504853</v>
      </c>
      <c r="U132" s="82">
        <f t="shared" ca="1" si="339"/>
        <v>19.882055602358889</v>
      </c>
      <c r="V132" s="96"/>
      <c r="W132" s="81">
        <f t="shared" ca="1" si="340"/>
        <v>6.3106796116504853</v>
      </c>
      <c r="X132" s="81">
        <f t="shared" ca="1" si="341"/>
        <v>21.697828168490567</v>
      </c>
      <c r="Y132" s="81">
        <f t="shared" ca="1" si="342"/>
        <v>21.697828168490567</v>
      </c>
      <c r="Z132" s="81">
        <f t="shared" ca="1" si="343"/>
        <v>6.3106796116504853</v>
      </c>
      <c r="AA132" s="97">
        <f t="shared" ca="1" si="344"/>
        <v>0.11800578641482656</v>
      </c>
      <c r="AB132" s="87">
        <f t="shared" ca="1" si="345"/>
        <v>0.35580501692340116</v>
      </c>
      <c r="AC132" s="87">
        <v>0.5</v>
      </c>
      <c r="AD132" s="87">
        <f t="shared" ca="1" si="346"/>
        <v>0.79207279166361944</v>
      </c>
      <c r="AE132" s="87">
        <f t="shared" ca="1" si="347"/>
        <v>1</v>
      </c>
      <c r="AF132" s="180">
        <f t="shared" ca="1" si="348"/>
        <v>0.65483036727151034</v>
      </c>
      <c r="AG132" s="180">
        <f t="shared" ca="1" si="349"/>
        <v>0.11841386753656055</v>
      </c>
      <c r="AH132" s="87">
        <f t="shared" ca="1" si="350"/>
        <v>-999</v>
      </c>
      <c r="AI132" s="87">
        <f t="shared" ca="1" si="351"/>
        <v>0.38509530403577047</v>
      </c>
      <c r="AJ132" s="87">
        <f t="shared" ca="1" si="352"/>
        <v>-999</v>
      </c>
      <c r="AK132" s="87">
        <f t="shared" ca="1" si="353"/>
        <v>-999</v>
      </c>
      <c r="AL132" s="87">
        <f t="shared" ca="1" si="354"/>
        <v>-999</v>
      </c>
      <c r="AM132" s="87">
        <f t="shared" ca="1" si="355"/>
        <v>-999</v>
      </c>
      <c r="AN132" s="87">
        <f t="shared" ca="1" si="356"/>
        <v>-999</v>
      </c>
      <c r="AO132" s="158">
        <f t="shared" si="179"/>
        <v>20.010999999999999</v>
      </c>
    </row>
    <row r="133" spans="1:41" s="21" customFormat="1" ht="10.199999999999999" x14ac:dyDescent="0.2">
      <c r="A133" s="440"/>
      <c r="B133" s="88">
        <f t="shared" si="226"/>
        <v>46</v>
      </c>
      <c r="C133" s="89" t="str">
        <f t="shared" si="292"/>
        <v>Low-birth weight of full term babies (%)*</v>
      </c>
      <c r="D133" s="90" t="s">
        <v>337</v>
      </c>
      <c r="E133" s="88">
        <f t="shared" ca="1" si="325"/>
        <v>2</v>
      </c>
      <c r="F133" s="110">
        <f t="shared" ca="1" si="326"/>
        <v>60</v>
      </c>
      <c r="G133" s="92">
        <f t="shared" ca="1" si="327"/>
        <v>1.8674136321195143</v>
      </c>
      <c r="H133" s="92">
        <f t="shared" ca="1" si="328"/>
        <v>1.4535742831951486</v>
      </c>
      <c r="I133" s="92">
        <f t="shared" ca="1" si="329"/>
        <v>2.3962100598011911</v>
      </c>
      <c r="J133" s="93">
        <f t="shared" ca="1" si="330"/>
        <v>5</v>
      </c>
      <c r="K133" s="94">
        <f t="shared" ca="1" si="331"/>
        <v>1.7318159327065807</v>
      </c>
      <c r="L133" s="92">
        <f t="shared" ca="1" si="332"/>
        <v>1.9766397124887689</v>
      </c>
      <c r="M133" s="92">
        <f t="shared" ca="1" si="333"/>
        <v>2.4223894637817498</v>
      </c>
      <c r="N133" s="92">
        <f t="shared" ca="1" si="334"/>
        <v>3.0303030303030303</v>
      </c>
      <c r="O133" s="92">
        <f t="shared" ca="1" si="335"/>
        <v>4.1189931350114417</v>
      </c>
      <c r="P133" s="92">
        <f t="shared" ca="1" si="336"/>
        <v>1.7318159327065807</v>
      </c>
      <c r="Q133" s="92">
        <f t="shared" ca="1" si="337"/>
        <v>2.3178807947019866</v>
      </c>
      <c r="R133" s="92" t="s">
        <v>79</v>
      </c>
      <c r="S133" s="95" t="str">
        <f ca="1">IF(OR(LEFT($Y$84,1)="J",LEFT($Y$84,1)="Y"),(VLOOKUP((LEFT($Y$84,6)),INDIRECT(D56),7,FALSE)),IF(RIGHT($Y$84,8)="Locality",(VLOOKUP($Y$84,INDIRECT(D133),5,FALSE)),IF(LEFT($Y$84,7)="Cluster",(VLOOKUP($Y$84,INDIRECT(#REF!),4,FALSE)),"N/A")))</f>
        <v>N/A</v>
      </c>
      <c r="T133" s="81">
        <f t="shared" ca="1" si="338"/>
        <v>1.7318159327065807</v>
      </c>
      <c r="U133" s="82">
        <f t="shared" ca="1" si="339"/>
        <v>4.1189931350114417</v>
      </c>
      <c r="V133" s="96"/>
      <c r="W133" s="81">
        <f t="shared" ca="1" si="340"/>
        <v>0.72578579255205788</v>
      </c>
      <c r="X133" s="81">
        <f t="shared" ca="1" si="341"/>
        <v>4.1189931350114417</v>
      </c>
      <c r="Y133" s="81">
        <f t="shared" ca="1" si="342"/>
        <v>4.1189931350114417</v>
      </c>
      <c r="Z133" s="81">
        <f t="shared" ca="1" si="343"/>
        <v>0.72578579255205788</v>
      </c>
      <c r="AA133" s="97">
        <f t="shared" ca="1" si="344"/>
        <v>0</v>
      </c>
      <c r="AB133" s="87">
        <f t="shared" ca="1" si="345"/>
        <v>0.32084396702953405</v>
      </c>
      <c r="AC133" s="87">
        <v>0.5</v>
      </c>
      <c r="AD133" s="87">
        <f t="shared" ca="1" si="346"/>
        <v>0.63136531496772696</v>
      </c>
      <c r="AE133" s="87">
        <f t="shared" ca="1" si="347"/>
        <v>0.70351645548858333</v>
      </c>
      <c r="AF133" s="180">
        <f t="shared" ca="1" si="348"/>
        <v>0.70351645548858333</v>
      </c>
      <c r="AG133" s="180">
        <f t="shared" ca="1" si="349"/>
        <v>0.53079937608646566</v>
      </c>
      <c r="AH133" s="87">
        <f t="shared" ca="1" si="350"/>
        <v>-999</v>
      </c>
      <c r="AI133" s="87">
        <f t="shared" ca="1" si="351"/>
        <v>0.66355494246337199</v>
      </c>
      <c r="AJ133" s="87">
        <f t="shared" ca="1" si="352"/>
        <v>-999</v>
      </c>
      <c r="AK133" s="87">
        <f t="shared" ca="1" si="353"/>
        <v>-999</v>
      </c>
      <c r="AL133" s="87">
        <f t="shared" ca="1" si="354"/>
        <v>-999</v>
      </c>
      <c r="AM133" s="87">
        <f t="shared" ca="1" si="355"/>
        <v>-999</v>
      </c>
      <c r="AN133" s="87">
        <f t="shared" ca="1" si="356"/>
        <v>-999</v>
      </c>
      <c r="AO133" s="158">
        <f t="shared" si="179"/>
        <v>20.450499999999998</v>
      </c>
    </row>
    <row r="134" spans="1:41" s="21" customFormat="1" ht="10.199999999999999" x14ac:dyDescent="0.2">
      <c r="A134" s="440"/>
      <c r="B134" s="88">
        <f t="shared" si="226"/>
        <v>47</v>
      </c>
      <c r="C134" s="89" t="str">
        <f t="shared" si="292"/>
        <v>Teenage maternities (U20 years) (%)*</v>
      </c>
      <c r="D134" s="90" t="s">
        <v>341</v>
      </c>
      <c r="E134" s="88">
        <f t="shared" ca="1" si="325"/>
        <v>2</v>
      </c>
      <c r="F134" s="110">
        <f t="shared" ca="1" si="326"/>
        <v>163</v>
      </c>
      <c r="G134" s="92">
        <f t="shared" ca="1" si="327"/>
        <v>4.8153618906942395</v>
      </c>
      <c r="H134" s="92">
        <f t="shared" ca="1" si="328"/>
        <v>4.1439546717501834</v>
      </c>
      <c r="I134" s="92">
        <f t="shared" ca="1" si="329"/>
        <v>5.5892082049657388</v>
      </c>
      <c r="J134" s="93">
        <f t="shared" ca="1" si="330"/>
        <v>5</v>
      </c>
      <c r="K134" s="94">
        <f t="shared" ca="1" si="331"/>
        <v>1.932367149758454</v>
      </c>
      <c r="L134" s="92">
        <f t="shared" ca="1" si="332"/>
        <v>4.2568542568542567</v>
      </c>
      <c r="M134" s="92">
        <f t="shared" ca="1" si="333"/>
        <v>4.616928738708598</v>
      </c>
      <c r="N134" s="92">
        <f t="shared" ca="1" si="334"/>
        <v>4.9590755897929704</v>
      </c>
      <c r="O134" s="92">
        <f t="shared" ca="1" si="335"/>
        <v>6.3100137174211248</v>
      </c>
      <c r="P134" s="92">
        <f t="shared" ca="1" si="336"/>
        <v>3.0864197530864197</v>
      </c>
      <c r="Q134" s="92">
        <f t="shared" ca="1" si="337"/>
        <v>5.1577366049073614</v>
      </c>
      <c r="R134" s="92" t="s">
        <v>79</v>
      </c>
      <c r="S134" s="95" t="str">
        <f ca="1">IF(OR(LEFT($Y$84,1)="J",LEFT($Y$84,1)="Y"),(VLOOKUP((LEFT($Y$84,6)),INDIRECT(D57),7,FALSE)),IF(RIGHT($Y$84,8)="Locality",(VLOOKUP($Y$84,INDIRECT(D134),5,FALSE)),IF(LEFT($Y$84,7)="Cluster",(VLOOKUP($Y$84,INDIRECT(#REF!),4,FALSE)),"N/A")))</f>
        <v>N/A</v>
      </c>
      <c r="T134" s="81">
        <f t="shared" ca="1" si="338"/>
        <v>1.932367149758454</v>
      </c>
      <c r="U134" s="82">
        <f t="shared" ca="1" si="339"/>
        <v>6.3100137174211248</v>
      </c>
      <c r="V134" s="96"/>
      <c r="W134" s="81">
        <f t="shared" ca="1" si="340"/>
        <v>1.932367149758454</v>
      </c>
      <c r="X134" s="81">
        <f t="shared" ca="1" si="341"/>
        <v>7.3014903276587422</v>
      </c>
      <c r="Y134" s="81">
        <f t="shared" ca="1" si="342"/>
        <v>7.3014903276587422</v>
      </c>
      <c r="Z134" s="81">
        <f t="shared" ca="1" si="343"/>
        <v>1.932367149758454</v>
      </c>
      <c r="AA134" s="97">
        <f t="shared" ca="1" si="344"/>
        <v>0.18466266788562591</v>
      </c>
      <c r="AB134" s="87">
        <f t="shared" ca="1" si="345"/>
        <v>0.43627509748841781</v>
      </c>
      <c r="AC134" s="87">
        <v>0.5</v>
      </c>
      <c r="AD134" s="87">
        <f t="shared" ca="1" si="346"/>
        <v>0.56706392644080783</v>
      </c>
      <c r="AE134" s="87">
        <f t="shared" ca="1" si="347"/>
        <v>1</v>
      </c>
      <c r="AF134" s="180">
        <f t="shared" ca="1" si="348"/>
        <v>0.78505752893170111</v>
      </c>
      <c r="AG134" s="180">
        <f t="shared" ca="1" si="349"/>
        <v>0.39927445352254742</v>
      </c>
      <c r="AH134" s="87">
        <f t="shared" ca="1" si="350"/>
        <v>-999</v>
      </c>
      <c r="AI134" s="87">
        <f t="shared" ca="1" si="351"/>
        <v>0.46304179557615532</v>
      </c>
      <c r="AJ134" s="87">
        <f t="shared" ca="1" si="352"/>
        <v>-999</v>
      </c>
      <c r="AK134" s="87">
        <f t="shared" ca="1" si="353"/>
        <v>-999</v>
      </c>
      <c r="AL134" s="87">
        <f t="shared" ca="1" si="354"/>
        <v>-999</v>
      </c>
      <c r="AM134" s="87">
        <f t="shared" ca="1" si="355"/>
        <v>-999</v>
      </c>
      <c r="AN134" s="87">
        <f t="shared" ca="1" si="356"/>
        <v>-999</v>
      </c>
      <c r="AO134" s="158">
        <f t="shared" si="179"/>
        <v>20.889999999999997</v>
      </c>
    </row>
    <row r="135" spans="1:41" s="21" customFormat="1" ht="10.199999999999999" x14ac:dyDescent="0.2">
      <c r="A135" s="440"/>
      <c r="B135" s="88">
        <f t="shared" si="226"/>
        <v>48</v>
      </c>
      <c r="C135" s="89" t="str">
        <f t="shared" si="292"/>
        <v>0-4 years emergency admissions (crude rate per 1,000 registered population)</v>
      </c>
      <c r="D135" s="90" t="s">
        <v>344</v>
      </c>
      <c r="E135" s="88">
        <f t="shared" ca="1" si="325"/>
        <v>2</v>
      </c>
      <c r="F135" s="110">
        <f t="shared" ca="1" si="326"/>
        <v>3094</v>
      </c>
      <c r="G135" s="92">
        <f t="shared" ca="1" si="327"/>
        <v>161.40643747717669</v>
      </c>
      <c r="H135" s="92">
        <f t="shared" ca="1" si="328"/>
        <v>155.76865859674683</v>
      </c>
      <c r="I135" s="92">
        <f t="shared" ca="1" si="329"/>
        <v>167.19612073181005</v>
      </c>
      <c r="J135" s="93">
        <f t="shared" ca="1" si="330"/>
        <v>5</v>
      </c>
      <c r="K135" s="94">
        <f t="shared" ca="1" si="331"/>
        <v>115.07936507936508</v>
      </c>
      <c r="L135" s="92">
        <f t="shared" ca="1" si="332"/>
        <v>153.10492505353318</v>
      </c>
      <c r="M135" s="92">
        <f t="shared" ca="1" si="333"/>
        <v>164.94697031982241</v>
      </c>
      <c r="N135" s="92">
        <f t="shared" ca="1" si="334"/>
        <v>179.57746478873241</v>
      </c>
      <c r="O135" s="92">
        <f t="shared" ca="1" si="335"/>
        <v>231.45400593471811</v>
      </c>
      <c r="P135" s="92">
        <f t="shared" ca="1" si="336"/>
        <v>121.414913957935</v>
      </c>
      <c r="Q135" s="92">
        <f t="shared" ca="1" si="337"/>
        <v>189.84509466437177</v>
      </c>
      <c r="R135" s="92" t="s">
        <v>79</v>
      </c>
      <c r="S135" s="95" t="str">
        <f ca="1">IF(OR(LEFT($Y$84,1)="J",LEFT($Y$84,1)="Y"),(VLOOKUP((LEFT($Y$84,6)),INDIRECT(D58),7,FALSE)),IF(RIGHT($Y$84,8)="Locality",(VLOOKUP($Y$84,INDIRECT(D135),5,FALSE)),IF(LEFT($Y$84,7)="Cluster",(VLOOKUP($Y$84,INDIRECT(#REF!),4,FALSE)),"N/A")))</f>
        <v>N/A</v>
      </c>
      <c r="T135" s="81">
        <f t="shared" ca="1" si="338"/>
        <v>115.07936507936508</v>
      </c>
      <c r="U135" s="82">
        <f t="shared" ca="1" si="339"/>
        <v>231.45400593471811</v>
      </c>
      <c r="V135" s="96"/>
      <c r="W135" s="81">
        <f t="shared" ca="1" si="340"/>
        <v>98.439934704926713</v>
      </c>
      <c r="X135" s="81">
        <f t="shared" ca="1" si="341"/>
        <v>231.45400593471811</v>
      </c>
      <c r="Y135" s="81">
        <f t="shared" ca="1" si="342"/>
        <v>231.45400593471811</v>
      </c>
      <c r="Z135" s="81">
        <f t="shared" ca="1" si="343"/>
        <v>98.439934704926713</v>
      </c>
      <c r="AA135" s="97">
        <f t="shared" ca="1" si="344"/>
        <v>0</v>
      </c>
      <c r="AB135" s="87">
        <f t="shared" ca="1" si="345"/>
        <v>0.39000791921003031</v>
      </c>
      <c r="AC135" s="87">
        <v>0.5</v>
      </c>
      <c r="AD135" s="87">
        <f t="shared" ca="1" si="346"/>
        <v>0.58902851523002586</v>
      </c>
      <c r="AE135" s="87">
        <f t="shared" ca="1" si="347"/>
        <v>0.87490473586292572</v>
      </c>
      <c r="AF135" s="180">
        <f t="shared" ca="1" si="348"/>
        <v>0.82727406927258584</v>
      </c>
      <c r="AG135" s="180">
        <f t="shared" ca="1" si="349"/>
        <v>0.31281586140209139</v>
      </c>
      <c r="AH135" s="87">
        <f t="shared" ca="1" si="350"/>
        <v>-999</v>
      </c>
      <c r="AI135" s="87">
        <f t="shared" ca="1" si="351"/>
        <v>0.52661773156713021</v>
      </c>
      <c r="AJ135" s="87">
        <f t="shared" ca="1" si="352"/>
        <v>-999</v>
      </c>
      <c r="AK135" s="87">
        <f t="shared" ca="1" si="353"/>
        <v>-999</v>
      </c>
      <c r="AL135" s="87">
        <f t="shared" ca="1" si="354"/>
        <v>-999</v>
      </c>
      <c r="AM135" s="87">
        <f t="shared" ca="1" si="355"/>
        <v>-999</v>
      </c>
      <c r="AN135" s="87">
        <f t="shared" ca="1" si="356"/>
        <v>-999</v>
      </c>
      <c r="AO135" s="158">
        <f t="shared" si="179"/>
        <v>21.329499999999996</v>
      </c>
    </row>
    <row r="136" spans="1:41" s="21" customFormat="1" ht="10.199999999999999" x14ac:dyDescent="0.2">
      <c r="A136" s="440"/>
      <c r="B136" s="88">
        <f t="shared" si="226"/>
        <v>49</v>
      </c>
      <c r="C136" s="89" t="str">
        <f t="shared" si="292"/>
        <v>Admissions caused by unintentional and deliberate injuries (0-14 years) (crude rate per 10,000 registered population)</v>
      </c>
      <c r="D136" s="90" t="s">
        <v>349</v>
      </c>
      <c r="E136" s="88">
        <f t="shared" ca="1" si="325"/>
        <v>2</v>
      </c>
      <c r="F136" s="110">
        <f t="shared" ca="1" si="326"/>
        <v>627</v>
      </c>
      <c r="G136" s="92">
        <f t="shared" ca="1" si="327"/>
        <v>116.8729495973755</v>
      </c>
      <c r="H136" s="92">
        <f t="shared" ca="1" si="328"/>
        <v>107.90258828666846</v>
      </c>
      <c r="I136" s="92">
        <f t="shared" ca="1" si="329"/>
        <v>126.39004080456415</v>
      </c>
      <c r="J136" s="93">
        <f t="shared" ca="1" si="330"/>
        <v>5</v>
      </c>
      <c r="K136" s="94">
        <f t="shared" ca="1" si="331"/>
        <v>37.650602409638552</v>
      </c>
      <c r="L136" s="92">
        <f t="shared" ca="1" si="332"/>
        <v>99.502487562189046</v>
      </c>
      <c r="M136" s="92">
        <f t="shared" ca="1" si="333"/>
        <v>112.7210564426429</v>
      </c>
      <c r="N136" s="92">
        <f t="shared" ca="1" si="334"/>
        <v>124.58942122550685</v>
      </c>
      <c r="O136" s="92">
        <f t="shared" ca="1" si="335"/>
        <v>159.37605968124788</v>
      </c>
      <c r="P136" s="92">
        <f t="shared" ca="1" si="336"/>
        <v>105.15603799185889</v>
      </c>
      <c r="Q136" s="92">
        <f t="shared" ca="1" si="337"/>
        <v>140.4741000877963</v>
      </c>
      <c r="R136" s="92" t="s">
        <v>79</v>
      </c>
      <c r="S136" s="95" t="str">
        <f ca="1">IF(OR(LEFT($Y$84,1)="J",LEFT($Y$84,1)="Y"),(VLOOKUP((LEFT($Y$84,6)),INDIRECT(D59),7,FALSE)),IF(RIGHT($Y$84,8)="Locality",(VLOOKUP($Y$84,INDIRECT(D136),5,FALSE)),IF(LEFT($Y$84,7)="Cluster",(VLOOKUP($Y$84,INDIRECT(#REF!),4,FALSE)),"N/A")))</f>
        <v>N/A</v>
      </c>
      <c r="T136" s="81">
        <f t="shared" ca="1" si="338"/>
        <v>37.650602409638552</v>
      </c>
      <c r="U136" s="82">
        <f t="shared" ca="1" si="339"/>
        <v>159.37605968124788</v>
      </c>
      <c r="V136" s="96"/>
      <c r="W136" s="81">
        <f t="shared" ca="1" si="340"/>
        <v>37.650602409638552</v>
      </c>
      <c r="X136" s="81">
        <f t="shared" ca="1" si="341"/>
        <v>187.79151047564727</v>
      </c>
      <c r="Y136" s="81">
        <f t="shared" ca="1" si="342"/>
        <v>187.79151047564727</v>
      </c>
      <c r="Z136" s="81">
        <f t="shared" ca="1" si="343"/>
        <v>37.650602409638552</v>
      </c>
      <c r="AA136" s="97">
        <f t="shared" ca="1" si="344"/>
        <v>0.18925855158613186</v>
      </c>
      <c r="AB136" s="87">
        <f t="shared" ca="1" si="345"/>
        <v>0.42095182495069189</v>
      </c>
      <c r="AC136" s="87">
        <v>0.5</v>
      </c>
      <c r="AD136" s="87">
        <f t="shared" ca="1" si="346"/>
        <v>0.5880410878735487</v>
      </c>
      <c r="AE136" s="87">
        <f t="shared" ca="1" si="347"/>
        <v>1</v>
      </c>
      <c r="AF136" s="180">
        <f t="shared" ca="1" si="348"/>
        <v>0.55038612426306965</v>
      </c>
      <c r="AG136" s="180">
        <f t="shared" ca="1" si="349"/>
        <v>0.31515335159054791</v>
      </c>
      <c r="AH136" s="87">
        <f t="shared" ca="1" si="350"/>
        <v>-999</v>
      </c>
      <c r="AI136" s="87">
        <f t="shared" ca="1" si="351"/>
        <v>0.47234668946515751</v>
      </c>
      <c r="AJ136" s="87">
        <f t="shared" ca="1" si="352"/>
        <v>-999</v>
      </c>
      <c r="AK136" s="87">
        <f t="shared" ca="1" si="353"/>
        <v>-999</v>
      </c>
      <c r="AL136" s="87">
        <f t="shared" ca="1" si="354"/>
        <v>-999</v>
      </c>
      <c r="AM136" s="87">
        <f t="shared" ca="1" si="355"/>
        <v>-999</v>
      </c>
      <c r="AN136" s="87">
        <f t="shared" ca="1" si="356"/>
        <v>-999</v>
      </c>
      <c r="AO136" s="158">
        <f t="shared" si="179"/>
        <v>21.768999999999995</v>
      </c>
    </row>
    <row r="137" spans="1:41" s="21" customFormat="1" ht="10.199999999999999" x14ac:dyDescent="0.2">
      <c r="A137" s="440"/>
      <c r="B137" s="88">
        <f t="shared" si="226"/>
        <v>50</v>
      </c>
      <c r="C137" s="89" t="str">
        <f t="shared" si="292"/>
        <v>Admissions caused by unintentional and deliberate injuries (15-24 years) (crude rate per 10,000 registered population)</v>
      </c>
      <c r="D137" s="90" t="s">
        <v>350</v>
      </c>
      <c r="E137" s="88">
        <f t="shared" ca="1" si="325"/>
        <v>2</v>
      </c>
      <c r="F137" s="110">
        <f t="shared" ca="1" si="326"/>
        <v>680</v>
      </c>
      <c r="G137" s="92">
        <f t="shared" ca="1" si="327"/>
        <v>209.64360587002096</v>
      </c>
      <c r="H137" s="92">
        <f t="shared" ca="1" si="328"/>
        <v>194.18035453035748</v>
      </c>
      <c r="I137" s="92">
        <f t="shared" ca="1" si="329"/>
        <v>226.0106578548704</v>
      </c>
      <c r="J137" s="93">
        <f t="shared" ca="1" si="330"/>
        <v>1</v>
      </c>
      <c r="K137" s="94">
        <f t="shared" ca="1" si="331"/>
        <v>76.412628192238088</v>
      </c>
      <c r="L137" s="92">
        <f t="shared" ca="1" si="332"/>
        <v>158.9041095890411</v>
      </c>
      <c r="M137" s="92">
        <f t="shared" ca="1" si="333"/>
        <v>159.68281681943839</v>
      </c>
      <c r="N137" s="92">
        <f t="shared" ca="1" si="334"/>
        <v>221.00819468587039</v>
      </c>
      <c r="O137" s="92">
        <f t="shared" ca="1" si="335"/>
        <v>273.66863905325442</v>
      </c>
      <c r="P137" s="92">
        <f t="shared" ca="1" si="336"/>
        <v>158.9041095890411</v>
      </c>
      <c r="Q137" s="92">
        <f t="shared" ca="1" si="337"/>
        <v>273.66863905325442</v>
      </c>
      <c r="R137" s="92" t="s">
        <v>79</v>
      </c>
      <c r="S137" s="95" t="str">
        <f ca="1">IF(OR(LEFT($Y$84,1)="J",LEFT($Y$84,1)="Y"),(VLOOKUP((LEFT($Y$84,6)),INDIRECT(D60),7,FALSE)),IF(RIGHT($Y$84,8)="Locality",(VLOOKUP($Y$84,INDIRECT(D137),5,FALSE)),IF(LEFT($Y$84,7)="Cluster",(VLOOKUP($Y$84,INDIRECT(#REF!),4,FALSE)),"N/A")))</f>
        <v>N/A</v>
      </c>
      <c r="T137" s="81">
        <f t="shared" ca="1" si="338"/>
        <v>76.412628192238088</v>
      </c>
      <c r="U137" s="82">
        <f t="shared" ca="1" si="339"/>
        <v>273.66863905325442</v>
      </c>
      <c r="V137" s="96"/>
      <c r="W137" s="81">
        <f t="shared" ca="1" si="340"/>
        <v>45.696994585622349</v>
      </c>
      <c r="X137" s="81">
        <f t="shared" ca="1" si="341"/>
        <v>273.66863905325442</v>
      </c>
      <c r="Y137" s="81">
        <f t="shared" ca="1" si="342"/>
        <v>273.66863905325442</v>
      </c>
      <c r="Z137" s="81">
        <f t="shared" ca="1" si="343"/>
        <v>45.696994585622349</v>
      </c>
      <c r="AA137" s="97">
        <f t="shared" ca="1" si="344"/>
        <v>0</v>
      </c>
      <c r="AB137" s="87">
        <f t="shared" ca="1" si="345"/>
        <v>0.23099558934339695</v>
      </c>
      <c r="AC137" s="87">
        <v>0.5</v>
      </c>
      <c r="AD137" s="87">
        <f t="shared" ca="1" si="346"/>
        <v>0.50341580740102898</v>
      </c>
      <c r="AE137" s="87">
        <f t="shared" ca="1" si="347"/>
        <v>0.86526555230873547</v>
      </c>
      <c r="AF137" s="180">
        <f t="shared" ca="1" si="348"/>
        <v>0.50341580740102898</v>
      </c>
      <c r="AG137" s="180">
        <f t="shared" ca="1" si="349"/>
        <v>0</v>
      </c>
      <c r="AH137" s="87">
        <f t="shared" ca="1" si="350"/>
        <v>-999</v>
      </c>
      <c r="AI137" s="87">
        <f t="shared" ca="1" si="351"/>
        <v>-999</v>
      </c>
      <c r="AJ137" s="87">
        <f t="shared" ca="1" si="352"/>
        <v>0.28084647690613945</v>
      </c>
      <c r="AK137" s="87">
        <f t="shared" ca="1" si="353"/>
        <v>-999</v>
      </c>
      <c r="AL137" s="87">
        <f t="shared" ca="1" si="354"/>
        <v>-999</v>
      </c>
      <c r="AM137" s="87">
        <f t="shared" ca="1" si="355"/>
        <v>-999</v>
      </c>
      <c r="AN137" s="87">
        <f t="shared" ca="1" si="356"/>
        <v>-999</v>
      </c>
      <c r="AO137" s="158">
        <f t="shared" si="179"/>
        <v>22.208499999999994</v>
      </c>
    </row>
    <row r="138" spans="1:41" s="21" customFormat="1" ht="10.199999999999999" x14ac:dyDescent="0.2">
      <c r="A138" s="440"/>
      <c r="B138" s="88">
        <f t="shared" si="226"/>
        <v>51</v>
      </c>
      <c r="C138" s="89" t="str">
        <f t="shared" si="292"/>
        <v>Hospital admissions as a result of self harm (10-24 years) (crude rate per 10,000 registered population)</v>
      </c>
      <c r="D138" s="90" t="s">
        <v>353</v>
      </c>
      <c r="E138" s="88">
        <f t="shared" ca="1" si="325"/>
        <v>2</v>
      </c>
      <c r="F138" s="110">
        <f t="shared" ca="1" si="326"/>
        <v>399</v>
      </c>
      <c r="G138" s="92">
        <f t="shared" ca="1" si="327"/>
        <v>82.979785375592712</v>
      </c>
      <c r="H138" s="92">
        <f t="shared" ca="1" si="328"/>
        <v>75.036286619752417</v>
      </c>
      <c r="I138" s="92">
        <f t="shared" ca="1" si="329"/>
        <v>91.535300305298875</v>
      </c>
      <c r="J138" s="93">
        <f t="shared" ca="1" si="330"/>
        <v>1</v>
      </c>
      <c r="K138" s="94">
        <f t="shared" ca="1" si="331"/>
        <v>31.835205992509362</v>
      </c>
      <c r="L138" s="92">
        <f t="shared" ca="1" si="332"/>
        <v>50.314465408805027</v>
      </c>
      <c r="M138" s="92">
        <f t="shared" ca="1" si="333"/>
        <v>62.50391717803646</v>
      </c>
      <c r="N138" s="92">
        <f t="shared" ca="1" si="334"/>
        <v>79.884965649464775</v>
      </c>
      <c r="O138" s="92">
        <f t="shared" ca="1" si="335"/>
        <v>107.42926312604024</v>
      </c>
      <c r="P138" s="92">
        <f t="shared" ca="1" si="336"/>
        <v>61.11535523300229</v>
      </c>
      <c r="Q138" s="92">
        <f t="shared" ca="1" si="337"/>
        <v>107.42926312604024</v>
      </c>
      <c r="R138" s="92" t="s">
        <v>79</v>
      </c>
      <c r="S138" s="95" t="str">
        <f ca="1">IF(OR(LEFT($Y$84,1)="J",LEFT($Y$84,1)="Y"),(VLOOKUP((LEFT($Y$84,6)),INDIRECT(D61),7,FALSE)),IF(RIGHT($Y$84,8)="Locality",(VLOOKUP($Y$84,INDIRECT(D138),5,FALSE)),IF(LEFT($Y$84,7)="Cluster",(VLOOKUP($Y$84,INDIRECT(#REF!),4,FALSE)),"N/A")))</f>
        <v>N/A</v>
      </c>
      <c r="T138" s="81">
        <f t="shared" ca="1" si="338"/>
        <v>31.835205992509362</v>
      </c>
      <c r="U138" s="82">
        <f t="shared" ca="1" si="339"/>
        <v>107.42926312604024</v>
      </c>
      <c r="V138" s="96"/>
      <c r="W138" s="81">
        <f t="shared" ca="1" si="340"/>
        <v>17.578571230032679</v>
      </c>
      <c r="X138" s="81">
        <f t="shared" ca="1" si="341"/>
        <v>107.42926312604024</v>
      </c>
      <c r="Y138" s="81">
        <f t="shared" ca="1" si="342"/>
        <v>107.42926312604024</v>
      </c>
      <c r="Z138" s="81">
        <f t="shared" ca="1" si="343"/>
        <v>17.578571230032679</v>
      </c>
      <c r="AA138" s="97">
        <f t="shared" ca="1" si="344"/>
        <v>0</v>
      </c>
      <c r="AB138" s="87">
        <f t="shared" ca="1" si="345"/>
        <v>0.30655632021682155</v>
      </c>
      <c r="AC138" s="87">
        <v>0.5</v>
      </c>
      <c r="AD138" s="87">
        <f t="shared" ca="1" si="346"/>
        <v>0.63566341574018592</v>
      </c>
      <c r="AE138" s="87">
        <f t="shared" ca="1" si="347"/>
        <v>0.84132971642581023</v>
      </c>
      <c r="AF138" s="180">
        <f t="shared" ca="1" si="348"/>
        <v>0.51545410408905123</v>
      </c>
      <c r="AG138" s="180">
        <f t="shared" ca="1" si="349"/>
        <v>0</v>
      </c>
      <c r="AH138" s="87">
        <f t="shared" ca="1" si="350"/>
        <v>-999</v>
      </c>
      <c r="AI138" s="87">
        <f t="shared" ca="1" si="351"/>
        <v>-999</v>
      </c>
      <c r="AJ138" s="87">
        <f t="shared" ca="1" si="352"/>
        <v>0.27211229245452168</v>
      </c>
      <c r="AK138" s="87">
        <f t="shared" ca="1" si="353"/>
        <v>-999</v>
      </c>
      <c r="AL138" s="87">
        <f t="shared" ca="1" si="354"/>
        <v>-999</v>
      </c>
      <c r="AM138" s="87">
        <f t="shared" ca="1" si="355"/>
        <v>-999</v>
      </c>
      <c r="AN138" s="87">
        <f t="shared" ca="1" si="356"/>
        <v>-999</v>
      </c>
      <c r="AO138" s="158">
        <f t="shared" si="179"/>
        <v>22.647999999999993</v>
      </c>
    </row>
    <row r="139" spans="1:41" s="21" customFormat="1" ht="10.199999999999999" x14ac:dyDescent="0.2">
      <c r="A139" s="440"/>
      <c r="B139" s="88">
        <f t="shared" si="226"/>
        <v>52</v>
      </c>
      <c r="C139" s="89" t="str">
        <f t="shared" si="292"/>
        <v>Prevalence of obesity among Year R children (%)*</v>
      </c>
      <c r="D139" s="90" t="s">
        <v>355</v>
      </c>
      <c r="E139" s="88">
        <f t="shared" ca="1" si="325"/>
        <v>2</v>
      </c>
      <c r="F139" s="110">
        <f t="shared" ca="1" si="326"/>
        <v>341</v>
      </c>
      <c r="G139" s="92">
        <f t="shared" ca="1" si="327"/>
        <v>9.9156731608025588</v>
      </c>
      <c r="H139" s="92">
        <f t="shared" ca="1" si="328"/>
        <v>8.9610644580442234</v>
      </c>
      <c r="I139" s="92">
        <f t="shared" ca="1" si="329"/>
        <v>10.95973256452972</v>
      </c>
      <c r="J139" s="93">
        <f t="shared" ca="1" si="330"/>
        <v>5</v>
      </c>
      <c r="K139" s="94">
        <f t="shared" ca="1" si="331"/>
        <v>4.7904191616766472</v>
      </c>
      <c r="L139" s="92">
        <f t="shared" ca="1" si="332"/>
        <v>8.8424437299035379</v>
      </c>
      <c r="M139" s="92">
        <f t="shared" ca="1" si="333"/>
        <v>10.411872986654394</v>
      </c>
      <c r="N139" s="92">
        <f t="shared" ca="1" si="334"/>
        <v>11.326860841423949</v>
      </c>
      <c r="O139" s="92">
        <f t="shared" ca="1" si="335"/>
        <v>13.864306784660767</v>
      </c>
      <c r="P139" s="92">
        <f t="shared" ca="1" si="336"/>
        <v>9.2256214149139577</v>
      </c>
      <c r="Q139" s="92">
        <f t="shared" ca="1" si="337"/>
        <v>12.5</v>
      </c>
      <c r="R139" s="92" t="s">
        <v>79</v>
      </c>
      <c r="S139" s="95" t="str">
        <f ca="1">IF(OR(LEFT($Y$84,1)="J",LEFT($Y$84,1)="Y"),(VLOOKUP((LEFT($Y$84,6)),INDIRECT(D62),7,FALSE)),IF(RIGHT($Y$84,8)="Locality",(VLOOKUP($Y$84,INDIRECT(D139),5,FALSE)),IF(LEFT($Y$84,7)="Cluster",(VLOOKUP($Y$84,INDIRECT(#REF!),4,FALSE)),"N/A")))</f>
        <v>N/A</v>
      </c>
      <c r="T139" s="81">
        <f t="shared" ca="1" si="338"/>
        <v>4.7904191616766472</v>
      </c>
      <c r="U139" s="82">
        <f t="shared" ca="1" si="339"/>
        <v>13.864306784660767</v>
      </c>
      <c r="V139" s="96"/>
      <c r="W139" s="81">
        <f t="shared" ca="1" si="340"/>
        <v>4.7904191616766472</v>
      </c>
      <c r="X139" s="81">
        <f t="shared" ca="1" si="341"/>
        <v>16.033326811632143</v>
      </c>
      <c r="Y139" s="81">
        <f t="shared" ca="1" si="342"/>
        <v>16.033326811632143</v>
      </c>
      <c r="Z139" s="81">
        <f t="shared" ca="1" si="343"/>
        <v>4.7904191616766472</v>
      </c>
      <c r="AA139" s="97">
        <f t="shared" ca="1" si="344"/>
        <v>0.19292340509262848</v>
      </c>
      <c r="AB139" s="87">
        <f t="shared" ca="1" si="345"/>
        <v>0.41861643951392097</v>
      </c>
      <c r="AC139" s="87">
        <v>0.5</v>
      </c>
      <c r="AD139" s="87">
        <f t="shared" ca="1" si="346"/>
        <v>0.63959282648355387</v>
      </c>
      <c r="AE139" s="87">
        <f t="shared" ca="1" si="347"/>
        <v>1</v>
      </c>
      <c r="AF139" s="180">
        <f t="shared" ca="1" si="348"/>
        <v>0.60551110163616195</v>
      </c>
      <c r="AG139" s="180">
        <f t="shared" ca="1" si="349"/>
        <v>0.31427162097574729</v>
      </c>
      <c r="AH139" s="87">
        <f t="shared" ca="1" si="350"/>
        <v>-999</v>
      </c>
      <c r="AI139" s="87">
        <f t="shared" ca="1" si="351"/>
        <v>0.54413447493307487</v>
      </c>
      <c r="AJ139" s="87">
        <f t="shared" ca="1" si="352"/>
        <v>-999</v>
      </c>
      <c r="AK139" s="87">
        <f t="shared" ca="1" si="353"/>
        <v>-999</v>
      </c>
      <c r="AL139" s="87">
        <f t="shared" ca="1" si="354"/>
        <v>-999</v>
      </c>
      <c r="AM139" s="87">
        <f t="shared" ca="1" si="355"/>
        <v>-999</v>
      </c>
      <c r="AN139" s="87">
        <f t="shared" ca="1" si="356"/>
        <v>-999</v>
      </c>
      <c r="AO139" s="158">
        <f t="shared" si="179"/>
        <v>23.087499999999991</v>
      </c>
    </row>
    <row r="140" spans="1:41" s="21" customFormat="1" ht="10.199999999999999" x14ac:dyDescent="0.2">
      <c r="A140" s="440"/>
      <c r="B140" s="88">
        <f t="shared" si="226"/>
        <v>53</v>
      </c>
      <c r="C140" s="89" t="str">
        <f t="shared" si="292"/>
        <v>Prevalence of obesity among Year 6 children (%)*</v>
      </c>
      <c r="D140" s="90" t="s">
        <v>356</v>
      </c>
      <c r="E140" s="88">
        <f t="shared" ca="1" si="325"/>
        <v>2</v>
      </c>
      <c r="F140" s="110">
        <f t="shared" ca="1" si="326"/>
        <v>572</v>
      </c>
      <c r="G140" s="92">
        <f t="shared" ca="1" si="327"/>
        <v>20.891161431701974</v>
      </c>
      <c r="H140" s="92">
        <f t="shared" ca="1" si="328"/>
        <v>19.409727126813788</v>
      </c>
      <c r="I140" s="92">
        <f t="shared" ca="1" si="329"/>
        <v>22.454161652313406</v>
      </c>
      <c r="J140" s="93">
        <f t="shared" ca="1" si="330"/>
        <v>5</v>
      </c>
      <c r="K140" s="94">
        <f t="shared" ca="1" si="331"/>
        <v>14.986376021798366</v>
      </c>
      <c r="L140" s="92">
        <f t="shared" ca="1" si="332"/>
        <v>21.113689095127611</v>
      </c>
      <c r="M140" s="92">
        <f t="shared" ca="1" si="333"/>
        <v>22.175305765870704</v>
      </c>
      <c r="N140" s="92">
        <f t="shared" ca="1" si="334"/>
        <v>23.246217331499313</v>
      </c>
      <c r="O140" s="92">
        <f t="shared" ca="1" si="335"/>
        <v>26.717557251908396</v>
      </c>
      <c r="P140" s="92">
        <f t="shared" ca="1" si="336"/>
        <v>18.827160493827158</v>
      </c>
      <c r="Q140" s="92">
        <f t="shared" ca="1" si="337"/>
        <v>21.810182275298555</v>
      </c>
      <c r="R140" s="92" t="s">
        <v>79</v>
      </c>
      <c r="S140" s="95" t="str">
        <f ca="1">IF(OR(LEFT($Y$84,1)="J",LEFT($Y$84,1)="Y"),(VLOOKUP((LEFT($Y$84,6)),INDIRECT(D63),7,FALSE)),IF(RIGHT($Y$84,8)="Locality",(VLOOKUP($Y$84,INDIRECT(D140),5,FALSE)),IF(LEFT($Y$84,7)="Cluster",(VLOOKUP($Y$84,INDIRECT(#REF!),4,FALSE)),"N/A")))</f>
        <v>N/A</v>
      </c>
      <c r="T140" s="81">
        <f t="shared" ca="1" si="338"/>
        <v>14.986376021798366</v>
      </c>
      <c r="U140" s="82">
        <f t="shared" ca="1" si="339"/>
        <v>26.717557251908396</v>
      </c>
      <c r="V140" s="96"/>
      <c r="W140" s="81">
        <f t="shared" ca="1" si="340"/>
        <v>14.986376021798366</v>
      </c>
      <c r="X140" s="81">
        <f t="shared" ca="1" si="341"/>
        <v>29.364235509943043</v>
      </c>
      <c r="Y140" s="81">
        <f t="shared" ca="1" si="342"/>
        <v>29.364235509943043</v>
      </c>
      <c r="Z140" s="81">
        <f t="shared" ca="1" si="343"/>
        <v>14.986376021798366</v>
      </c>
      <c r="AA140" s="97">
        <f t="shared" ca="1" si="344"/>
        <v>0.18408013099703588</v>
      </c>
      <c r="AB140" s="87">
        <f t="shared" ca="1" si="345"/>
        <v>0.42551662043215593</v>
      </c>
      <c r="AC140" s="87">
        <v>0.5</v>
      </c>
      <c r="AD140" s="87">
        <f t="shared" ca="1" si="346"/>
        <v>0.57383690678146171</v>
      </c>
      <c r="AE140" s="87">
        <f t="shared" ca="1" si="347"/>
        <v>1</v>
      </c>
      <c r="AF140" s="180">
        <f t="shared" ca="1" si="348"/>
        <v>0.73286813136574835</v>
      </c>
      <c r="AG140" s="180">
        <f t="shared" ca="1" si="349"/>
        <v>0.52539484343084686</v>
      </c>
      <c r="AH140" s="87">
        <f t="shared" ca="1" si="350"/>
        <v>-999</v>
      </c>
      <c r="AI140" s="87">
        <f t="shared" ca="1" si="351"/>
        <v>0.58931401334305544</v>
      </c>
      <c r="AJ140" s="87">
        <f t="shared" ca="1" si="352"/>
        <v>-999</v>
      </c>
      <c r="AK140" s="87">
        <f t="shared" ca="1" si="353"/>
        <v>-999</v>
      </c>
      <c r="AL140" s="87">
        <f t="shared" ca="1" si="354"/>
        <v>-999</v>
      </c>
      <c r="AM140" s="87">
        <f t="shared" ca="1" si="355"/>
        <v>-999</v>
      </c>
      <c r="AN140" s="87">
        <f t="shared" ca="1" si="356"/>
        <v>-999</v>
      </c>
      <c r="AO140" s="158">
        <f t="shared" si="179"/>
        <v>23.52699999999999</v>
      </c>
    </row>
    <row r="141" spans="1:41" s="21" customFormat="1" ht="10.199999999999999" x14ac:dyDescent="0.2">
      <c r="A141" s="440"/>
      <c r="B141" s="88">
        <f t="shared" si="226"/>
        <v>54</v>
      </c>
      <c r="C141" s="89" t="str">
        <f t="shared" si="292"/>
        <v>Looked after children (crude rate per 10,000 children aged 0-17 years)*</v>
      </c>
      <c r="D141" s="90" t="s">
        <v>361</v>
      </c>
      <c r="E141" s="88">
        <f t="shared" ca="1" si="325"/>
        <v>2</v>
      </c>
      <c r="F141" s="110">
        <f t="shared" ca="1" si="326"/>
        <v>209</v>
      </c>
      <c r="G141" s="92">
        <f t="shared" ca="1" si="327"/>
        <v>109.38972050664712</v>
      </c>
      <c r="H141" s="92">
        <f t="shared" ca="1" si="328"/>
        <v>95.060509417777908</v>
      </c>
      <c r="I141" s="92">
        <f t="shared" ca="1" si="329"/>
        <v>125.26872370388774</v>
      </c>
      <c r="J141" s="93">
        <f t="shared" ca="1" si="330"/>
        <v>5</v>
      </c>
      <c r="K141" s="94">
        <f t="shared" ca="1" si="331"/>
        <v>30.807147258163891</v>
      </c>
      <c r="L141" s="92">
        <f t="shared" ca="1" si="332"/>
        <v>58.866813833701251</v>
      </c>
      <c r="M141" s="92">
        <f t="shared" ca="1" si="333"/>
        <v>90.485055952595431</v>
      </c>
      <c r="N141" s="92">
        <f t="shared" ca="1" si="334"/>
        <v>99.900099900099903</v>
      </c>
      <c r="O141" s="92">
        <f t="shared" ca="1" si="335"/>
        <v>131.40943055913422</v>
      </c>
      <c r="P141" s="92">
        <f t="shared" ca="1" si="336"/>
        <v>62.893081761006293</v>
      </c>
      <c r="Q141" s="92">
        <f t="shared" ca="1" si="337"/>
        <v>131.40943055913422</v>
      </c>
      <c r="R141" s="92" t="s">
        <v>79</v>
      </c>
      <c r="S141" s="95" t="str">
        <f ca="1">IF(OR(LEFT($Y$84,1)="J",LEFT($Y$84,1)="Y"),(VLOOKUP((LEFT($Y$84,6)),INDIRECT(D64),7,FALSE)),IF(RIGHT($Y$84,8)="Locality",(VLOOKUP($Y$84,INDIRECT(D141),5,FALSE)),IF(LEFT($Y$84,7)="Cluster",(VLOOKUP($Y$84,INDIRECT(#REF!),4,FALSE)),"N/A")))</f>
        <v>N/A</v>
      </c>
      <c r="T141" s="81">
        <f t="shared" ca="1" si="338"/>
        <v>30.807147258163891</v>
      </c>
      <c r="U141" s="82">
        <f t="shared" ca="1" si="339"/>
        <v>131.40943055913422</v>
      </c>
      <c r="V141" s="96"/>
      <c r="W141" s="81">
        <f t="shared" ca="1" si="340"/>
        <v>30.807147258163891</v>
      </c>
      <c r="X141" s="81">
        <f t="shared" ca="1" si="341"/>
        <v>150.16296464702697</v>
      </c>
      <c r="Y141" s="81">
        <f t="shared" ca="1" si="342"/>
        <v>150.16296464702697</v>
      </c>
      <c r="Z141" s="81">
        <f t="shared" ca="1" si="343"/>
        <v>30.807147258163891</v>
      </c>
      <c r="AA141" s="97">
        <f t="shared" ca="1" si="344"/>
        <v>0.15712291615241045</v>
      </c>
      <c r="AB141" s="87">
        <f t="shared" ca="1" si="345"/>
        <v>0.42111784617225556</v>
      </c>
      <c r="AC141" s="87">
        <v>0.5</v>
      </c>
      <c r="AD141" s="87">
        <f t="shared" ca="1" si="346"/>
        <v>0.76490742395807532</v>
      </c>
      <c r="AE141" s="87">
        <f t="shared" ca="1" si="347"/>
        <v>1</v>
      </c>
      <c r="AF141" s="180">
        <f t="shared" ca="1" si="348"/>
        <v>0.73117410441498676</v>
      </c>
      <c r="AG141" s="180">
        <f t="shared" ca="1" si="349"/>
        <v>0.15712291615241045</v>
      </c>
      <c r="AH141" s="87">
        <f t="shared" ca="1" si="350"/>
        <v>-999</v>
      </c>
      <c r="AI141" s="87">
        <f t="shared" ca="1" si="351"/>
        <v>0.34161086600027207</v>
      </c>
      <c r="AJ141" s="87">
        <f t="shared" ca="1" si="352"/>
        <v>-999</v>
      </c>
      <c r="AK141" s="87">
        <f t="shared" ca="1" si="353"/>
        <v>-999</v>
      </c>
      <c r="AL141" s="87">
        <f t="shared" ca="1" si="354"/>
        <v>-999</v>
      </c>
      <c r="AM141" s="87">
        <f t="shared" ca="1" si="355"/>
        <v>-999</v>
      </c>
      <c r="AN141" s="87">
        <f t="shared" ca="1" si="356"/>
        <v>-999</v>
      </c>
      <c r="AO141" s="158">
        <f t="shared" si="179"/>
        <v>23.966499999999989</v>
      </c>
    </row>
    <row r="142" spans="1:41" s="21" customFormat="1" ht="10.199999999999999" x14ac:dyDescent="0.2">
      <c r="A142" s="440"/>
      <c r="B142" s="88">
        <f t="shared" si="226"/>
        <v>55</v>
      </c>
      <c r="C142" s="89" t="str">
        <f t="shared" si="292"/>
        <v>Child poverty (%)*</v>
      </c>
      <c r="D142" s="90" t="s">
        <v>363</v>
      </c>
      <c r="E142" s="88">
        <f t="shared" ca="1" si="325"/>
        <v>2</v>
      </c>
      <c r="F142" s="110">
        <f t="shared" ca="1" si="326"/>
        <v>3620</v>
      </c>
      <c r="G142" s="92">
        <f t="shared" ca="1" si="327"/>
        <v>20.44042913608131</v>
      </c>
      <c r="H142" s="92">
        <f t="shared" ca="1" si="328"/>
        <v>19.852946443822081</v>
      </c>
      <c r="I142" s="92">
        <f t="shared" ca="1" si="329"/>
        <v>21.040732522766998</v>
      </c>
      <c r="J142" s="93">
        <f t="shared" ca="1" si="330"/>
        <v>5</v>
      </c>
      <c r="K142" s="94">
        <f t="shared" ca="1" si="331"/>
        <v>8.0246913580246915</v>
      </c>
      <c r="L142" s="92">
        <f t="shared" ca="1" si="332"/>
        <v>16.849199663016005</v>
      </c>
      <c r="M142" s="92">
        <f t="shared" ca="1" si="333"/>
        <v>20.11754068716094</v>
      </c>
      <c r="N142" s="92">
        <f t="shared" ca="1" si="334"/>
        <v>20.279520821448944</v>
      </c>
      <c r="O142" s="92">
        <f t="shared" ca="1" si="335"/>
        <v>25.525525525525527</v>
      </c>
      <c r="P142" s="92">
        <f t="shared" ca="1" si="336"/>
        <v>17.322834645669293</v>
      </c>
      <c r="Q142" s="92">
        <f t="shared" ca="1" si="337"/>
        <v>21.642145230185097</v>
      </c>
      <c r="R142" s="92" t="s">
        <v>79</v>
      </c>
      <c r="S142" s="95" t="str">
        <f ca="1">IF(OR(LEFT($Y$84,1)="J",LEFT($Y$84,1)="Y"),(VLOOKUP((LEFT($Y$84,6)),INDIRECT(D65),7,FALSE)),IF(RIGHT($Y$84,8)="Locality",(VLOOKUP($Y$84,INDIRECT(D142),5,FALSE)),IF(LEFT($Y$84,7)="Cluster",(VLOOKUP($Y$84,INDIRECT(#REF!),4,FALSE)),"N/A")))</f>
        <v>N/A</v>
      </c>
      <c r="T142" s="81">
        <f t="shared" ca="1" si="338"/>
        <v>8.0246913580246915</v>
      </c>
      <c r="U142" s="82">
        <f t="shared" ca="1" si="339"/>
        <v>25.525525525525527</v>
      </c>
      <c r="V142" s="96"/>
      <c r="W142" s="81">
        <f t="shared" ca="1" si="340"/>
        <v>8.0246913580246915</v>
      </c>
      <c r="X142" s="81">
        <f t="shared" ca="1" si="341"/>
        <v>32.21039001629719</v>
      </c>
      <c r="Y142" s="81">
        <f t="shared" ca="1" si="342"/>
        <v>32.21039001629719</v>
      </c>
      <c r="Z142" s="81">
        <f t="shared" ca="1" si="343"/>
        <v>8.0246913580246915</v>
      </c>
      <c r="AA142" s="97">
        <f t="shared" ca="1" si="344"/>
        <v>0.2763974109338026</v>
      </c>
      <c r="AB142" s="87">
        <f t="shared" ca="1" si="345"/>
        <v>0.49330264812372493</v>
      </c>
      <c r="AC142" s="87">
        <v>0.5</v>
      </c>
      <c r="AD142" s="87">
        <f t="shared" ca="1" si="346"/>
        <v>0.63513527437533945</v>
      </c>
      <c r="AE142" s="87">
        <f t="shared" ca="1" si="347"/>
        <v>1</v>
      </c>
      <c r="AF142" s="180">
        <f t="shared" ca="1" si="348"/>
        <v>0.61555200786129627</v>
      </c>
      <c r="AG142" s="180">
        <f t="shared" ca="1" si="349"/>
        <v>0.43696255937999623</v>
      </c>
      <c r="AH142" s="87">
        <f t="shared" ca="1" si="350"/>
        <v>-999</v>
      </c>
      <c r="AI142" s="87">
        <f t="shared" ca="1" si="351"/>
        <v>0.48664961250520133</v>
      </c>
      <c r="AJ142" s="87">
        <f t="shared" ca="1" si="352"/>
        <v>-999</v>
      </c>
      <c r="AK142" s="87">
        <f t="shared" ca="1" si="353"/>
        <v>-999</v>
      </c>
      <c r="AL142" s="87">
        <f t="shared" ca="1" si="354"/>
        <v>-999</v>
      </c>
      <c r="AM142" s="87">
        <f t="shared" ca="1" si="355"/>
        <v>-999</v>
      </c>
      <c r="AN142" s="87">
        <f t="shared" ca="1" si="356"/>
        <v>-999</v>
      </c>
      <c r="AO142" s="158">
        <f t="shared" si="179"/>
        <v>24.405999999999988</v>
      </c>
    </row>
    <row r="143" spans="1:41" s="21" customFormat="1" ht="10.199999999999999" x14ac:dyDescent="0.2">
      <c r="A143" s="440"/>
      <c r="B143" s="88">
        <f t="shared" si="226"/>
        <v>56</v>
      </c>
      <c r="C143" s="89" t="str">
        <f t="shared" si="292"/>
        <v>Flu vaccination coverage 65+ years (%)</v>
      </c>
      <c r="D143" s="90" t="s">
        <v>375</v>
      </c>
      <c r="E143" s="88">
        <f t="shared" ca="1" si="325"/>
        <v>1</v>
      </c>
      <c r="F143" s="110">
        <f t="shared" ca="1" si="326"/>
        <v>11412</v>
      </c>
      <c r="G143" s="92">
        <f t="shared" ca="1" si="327"/>
        <v>75.153111623312483</v>
      </c>
      <c r="H143" s="92">
        <f t="shared" ca="1" si="328"/>
        <v>74.459501472994134</v>
      </c>
      <c r="I143" s="92">
        <f t="shared" ca="1" si="329"/>
        <v>75.833998664659646</v>
      </c>
      <c r="J143" s="93">
        <f t="shared" ca="1" si="330"/>
        <v>2</v>
      </c>
      <c r="K143" s="94">
        <f t="shared" ca="1" si="331"/>
        <v>51.162790697674417</v>
      </c>
      <c r="L143" s="92">
        <f t="shared" ca="1" si="332"/>
        <v>70.486111111111114</v>
      </c>
      <c r="M143" s="92">
        <f t="shared" ca="1" si="333"/>
        <v>73.192206309954074</v>
      </c>
      <c r="N143" s="92">
        <f t="shared" ca="1" si="334"/>
        <v>76.966292134831463</v>
      </c>
      <c r="O143" s="92">
        <f t="shared" ca="1" si="335"/>
        <v>89.495798319327733</v>
      </c>
      <c r="P143" s="92">
        <f t="shared" ca="1" si="336"/>
        <v>68.11926605504587</v>
      </c>
      <c r="Q143" s="92">
        <f t="shared" ca="1" si="337"/>
        <v>77.795091546552385</v>
      </c>
      <c r="R143" s="92" t="s">
        <v>79</v>
      </c>
      <c r="S143" s="95" t="str">
        <f ca="1">IF(OR(LEFT($Y$84,1)="J",LEFT($Y$84,1)="Y"),(VLOOKUP((LEFT($Y$84,6)),INDIRECT(D66),7,FALSE)),IF(RIGHT($Y$84,8)="Locality",(VLOOKUP($Y$84,INDIRECT(D143),5,FALSE)),IF(LEFT($Y$84,7)="Cluster",(VLOOKUP($Y$84,INDIRECT(#REF!),4,FALSE)),"N/A")))</f>
        <v>N/A</v>
      </c>
      <c r="T143" s="81">
        <f t="shared" ca="1" si="338"/>
        <v>89.495798319327733</v>
      </c>
      <c r="U143" s="82">
        <f t="shared" ca="1" si="339"/>
        <v>51.162790697674417</v>
      </c>
      <c r="V143" s="96"/>
      <c r="W143" s="81">
        <f t="shared" ca="1" si="340"/>
        <v>51.162790697674417</v>
      </c>
      <c r="X143" s="81">
        <f t="shared" ca="1" si="341"/>
        <v>95.221621922233737</v>
      </c>
      <c r="Y143" s="81">
        <f t="shared" ca="1" si="342"/>
        <v>51.162790697674417</v>
      </c>
      <c r="Z143" s="81">
        <f t="shared" ca="1" si="343"/>
        <v>95.221621922233737</v>
      </c>
      <c r="AA143" s="97">
        <f t="shared" ca="1" si="344"/>
        <v>0</v>
      </c>
      <c r="AB143" s="87">
        <f t="shared" ca="1" si="345"/>
        <v>0.43857995948529543</v>
      </c>
      <c r="AC143" s="87">
        <v>0.5</v>
      </c>
      <c r="AD143" s="87">
        <f t="shared" ca="1" si="346"/>
        <v>0.58566014394802268</v>
      </c>
      <c r="AE143" s="87">
        <f t="shared" ca="1" si="347"/>
        <v>0.87004140954800657</v>
      </c>
      <c r="AF143" s="180">
        <f t="shared" ca="1" si="348"/>
        <v>0.3848598541106909</v>
      </c>
      <c r="AG143" s="180">
        <f t="shared" ca="1" si="349"/>
        <v>0.60447134226367227</v>
      </c>
      <c r="AH143" s="87">
        <f t="shared" ca="1" si="350"/>
        <v>-999</v>
      </c>
      <c r="AI143" s="87">
        <f t="shared" ca="1" si="351"/>
        <v>-999</v>
      </c>
      <c r="AJ143" s="87">
        <f t="shared" ca="1" si="352"/>
        <v>-999</v>
      </c>
      <c r="AK143" s="87">
        <f t="shared" ca="1" si="353"/>
        <v>0.54450652136830535</v>
      </c>
      <c r="AL143" s="87">
        <f t="shared" ca="1" si="354"/>
        <v>-999</v>
      </c>
      <c r="AM143" s="87">
        <f t="shared" ca="1" si="355"/>
        <v>-999</v>
      </c>
      <c r="AN143" s="87">
        <f t="shared" ca="1" si="356"/>
        <v>-999</v>
      </c>
      <c r="AO143" s="158">
        <f t="shared" si="179"/>
        <v>24.845499999999987</v>
      </c>
    </row>
    <row r="144" spans="1:41" s="21" customFormat="1" ht="10.199999999999999" x14ac:dyDescent="0.2">
      <c r="A144" s="440"/>
      <c r="B144" s="88">
        <f t="shared" si="226"/>
        <v>57</v>
      </c>
      <c r="C144" s="89" t="str">
        <f t="shared" si="292"/>
        <v>Emergency admissions due to falls in people aged 65 and over (DSR per 100,000 registered population)</v>
      </c>
      <c r="D144" s="90" t="s">
        <v>364</v>
      </c>
      <c r="E144" s="88">
        <f t="shared" ca="1" si="325"/>
        <v>2</v>
      </c>
      <c r="F144" s="110">
        <f t="shared" ca="1" si="326"/>
        <v>1483</v>
      </c>
      <c r="G144" s="92">
        <f t="shared" ca="1" si="327"/>
        <v>3068.3957813556617</v>
      </c>
      <c r="H144" s="92">
        <f t="shared" ca="1" si="328"/>
        <v>2913.586077160187</v>
      </c>
      <c r="I144" s="92">
        <f t="shared" ca="1" si="329"/>
        <v>3229.2702202778341</v>
      </c>
      <c r="J144" s="93">
        <f t="shared" ca="1" si="330"/>
        <v>5</v>
      </c>
      <c r="K144" s="94">
        <f t="shared" ca="1" si="331"/>
        <v>1833.2618332618331</v>
      </c>
      <c r="L144" s="92">
        <f t="shared" ca="1" si="332"/>
        <v>2943.3170365455744</v>
      </c>
      <c r="M144" s="92">
        <f t="shared" ca="1" si="333"/>
        <v>3071.5794179164795</v>
      </c>
      <c r="N144" s="92">
        <f t="shared" ca="1" si="334"/>
        <v>3249.9845448201913</v>
      </c>
      <c r="O144" s="92">
        <f t="shared" ca="1" si="335"/>
        <v>5339.3510967946149</v>
      </c>
      <c r="P144" s="92">
        <f t="shared" ca="1" si="336"/>
        <v>2755.9409731781707</v>
      </c>
      <c r="Q144" s="92">
        <f t="shared" ca="1" si="337"/>
        <v>3545.0739815281686</v>
      </c>
      <c r="R144" s="92" t="s">
        <v>79</v>
      </c>
      <c r="S144" s="95" t="str">
        <f ca="1">IF(OR(LEFT($Y$84,1)="J",LEFT($Y$84,1)="Y"),(VLOOKUP((LEFT($Y$84,6)),INDIRECT(D67),7,FALSE)),IF(RIGHT($Y$84,8)="Locality",(VLOOKUP($Y$84,INDIRECT(D144),5,FALSE)),IF(LEFT($Y$84,7)="Cluster",(VLOOKUP($Y$84,INDIRECT(#REF!),4,FALSE)),"N/A")))</f>
        <v>N/A</v>
      </c>
      <c r="T144" s="81">
        <f t="shared" ca="1" si="338"/>
        <v>1833.2618332618331</v>
      </c>
      <c r="U144" s="82">
        <f t="shared" ca="1" si="339"/>
        <v>5339.3510967946149</v>
      </c>
      <c r="V144" s="96"/>
      <c r="W144" s="81">
        <f t="shared" ca="1" si="340"/>
        <v>803.80773903834415</v>
      </c>
      <c r="X144" s="81">
        <f t="shared" ca="1" si="341"/>
        <v>5339.3510967946149</v>
      </c>
      <c r="Y144" s="81">
        <f t="shared" ca="1" si="342"/>
        <v>5339.3510967946149</v>
      </c>
      <c r="Z144" s="81">
        <f t="shared" ca="1" si="343"/>
        <v>803.80773903834415</v>
      </c>
      <c r="AA144" s="97">
        <f t="shared" ca="1" si="344"/>
        <v>0</v>
      </c>
      <c r="AB144" s="87">
        <f t="shared" ca="1" si="345"/>
        <v>0.46066510386266735</v>
      </c>
      <c r="AC144" s="87">
        <v>0.5</v>
      </c>
      <c r="AD144" s="87">
        <f t="shared" ca="1" si="346"/>
        <v>0.52827938600819735</v>
      </c>
      <c r="AE144" s="87">
        <f t="shared" ca="1" si="347"/>
        <v>0.77302518948187082</v>
      </c>
      <c r="AF144" s="180">
        <f t="shared" ca="1" si="348"/>
        <v>0.56959220094292184</v>
      </c>
      <c r="AG144" s="180">
        <f t="shared" ca="1" si="349"/>
        <v>0.39560356361670274</v>
      </c>
      <c r="AH144" s="87">
        <f t="shared" ca="1" si="350"/>
        <v>-999</v>
      </c>
      <c r="AI144" s="87">
        <f t="shared" ca="1" si="351"/>
        <v>0.50070193057583134</v>
      </c>
      <c r="AJ144" s="87">
        <f t="shared" ca="1" si="352"/>
        <v>-999</v>
      </c>
      <c r="AK144" s="87">
        <f t="shared" ca="1" si="353"/>
        <v>-999</v>
      </c>
      <c r="AL144" s="87">
        <f t="shared" ca="1" si="354"/>
        <v>-999</v>
      </c>
      <c r="AM144" s="87">
        <f t="shared" ca="1" si="355"/>
        <v>-999</v>
      </c>
      <c r="AN144" s="87">
        <f t="shared" ca="1" si="356"/>
        <v>-999</v>
      </c>
      <c r="AO144" s="158">
        <f t="shared" si="179"/>
        <v>25.284999999999986</v>
      </c>
    </row>
    <row r="145" spans="1:41" s="21" customFormat="1" ht="10.199999999999999" x14ac:dyDescent="0.2">
      <c r="A145" s="440"/>
      <c r="B145" s="88">
        <f t="shared" si="226"/>
        <v>58</v>
      </c>
      <c r="C145" s="89" t="str">
        <f t="shared" si="292"/>
        <v>Emergency admissions due to hip fractures in those aged 65 and over (DSR per 100,000 registered population)</v>
      </c>
      <c r="D145" s="90" t="s">
        <v>367</v>
      </c>
      <c r="E145" s="88">
        <f t="shared" ca="1" si="325"/>
        <v>2</v>
      </c>
      <c r="F145" s="110">
        <f t="shared" ca="1" si="326"/>
        <v>300</v>
      </c>
      <c r="G145" s="92">
        <f t="shared" ca="1" si="327"/>
        <v>618.64289583767481</v>
      </c>
      <c r="H145" s="92">
        <f t="shared" ca="1" si="328"/>
        <v>550.3199524329101</v>
      </c>
      <c r="I145" s="92">
        <f t="shared" ca="1" si="329"/>
        <v>693.07534380953962</v>
      </c>
      <c r="J145" s="93">
        <f t="shared" ca="1" si="330"/>
        <v>5</v>
      </c>
      <c r="K145" s="94">
        <f t="shared" ca="1" si="331"/>
        <v>328.32159121953197</v>
      </c>
      <c r="L145" s="92">
        <f t="shared" ca="1" si="332"/>
        <v>573.60950105341669</v>
      </c>
      <c r="M145" s="92">
        <f t="shared" ca="1" si="333"/>
        <v>612.57115474457419</v>
      </c>
      <c r="N145" s="92">
        <f t="shared" ca="1" si="334"/>
        <v>728.96252116359653</v>
      </c>
      <c r="O145" s="92">
        <f t="shared" ca="1" si="335"/>
        <v>1737.0940750698362</v>
      </c>
      <c r="P145" s="92">
        <f t="shared" ca="1" si="336"/>
        <v>529.30124867377856</v>
      </c>
      <c r="Q145" s="92">
        <f t="shared" ca="1" si="337"/>
        <v>793.68027546247527</v>
      </c>
      <c r="R145" s="92" t="s">
        <v>79</v>
      </c>
      <c r="S145" s="95" t="str">
        <f ca="1">IF(OR(LEFT($Y$84,1)="J",LEFT($Y$84,1)="Y"),(VLOOKUP((LEFT($Y$84,6)),INDIRECT(D68),7,FALSE)),IF(RIGHT($Y$84,8)="Locality",(VLOOKUP($Y$84,INDIRECT(D145),5,FALSE)),IF(LEFT($Y$84,7)="Cluster",(VLOOKUP($Y$84,INDIRECT(#REF!),4,FALSE)),"N/A")))</f>
        <v>N/A</v>
      </c>
      <c r="T145" s="81">
        <f t="shared" ca="1" si="338"/>
        <v>328.32159121953197</v>
      </c>
      <c r="U145" s="82">
        <f t="shared" ca="1" si="339"/>
        <v>1737.0940750698362</v>
      </c>
      <c r="V145" s="96"/>
      <c r="W145" s="81">
        <f t="shared" ca="1" si="340"/>
        <v>-511.95176558068783</v>
      </c>
      <c r="X145" s="81">
        <f t="shared" ca="1" si="341"/>
        <v>1737.0940750698362</v>
      </c>
      <c r="Y145" s="81">
        <f t="shared" ca="1" si="342"/>
        <v>1737.0940750698362</v>
      </c>
      <c r="Z145" s="81">
        <f t="shared" ca="1" si="343"/>
        <v>-511.95176558068783</v>
      </c>
      <c r="AA145" s="97">
        <f t="shared" ca="1" si="344"/>
        <v>0</v>
      </c>
      <c r="AB145" s="87">
        <f t="shared" ca="1" si="345"/>
        <v>0.44824855753702342</v>
      </c>
      <c r="AC145" s="87">
        <v>0.5</v>
      </c>
      <c r="AD145" s="87">
        <f t="shared" ca="1" si="346"/>
        <v>0.51732363697837669</v>
      </c>
      <c r="AE145" s="87">
        <f t="shared" ca="1" si="347"/>
        <v>0.62638673627160246</v>
      </c>
      <c r="AF145" s="180">
        <f t="shared" ca="1" si="348"/>
        <v>0.53702454817315337</v>
      </c>
      <c r="AG145" s="180">
        <f t="shared" ca="1" si="349"/>
        <v>0.41947290826872774</v>
      </c>
      <c r="AH145" s="87">
        <f t="shared" ca="1" si="350"/>
        <v>-999</v>
      </c>
      <c r="AI145" s="87">
        <f t="shared" ca="1" si="351"/>
        <v>0.4973003035405697</v>
      </c>
      <c r="AJ145" s="87">
        <f t="shared" ca="1" si="352"/>
        <v>-999</v>
      </c>
      <c r="AK145" s="87">
        <f t="shared" ca="1" si="353"/>
        <v>-999</v>
      </c>
      <c r="AL145" s="87">
        <f t="shared" ca="1" si="354"/>
        <v>-999</v>
      </c>
      <c r="AM145" s="87">
        <f t="shared" ca="1" si="355"/>
        <v>-999</v>
      </c>
      <c r="AN145" s="87">
        <f t="shared" ca="1" si="356"/>
        <v>-999</v>
      </c>
      <c r="AO145" s="158">
        <f t="shared" si="179"/>
        <v>25.724499999999985</v>
      </c>
    </row>
    <row r="146" spans="1:41" s="21" customFormat="1" ht="10.199999999999999" x14ac:dyDescent="0.2">
      <c r="A146" s="440"/>
      <c r="B146" s="88">
        <f t="shared" si="226"/>
        <v>59</v>
      </c>
      <c r="C146" s="89" t="str">
        <f t="shared" si="292"/>
        <v>Social care support 65 years and over (crude rate per 1,000 resident population)*</v>
      </c>
      <c r="D146" s="90" t="s">
        <v>390</v>
      </c>
      <c r="E146" s="88">
        <f t="shared" ca="1" si="325"/>
        <v>1</v>
      </c>
      <c r="F146" s="110">
        <f t="shared" ca="1" si="326"/>
        <v>533</v>
      </c>
      <c r="G146" s="92">
        <f t="shared" ca="1" si="327"/>
        <v>36.263437202340455</v>
      </c>
      <c r="H146" s="92">
        <f t="shared" ca="1" si="328"/>
        <v>33.249725013042806</v>
      </c>
      <c r="I146" s="92">
        <f t="shared" ca="1" si="329"/>
        <v>39.4769279696715</v>
      </c>
      <c r="J146" s="93">
        <f t="shared" ca="1" si="330"/>
        <v>5</v>
      </c>
      <c r="K146" s="94">
        <f t="shared" ca="1" si="331"/>
        <v>20.595690747782001</v>
      </c>
      <c r="L146" s="92">
        <f t="shared" ca="1" si="332"/>
        <v>31.950909860347014</v>
      </c>
      <c r="M146" s="92">
        <f t="shared" ca="1" si="333"/>
        <v>38.165990869651516</v>
      </c>
      <c r="N146" s="92">
        <f t="shared" ca="1" si="334"/>
        <v>42.548134062277157</v>
      </c>
      <c r="O146" s="92">
        <f t="shared" ca="1" si="335"/>
        <v>94.962362478286039</v>
      </c>
      <c r="P146" s="92">
        <f t="shared" ca="1" si="336"/>
        <v>31.728665207877462</v>
      </c>
      <c r="Q146" s="92">
        <f t="shared" ca="1" si="337"/>
        <v>45.628997867803839</v>
      </c>
      <c r="R146" s="92" t="s">
        <v>79</v>
      </c>
      <c r="S146" s="95" t="str">
        <f ca="1">IF(OR(LEFT($Y$84,1)="J",LEFT($Y$84,1)="Y"),(VLOOKUP((LEFT($Y$84,6)),INDIRECT(D69),7,FALSE)),IF(RIGHT($Y$84,8)="Locality",(VLOOKUP($Y$84,INDIRECT(D146),5,FALSE)),IF(LEFT($Y$84,7)="Cluster",(VLOOKUP($Y$84,INDIRECT(#REF!),4,FALSE)),"N/A")))</f>
        <v>N/A</v>
      </c>
      <c r="T146" s="81">
        <f t="shared" ca="1" si="338"/>
        <v>94.962362478286039</v>
      </c>
      <c r="U146" s="82">
        <f t="shared" ca="1" si="339"/>
        <v>20.595690747782001</v>
      </c>
      <c r="V146" s="96"/>
      <c r="W146" s="81">
        <f t="shared" ca="1" si="340"/>
        <v>-18.630380738983007</v>
      </c>
      <c r="X146" s="81">
        <f t="shared" ca="1" si="341"/>
        <v>94.962362478286039</v>
      </c>
      <c r="Y146" s="81">
        <f t="shared" ca="1" si="342"/>
        <v>-18.630380738983007</v>
      </c>
      <c r="Z146" s="81">
        <f t="shared" ca="1" si="343"/>
        <v>94.962362478286039</v>
      </c>
      <c r="AA146" s="97">
        <f t="shared" ca="1" si="344"/>
        <v>0.34532198427268573</v>
      </c>
      <c r="AB146" s="87">
        <f t="shared" ca="1" si="345"/>
        <v>0.44528628472844511</v>
      </c>
      <c r="AC146" s="87">
        <v>0.5</v>
      </c>
      <c r="AD146" s="87">
        <f t="shared" ca="1" si="346"/>
        <v>0.5385776685069037</v>
      </c>
      <c r="AE146" s="87">
        <f t="shared" ca="1" si="347"/>
        <v>1</v>
      </c>
      <c r="AF146" s="180">
        <f t="shared" ca="1" si="348"/>
        <v>0.44332978076371155</v>
      </c>
      <c r="AG146" s="180">
        <f t="shared" ca="1" si="349"/>
        <v>0.56569968104280932</v>
      </c>
      <c r="AH146" s="87">
        <f t="shared" ca="1" si="350"/>
        <v>-999</v>
      </c>
      <c r="AI146" s="87">
        <f t="shared" ca="1" si="351"/>
        <v>0.48325109849955783</v>
      </c>
      <c r="AJ146" s="87">
        <f t="shared" ca="1" si="352"/>
        <v>-999</v>
      </c>
      <c r="AK146" s="87">
        <f t="shared" ca="1" si="353"/>
        <v>-999</v>
      </c>
      <c r="AL146" s="87">
        <f t="shared" ca="1" si="354"/>
        <v>-999</v>
      </c>
      <c r="AM146" s="87">
        <f t="shared" ca="1" si="355"/>
        <v>-999</v>
      </c>
      <c r="AN146" s="87">
        <f t="shared" ca="1" si="356"/>
        <v>-999</v>
      </c>
      <c r="AO146" s="158">
        <f t="shared" si="179"/>
        <v>26.163999999999984</v>
      </c>
    </row>
    <row r="147" spans="1:41" s="21" customFormat="1" ht="10.199999999999999" x14ac:dyDescent="0.2">
      <c r="A147" s="440"/>
      <c r="B147" s="88">
        <f t="shared" si="226"/>
        <v>60</v>
      </c>
      <c r="C147" s="89" t="str">
        <f t="shared" si="292"/>
        <v>Excess Winter Deaths (%) all ages</v>
      </c>
      <c r="D147" s="90" t="s">
        <v>377</v>
      </c>
      <c r="E147" s="88">
        <f t="shared" ca="1" si="325"/>
        <v>2</v>
      </c>
      <c r="F147" s="110">
        <f t="shared" ca="1" si="326"/>
        <v>167</v>
      </c>
      <c r="G147" s="92">
        <f t="shared" ca="1" si="327"/>
        <v>22.659430122116689</v>
      </c>
      <c r="H147" s="92">
        <f t="shared" ca="1" si="328"/>
        <v>12.912541606144345</v>
      </c>
      <c r="I147" s="92">
        <f t="shared" ca="1" si="329"/>
        <v>33.247913829342643</v>
      </c>
      <c r="J147" s="93">
        <f t="shared" ca="1" si="330"/>
        <v>5</v>
      </c>
      <c r="K147" s="94">
        <f t="shared" ca="1" si="331"/>
        <v>-26.530612244897959</v>
      </c>
      <c r="L147" s="92">
        <f t="shared" ca="1" si="332"/>
        <v>7.8838174273858916</v>
      </c>
      <c r="M147" s="92">
        <f t="shared" ca="1" si="333"/>
        <v>21.994134897360702</v>
      </c>
      <c r="N147" s="92">
        <f t="shared" ca="1" si="334"/>
        <v>31.111111111111111</v>
      </c>
      <c r="O147" s="92">
        <f t="shared" ca="1" si="335"/>
        <v>54.117647058823529</v>
      </c>
      <c r="P147" s="92">
        <f t="shared" ca="1" si="336"/>
        <v>7.8838174273858916</v>
      </c>
      <c r="Q147" s="92">
        <f t="shared" ca="1" si="337"/>
        <v>31.111111111111111</v>
      </c>
      <c r="R147" s="92" t="s">
        <v>79</v>
      </c>
      <c r="S147" s="95" t="str">
        <f ca="1">IF(OR(LEFT($Y$84,1)="J",LEFT($Y$84,1)="Y"),(VLOOKUP((LEFT($Y$84,6)),INDIRECT(D70),7,FALSE)),IF(RIGHT($Y$84,8)="Locality",(VLOOKUP($Y$84,INDIRECT(D147),5,FALSE)),IF(LEFT($Y$84,7)="Cluster",(VLOOKUP($Y$84,INDIRECT(#REF!),4,FALSE)),"N/A")))</f>
        <v>N/A</v>
      </c>
      <c r="T147" s="81">
        <f t="shared" ca="1" si="338"/>
        <v>-26.530612244897959</v>
      </c>
      <c r="U147" s="82">
        <f t="shared" ca="1" si="339"/>
        <v>54.117647058823529</v>
      </c>
      <c r="V147" s="96"/>
      <c r="W147" s="81">
        <f t="shared" ca="1" si="340"/>
        <v>-26.530612244897959</v>
      </c>
      <c r="X147" s="81">
        <f t="shared" ca="1" si="341"/>
        <v>70.518882039619371</v>
      </c>
      <c r="Y147" s="81">
        <f t="shared" ca="1" si="342"/>
        <v>70.518882039619371</v>
      </c>
      <c r="Z147" s="81">
        <f t="shared" ca="1" si="343"/>
        <v>-26.530612244897959</v>
      </c>
      <c r="AA147" s="97">
        <f t="shared" ca="1" si="344"/>
        <v>0.16899866508024033</v>
      </c>
      <c r="AB147" s="87">
        <f t="shared" ca="1" si="345"/>
        <v>0.40605848818724993</v>
      </c>
      <c r="AC147" s="87">
        <v>0.5</v>
      </c>
      <c r="AD147" s="87">
        <f t="shared" ca="1" si="346"/>
        <v>0.64539300358029672</v>
      </c>
      <c r="AE147" s="87">
        <f t="shared" ca="1" si="347"/>
        <v>1</v>
      </c>
      <c r="AF147" s="180">
        <f t="shared" ca="1" si="348"/>
        <v>0.64539300358029672</v>
      </c>
      <c r="AG147" s="180">
        <f t="shared" ca="1" si="349"/>
        <v>0.40605848818724993</v>
      </c>
      <c r="AH147" s="87">
        <f t="shared" ca="1" si="350"/>
        <v>-999</v>
      </c>
      <c r="AI147" s="87">
        <f t="shared" ca="1" si="351"/>
        <v>0.49314478421901353</v>
      </c>
      <c r="AJ147" s="87">
        <f t="shared" ca="1" si="352"/>
        <v>-999</v>
      </c>
      <c r="AK147" s="87">
        <f t="shared" ca="1" si="353"/>
        <v>-999</v>
      </c>
      <c r="AL147" s="87">
        <f t="shared" ca="1" si="354"/>
        <v>-999</v>
      </c>
      <c r="AM147" s="87">
        <f t="shared" ca="1" si="355"/>
        <v>-999</v>
      </c>
      <c r="AN147" s="87">
        <f t="shared" ca="1" si="356"/>
        <v>-999</v>
      </c>
      <c r="AO147" s="158">
        <f t="shared" si="179"/>
        <v>26.603499999999983</v>
      </c>
    </row>
    <row r="148" spans="1:41" s="21" customFormat="1" ht="10.199999999999999" x14ac:dyDescent="0.2">
      <c r="A148" s="440"/>
      <c r="B148" s="88">
        <f t="shared" si="226"/>
        <v>61</v>
      </c>
      <c r="C148" s="89" t="str">
        <f t="shared" si="292"/>
        <v>Deaths occuring at home (%) all ages</v>
      </c>
      <c r="D148" s="90" t="s">
        <v>385</v>
      </c>
      <c r="E148" s="88">
        <f t="shared" ca="1" si="325"/>
        <v>1</v>
      </c>
      <c r="F148" s="110">
        <f t="shared" ca="1" si="326"/>
        <v>573</v>
      </c>
      <c r="G148" s="92">
        <f t="shared" ca="1" si="327"/>
        <v>23.825363825363823</v>
      </c>
      <c r="H148" s="92">
        <f t="shared" ca="1" si="328"/>
        <v>22.165340206785814</v>
      </c>
      <c r="I148" s="92">
        <f t="shared" ca="1" si="329"/>
        <v>25.568870552922146</v>
      </c>
      <c r="J148" s="93">
        <f t="shared" ca="1" si="330"/>
        <v>5</v>
      </c>
      <c r="K148" s="94">
        <f t="shared" ca="1" si="331"/>
        <v>6.1224489795918364</v>
      </c>
      <c r="L148" s="92">
        <f t="shared" ca="1" si="332"/>
        <v>19.347319347319345</v>
      </c>
      <c r="M148" s="92">
        <f t="shared" ca="1" si="333"/>
        <v>25.308531568592382</v>
      </c>
      <c r="N148" s="92">
        <f t="shared" ca="1" si="334"/>
        <v>30.375426621160408</v>
      </c>
      <c r="O148" s="92">
        <f t="shared" ca="1" si="335"/>
        <v>37.878787878787875</v>
      </c>
      <c r="P148" s="92">
        <f t="shared" ca="1" si="336"/>
        <v>17.127071823204421</v>
      </c>
      <c r="Q148" s="92">
        <f t="shared" ca="1" si="337"/>
        <v>28.623188405797105</v>
      </c>
      <c r="R148" s="92" t="s">
        <v>79</v>
      </c>
      <c r="S148" s="95" t="str">
        <f ca="1">IF(OR(LEFT($Y$84,1)="J",LEFT($Y$84,1)="Y"),(VLOOKUP((LEFT($Y$84,6)),INDIRECT(D71),7,FALSE)),IF(RIGHT($Y$84,8)="Locality",(VLOOKUP($Y$84,INDIRECT(D148),5,FALSE)),IF(LEFT($Y$84,7)="Cluster",(VLOOKUP($Y$84,INDIRECT(#REF!),4,FALSE)),"N/A")))</f>
        <v>N/A</v>
      </c>
      <c r="T148" s="81">
        <f t="shared" ca="1" si="338"/>
        <v>37.878787878787875</v>
      </c>
      <c r="U148" s="82">
        <f t="shared" ca="1" si="339"/>
        <v>6.1224489795918364</v>
      </c>
      <c r="V148" s="96"/>
      <c r="W148" s="81">
        <f t="shared" ca="1" si="340"/>
        <v>6.1224489795918364</v>
      </c>
      <c r="X148" s="81">
        <f t="shared" ca="1" si="341"/>
        <v>44.494614157592927</v>
      </c>
      <c r="Y148" s="81">
        <f t="shared" ca="1" si="342"/>
        <v>6.1224489795918364</v>
      </c>
      <c r="Z148" s="81">
        <f t="shared" ca="1" si="343"/>
        <v>44.494614157592927</v>
      </c>
      <c r="AA148" s="97">
        <f t="shared" ca="1" si="344"/>
        <v>0</v>
      </c>
      <c r="AB148" s="87">
        <f t="shared" ca="1" si="345"/>
        <v>0.34464748878203455</v>
      </c>
      <c r="AC148" s="87">
        <v>0.5</v>
      </c>
      <c r="AD148" s="87">
        <f t="shared" ca="1" si="346"/>
        <v>0.6320461076163848</v>
      </c>
      <c r="AE148" s="87">
        <f t="shared" ca="1" si="347"/>
        <v>0.82758788178578124</v>
      </c>
      <c r="AF148" s="180">
        <f t="shared" ca="1" si="348"/>
        <v>0.28678660150044327</v>
      </c>
      <c r="AG148" s="180">
        <f t="shared" ca="1" si="349"/>
        <v>0.58638180362845482</v>
      </c>
      <c r="AH148" s="87">
        <f t="shared" ca="1" si="350"/>
        <v>-999</v>
      </c>
      <c r="AI148" s="87">
        <f t="shared" ca="1" si="351"/>
        <v>0.46134782240333766</v>
      </c>
      <c r="AJ148" s="87">
        <f t="shared" ca="1" si="352"/>
        <v>-999</v>
      </c>
      <c r="AK148" s="87">
        <f t="shared" ca="1" si="353"/>
        <v>-999</v>
      </c>
      <c r="AL148" s="87">
        <f t="shared" ca="1" si="354"/>
        <v>-999</v>
      </c>
      <c r="AM148" s="87">
        <f t="shared" ca="1" si="355"/>
        <v>-999</v>
      </c>
      <c r="AN148" s="87">
        <f t="shared" ca="1" si="356"/>
        <v>-999</v>
      </c>
      <c r="AO148" s="158">
        <f t="shared" si="179"/>
        <v>27.042999999999981</v>
      </c>
    </row>
    <row r="149" spans="1:41" s="21" customFormat="1" ht="10.199999999999999" x14ac:dyDescent="0.2">
      <c r="A149" s="440"/>
      <c r="B149" s="88">
        <f t="shared" si="226"/>
        <v>62</v>
      </c>
      <c r="C149" s="89" t="str">
        <f t="shared" si="292"/>
        <v>Unemployment (claimant count) (%)*</v>
      </c>
      <c r="D149" s="90" t="s">
        <v>368</v>
      </c>
      <c r="E149" s="88">
        <f t="shared" ca="1" si="325"/>
        <v>2</v>
      </c>
      <c r="F149" s="110">
        <f t="shared" ca="1" si="326"/>
        <v>1795</v>
      </c>
      <c r="G149" s="92">
        <f t="shared" ca="1" si="327"/>
        <v>3.3432669025889368</v>
      </c>
      <c r="H149" s="92">
        <f t="shared" ca="1" si="328"/>
        <v>3.1945179114664901</v>
      </c>
      <c r="I149" s="92">
        <f t="shared" ca="1" si="329"/>
        <v>3.498691889096786</v>
      </c>
      <c r="J149" s="93">
        <f t="shared" ca="1" si="330"/>
        <v>1</v>
      </c>
      <c r="K149" s="94">
        <f t="shared" ca="1" si="331"/>
        <v>1.5315170078994036</v>
      </c>
      <c r="L149" s="92">
        <f t="shared" ca="1" si="332"/>
        <v>1.9610040340654415</v>
      </c>
      <c r="M149" s="92">
        <f t="shared" ca="1" si="333"/>
        <v>2.9116025921911395</v>
      </c>
      <c r="N149" s="92">
        <f t="shared" ca="1" si="334"/>
        <v>3.3333333333333335</v>
      </c>
      <c r="O149" s="92">
        <f t="shared" ca="1" si="335"/>
        <v>4.3053960964408731</v>
      </c>
      <c r="P149" s="92">
        <f t="shared" ca="1" si="336"/>
        <v>2.5936599423631126</v>
      </c>
      <c r="Q149" s="92">
        <f t="shared" ca="1" si="337"/>
        <v>4.3053960964408731</v>
      </c>
      <c r="R149" s="92" t="s">
        <v>79</v>
      </c>
      <c r="S149" s="95" t="str">
        <f ca="1">IF(OR(LEFT($Y$84,1)="J",LEFT($Y$84,1)="Y"),(VLOOKUP((LEFT($Y$84,6)),INDIRECT(D72),7,FALSE)),IF(RIGHT($Y$84,8)="Locality",(VLOOKUP($Y$84,INDIRECT(D149),5,FALSE)),IF(LEFT($Y$84,7)="Cluster",(VLOOKUP($Y$84,INDIRECT(#REF!),4,FALSE)),"N/A")))</f>
        <v>N/A</v>
      </c>
      <c r="T149" s="81">
        <f t="shared" ca="1" si="338"/>
        <v>1.5315170078994036</v>
      </c>
      <c r="U149" s="82">
        <f t="shared" ca="1" si="339"/>
        <v>4.3053960964408731</v>
      </c>
      <c r="V149" s="96"/>
      <c r="W149" s="81">
        <f t="shared" ca="1" si="340"/>
        <v>1.5178090879414059</v>
      </c>
      <c r="X149" s="81">
        <f t="shared" ca="1" si="341"/>
        <v>4.3053960964408731</v>
      </c>
      <c r="Y149" s="81">
        <f t="shared" ca="1" si="342"/>
        <v>4.3053960964408731</v>
      </c>
      <c r="Z149" s="81">
        <f t="shared" ca="1" si="343"/>
        <v>1.5178090879414059</v>
      </c>
      <c r="AA149" s="97">
        <f t="shared" ca="1" si="344"/>
        <v>0</v>
      </c>
      <c r="AB149" s="87">
        <f t="shared" ca="1" si="345"/>
        <v>0.34871118287740627</v>
      </c>
      <c r="AC149" s="87">
        <v>0.5</v>
      </c>
      <c r="AD149" s="87">
        <f t="shared" ca="1" si="346"/>
        <v>0.84101125999916193</v>
      </c>
      <c r="AE149" s="87">
        <f t="shared" ca="1" si="347"/>
        <v>0.99508251404666404</v>
      </c>
      <c r="AF149" s="180">
        <f t="shared" ca="1" si="348"/>
        <v>0.61405658329537582</v>
      </c>
      <c r="AG149" s="180">
        <f t="shared" ca="1" si="349"/>
        <v>0</v>
      </c>
      <c r="AH149" s="87">
        <f t="shared" ca="1" si="350"/>
        <v>-999</v>
      </c>
      <c r="AI149" s="87">
        <f t="shared" ca="1" si="351"/>
        <v>-999</v>
      </c>
      <c r="AJ149" s="87">
        <f t="shared" ca="1" si="352"/>
        <v>0.3451476818188508</v>
      </c>
      <c r="AK149" s="87">
        <f t="shared" ca="1" si="353"/>
        <v>-999</v>
      </c>
      <c r="AL149" s="87">
        <f t="shared" ca="1" si="354"/>
        <v>-999</v>
      </c>
      <c r="AM149" s="87">
        <f t="shared" ca="1" si="355"/>
        <v>-999</v>
      </c>
      <c r="AN149" s="87">
        <f t="shared" ca="1" si="356"/>
        <v>-999</v>
      </c>
      <c r="AO149" s="158">
        <f t="shared" si="179"/>
        <v>27.48249999999998</v>
      </c>
    </row>
    <row r="150" spans="1:41" s="21" customFormat="1" ht="10.199999999999999" x14ac:dyDescent="0.2">
      <c r="A150" s="440"/>
      <c r="B150" s="88">
        <f t="shared" si="226"/>
        <v>63</v>
      </c>
      <c r="C150" s="89" t="str">
        <f t="shared" si="292"/>
        <v>Fuel poverty (%)*</v>
      </c>
      <c r="D150" s="90" t="s">
        <v>372</v>
      </c>
      <c r="E150" s="88">
        <f t="shared" ca="1" si="325"/>
        <v>2</v>
      </c>
      <c r="F150" s="110">
        <f t="shared" ca="1" si="326"/>
        <v>3473</v>
      </c>
      <c r="G150" s="92">
        <f t="shared" ca="1" si="327"/>
        <v>9.0013736619754816</v>
      </c>
      <c r="H150" s="92">
        <f t="shared" ca="1" si="328"/>
        <v>8.7198641378543869</v>
      </c>
      <c r="I150" s="92">
        <f t="shared" ca="1" si="329"/>
        <v>9.291046307452369</v>
      </c>
      <c r="J150" s="93">
        <f t="shared" ca="1" si="330"/>
        <v>2</v>
      </c>
      <c r="K150" s="94">
        <f t="shared" ca="1" si="331"/>
        <v>8.4733382030679323</v>
      </c>
      <c r="L150" s="92">
        <f t="shared" ca="1" si="332"/>
        <v>9.3337450783602254</v>
      </c>
      <c r="M150" s="92">
        <f t="shared" ca="1" si="333"/>
        <v>11.470826773531797</v>
      </c>
      <c r="N150" s="92">
        <f t="shared" ca="1" si="334"/>
        <v>14.799281006590773</v>
      </c>
      <c r="O150" s="92">
        <f t="shared" ca="1" si="335"/>
        <v>18.022741629816803</v>
      </c>
      <c r="P150" s="92">
        <f t="shared" ca="1" si="336"/>
        <v>8.4733382030679323</v>
      </c>
      <c r="Q150" s="92">
        <f t="shared" ca="1" si="337"/>
        <v>9.3630919978225382</v>
      </c>
      <c r="R150" s="92" t="s">
        <v>79</v>
      </c>
      <c r="S150" s="95" t="str">
        <f ca="1">IF(OR(LEFT($Y$84,1)="J",LEFT($Y$84,1)="Y"),(VLOOKUP((LEFT($Y$84,6)),INDIRECT(D73),7,FALSE)),IF(RIGHT($Y$84,8)="Locality",(VLOOKUP($Y$84,INDIRECT(D150),5,FALSE)),IF(LEFT($Y$84,7)="Cluster",(VLOOKUP($Y$84,INDIRECT(#REF!),4,FALSE)),"N/A")))</f>
        <v>N/A</v>
      </c>
      <c r="T150" s="81">
        <f t="shared" ca="1" si="338"/>
        <v>8.4733382030679323</v>
      </c>
      <c r="U150" s="82">
        <f t="shared" ca="1" si="339"/>
        <v>18.022741629816803</v>
      </c>
      <c r="V150" s="96"/>
      <c r="W150" s="81">
        <f t="shared" ca="1" si="340"/>
        <v>4.9189119172467919</v>
      </c>
      <c r="X150" s="81">
        <f t="shared" ca="1" si="341"/>
        <v>18.022741629816803</v>
      </c>
      <c r="Y150" s="81">
        <f t="shared" ca="1" si="342"/>
        <v>18.022741629816803</v>
      </c>
      <c r="Z150" s="81">
        <f t="shared" ca="1" si="343"/>
        <v>4.9189119172467919</v>
      </c>
      <c r="AA150" s="97">
        <f t="shared" ca="1" si="344"/>
        <v>0</v>
      </c>
      <c r="AB150" s="87">
        <f t="shared" ca="1" si="345"/>
        <v>0.2459937815075455</v>
      </c>
      <c r="AC150" s="87">
        <v>0.5</v>
      </c>
      <c r="AD150" s="87">
        <f t="shared" ca="1" si="346"/>
        <v>0.66308832929365302</v>
      </c>
      <c r="AE150" s="87">
        <f t="shared" ca="1" si="347"/>
        <v>0.72874904789005979</v>
      </c>
      <c r="AF150" s="180">
        <f t="shared" ca="1" si="348"/>
        <v>0.72874904789005979</v>
      </c>
      <c r="AG150" s="180">
        <f t="shared" ca="1" si="349"/>
        <v>0.66084876115929592</v>
      </c>
      <c r="AH150" s="87">
        <f t="shared" ca="1" si="350"/>
        <v>-999</v>
      </c>
      <c r="AI150" s="87">
        <f t="shared" ca="1" si="351"/>
        <v>-999</v>
      </c>
      <c r="AJ150" s="87">
        <f t="shared" ca="1" si="352"/>
        <v>-999</v>
      </c>
      <c r="AK150" s="87">
        <f t="shared" ca="1" si="353"/>
        <v>0.68845277798348237</v>
      </c>
      <c r="AL150" s="87">
        <f t="shared" ca="1" si="354"/>
        <v>-999</v>
      </c>
      <c r="AM150" s="87">
        <f t="shared" ca="1" si="355"/>
        <v>-999</v>
      </c>
      <c r="AN150" s="87">
        <f t="shared" ca="1" si="356"/>
        <v>-999</v>
      </c>
      <c r="AO150" s="158">
        <f t="shared" si="179"/>
        <v>27.921999999999979</v>
      </c>
    </row>
    <row r="151" spans="1:41" s="21" customFormat="1" ht="10.199999999999999" x14ac:dyDescent="0.2">
      <c r="A151" s="440"/>
      <c r="B151" s="88">
        <f t="shared" si="226"/>
        <v>64</v>
      </c>
      <c r="C151" s="89" t="str">
        <f t="shared" si="292"/>
        <v>Lone parent households (%)*</v>
      </c>
      <c r="D151" s="90" t="s">
        <v>387</v>
      </c>
      <c r="E151" s="88">
        <f t="shared" ca="1" si="325"/>
        <v>1</v>
      </c>
      <c r="F151" s="110">
        <f t="shared" ca="1" si="326"/>
        <v>2957</v>
      </c>
      <c r="G151" s="92">
        <f t="shared" ca="1" si="327"/>
        <v>8.1737015230671428</v>
      </c>
      <c r="H151" s="92">
        <f t="shared" ca="1" si="328"/>
        <v>7.8958134286505857</v>
      </c>
      <c r="I151" s="92">
        <f t="shared" ca="1" si="329"/>
        <v>8.4604713348093767</v>
      </c>
      <c r="J151" s="93">
        <f t="shared" ca="1" si="330"/>
        <v>4</v>
      </c>
      <c r="K151" s="94">
        <f t="shared" ca="1" si="331"/>
        <v>2.5883379380543845</v>
      </c>
      <c r="L151" s="92">
        <f t="shared" ca="1" si="332"/>
        <v>4.6030607364897174</v>
      </c>
      <c r="M151" s="92">
        <f t="shared" ca="1" si="333"/>
        <v>7.0409347202149535</v>
      </c>
      <c r="N151" s="92">
        <f t="shared" ca="1" si="334"/>
        <v>8.2477059179075773</v>
      </c>
      <c r="O151" s="92">
        <f t="shared" ca="1" si="335"/>
        <v>11.318805185046028</v>
      </c>
      <c r="P151" s="92">
        <f t="shared" ca="1" si="336"/>
        <v>6.9266205988812111</v>
      </c>
      <c r="Q151" s="92">
        <f t="shared" ca="1" si="337"/>
        <v>10.441558441558442</v>
      </c>
      <c r="R151" s="92" t="s">
        <v>79</v>
      </c>
      <c r="S151" s="95" t="str">
        <f ca="1">IF(OR(LEFT($Y$84,1)="J",LEFT($Y$84,1)="Y"),(VLOOKUP((LEFT($Y$84,6)),INDIRECT(D74),7,FALSE)),IF(RIGHT($Y$84,8)="Locality",(VLOOKUP($Y$84,INDIRECT(D151),5,FALSE)),IF(LEFT($Y$84,7)="Cluster",(VLOOKUP($Y$84,INDIRECT(#REF!),4,FALSE)),"N/A")))</f>
        <v>N/A</v>
      </c>
      <c r="T151" s="81">
        <f t="shared" ca="1" si="338"/>
        <v>11.318805185046028</v>
      </c>
      <c r="U151" s="82">
        <f t="shared" ca="1" si="339"/>
        <v>2.5883379380543845</v>
      </c>
      <c r="V151" s="96"/>
      <c r="W151" s="81">
        <f t="shared" ca="1" si="340"/>
        <v>2.5883379380543845</v>
      </c>
      <c r="X151" s="81">
        <f t="shared" ca="1" si="341"/>
        <v>11.493531502375522</v>
      </c>
      <c r="Y151" s="81">
        <f t="shared" ca="1" si="342"/>
        <v>2.5883379380543845</v>
      </c>
      <c r="Z151" s="81">
        <f t="shared" ca="1" si="343"/>
        <v>11.493531502375522</v>
      </c>
      <c r="AA151" s="97">
        <f t="shared" ca="1" si="344"/>
        <v>0</v>
      </c>
      <c r="AB151" s="87">
        <f t="shared" ca="1" si="345"/>
        <v>0.22624132579300307</v>
      </c>
      <c r="AC151" s="87">
        <v>0.5</v>
      </c>
      <c r="AD151" s="87">
        <f t="shared" ca="1" si="346"/>
        <v>0.63551319114809368</v>
      </c>
      <c r="AE151" s="87">
        <f t="shared" ca="1" si="347"/>
        <v>0.98037927911757705</v>
      </c>
      <c r="AF151" s="180">
        <f t="shared" ca="1" si="348"/>
        <v>0.48716320757004716</v>
      </c>
      <c r="AG151" s="180">
        <f t="shared" ca="1" si="349"/>
        <v>0.88186971420454752</v>
      </c>
      <c r="AH151" s="87">
        <f t="shared" ca="1" si="350"/>
        <v>-999</v>
      </c>
      <c r="AI151" s="87">
        <f t="shared" ca="1" si="351"/>
        <v>-999</v>
      </c>
      <c r="AJ151" s="87">
        <f t="shared" ca="1" si="352"/>
        <v>-999</v>
      </c>
      <c r="AK151" s="87">
        <f t="shared" ca="1" si="353"/>
        <v>-999</v>
      </c>
      <c r="AL151" s="87">
        <f t="shared" ca="1" si="354"/>
        <v>-999</v>
      </c>
      <c r="AM151" s="87">
        <f t="shared" ca="1" si="355"/>
        <v>0.62720294002262289</v>
      </c>
      <c r="AN151" s="87">
        <f t="shared" ca="1" si="356"/>
        <v>-999</v>
      </c>
      <c r="AO151" s="158">
        <f t="shared" si="179"/>
        <v>28.361499999999978</v>
      </c>
    </row>
    <row r="152" spans="1:41" s="21" customFormat="1" ht="10.199999999999999" x14ac:dyDescent="0.2">
      <c r="A152" s="441"/>
      <c r="B152" s="88">
        <f t="shared" si="226"/>
        <v>65</v>
      </c>
      <c r="C152" s="89" t="str">
        <f t="shared" si="292"/>
        <v>Police recorded crime (crude rate per 1,000 resident population)*</v>
      </c>
      <c r="D152" s="90" t="s">
        <v>382</v>
      </c>
      <c r="E152" s="88">
        <f t="shared" ca="1" si="325"/>
        <v>2</v>
      </c>
      <c r="F152" s="110">
        <f t="shared" ca="1" si="326"/>
        <v>8280</v>
      </c>
      <c r="G152" s="92">
        <f t="shared" ca="1" si="327"/>
        <v>93.547694636824801</v>
      </c>
      <c r="H152" s="92">
        <f t="shared" ca="1" si="328"/>
        <v>91.54345684658901</v>
      </c>
      <c r="I152" s="92">
        <f t="shared" ca="1" si="329"/>
        <v>95.58475377043986</v>
      </c>
      <c r="J152" s="93">
        <f t="shared" ca="1" si="330"/>
        <v>2</v>
      </c>
      <c r="K152" s="94">
        <f t="shared" ca="1" si="331"/>
        <v>63.531815335947542</v>
      </c>
      <c r="L152" s="92">
        <f t="shared" ca="1" si="332"/>
        <v>94.572202239017088</v>
      </c>
      <c r="M152" s="92">
        <f t="shared" ca="1" si="333"/>
        <v>120.58020743975669</v>
      </c>
      <c r="N152" s="92">
        <f t="shared" ca="1" si="334"/>
        <v>129.90240213202722</v>
      </c>
      <c r="O152" s="92">
        <f t="shared" ca="1" si="335"/>
        <v>262.32869860958283</v>
      </c>
      <c r="P152" s="92">
        <f t="shared" ca="1" si="336"/>
        <v>75.745418365054405</v>
      </c>
      <c r="Q152" s="92">
        <f t="shared" ca="1" si="337"/>
        <v>98.902317330080933</v>
      </c>
      <c r="R152" s="92" t="s">
        <v>79</v>
      </c>
      <c r="S152" s="95" t="str">
        <f ca="1">IF(OR(LEFT($Y$84,1)="J",LEFT($Y$84,1)="Y"),(VLOOKUP((LEFT($Y$84,6)),INDIRECT(D75),7,FALSE)),IF(RIGHT($Y$84,8)="Locality",(VLOOKUP($Y$84,INDIRECT(D152),5,FALSE)),IF(LEFT($Y$84,7)="Cluster",(VLOOKUP($Y$84,INDIRECT(#REF!),4,FALSE)),"N/A")))</f>
        <v>N/A</v>
      </c>
      <c r="T152" s="81">
        <f t="shared" ca="1" si="338"/>
        <v>63.531815335947542</v>
      </c>
      <c r="U152" s="82">
        <f t="shared" ca="1" si="339"/>
        <v>262.32869860958283</v>
      </c>
      <c r="V152" s="96"/>
      <c r="W152" s="81">
        <f t="shared" ca="1" si="340"/>
        <v>-21.168283730069447</v>
      </c>
      <c r="X152" s="81">
        <f t="shared" ca="1" si="341"/>
        <v>262.32869860958283</v>
      </c>
      <c r="Y152" s="81">
        <f t="shared" ca="1" si="342"/>
        <v>262.32869860958283</v>
      </c>
      <c r="Z152" s="81">
        <f t="shared" ca="1" si="343"/>
        <v>-21.168283730069447</v>
      </c>
      <c r="AA152" s="97">
        <f t="shared" ca="1" si="344"/>
        <v>0</v>
      </c>
      <c r="AB152" s="87">
        <f t="shared" ca="1" si="345"/>
        <v>0.46711712902431607</v>
      </c>
      <c r="AC152" s="87">
        <v>0.5</v>
      </c>
      <c r="AD152" s="87">
        <f t="shared" ca="1" si="346"/>
        <v>0.59173997192527406</v>
      </c>
      <c r="AE152" s="87">
        <f t="shared" ca="1" si="347"/>
        <v>0.7012310382741942</v>
      </c>
      <c r="AF152" s="180">
        <f t="shared" ca="1" si="348"/>
        <v>0.65814908753062695</v>
      </c>
      <c r="AG152" s="180">
        <f t="shared" ca="1" si="349"/>
        <v>0.57646603477318115</v>
      </c>
      <c r="AH152" s="87">
        <f t="shared" ca="1" si="350"/>
        <v>-999</v>
      </c>
      <c r="AI152" s="87">
        <f t="shared" ca="1" si="351"/>
        <v>-999</v>
      </c>
      <c r="AJ152" s="87">
        <f t="shared" ca="1" si="352"/>
        <v>-999</v>
      </c>
      <c r="AK152" s="87">
        <f t="shared" ca="1" si="353"/>
        <v>0.59535379382114462</v>
      </c>
      <c r="AL152" s="87">
        <f t="shared" ca="1" si="354"/>
        <v>-999</v>
      </c>
      <c r="AM152" s="87">
        <f t="shared" ca="1" si="355"/>
        <v>-999</v>
      </c>
      <c r="AN152" s="87">
        <f t="shared" ca="1" si="356"/>
        <v>-999</v>
      </c>
      <c r="AO152" s="158">
        <f t="shared" si="179"/>
        <v>28.800999999999977</v>
      </c>
    </row>
    <row r="153" spans="1:41" x14ac:dyDescent="0.25">
      <c r="C153" s="5"/>
      <c r="D153" s="5"/>
      <c r="T153" s="6"/>
      <c r="U153" s="2"/>
      <c r="W153" s="2"/>
      <c r="X153" s="3"/>
      <c r="Y153" s="2"/>
      <c r="Z153" s="2"/>
      <c r="AA153" s="2"/>
      <c r="AB153" s="2"/>
      <c r="AC153" s="2"/>
      <c r="AD153" s="2"/>
      <c r="AE153" s="2"/>
      <c r="AF153" s="2"/>
      <c r="AG153" s="2"/>
    </row>
    <row r="154" spans="1:41" x14ac:dyDescent="0.25">
      <c r="C154" s="5"/>
      <c r="D154" s="5"/>
      <c r="T154" s="6"/>
      <c r="U154" s="2"/>
      <c r="W154" s="2"/>
      <c r="X154" s="3"/>
      <c r="Y154" s="2"/>
      <c r="Z154" s="2"/>
      <c r="AA154" s="2"/>
      <c r="AB154" s="2"/>
      <c r="AC154" s="2"/>
      <c r="AD154" s="2"/>
      <c r="AE154" s="2"/>
      <c r="AF154" s="2"/>
      <c r="AG154" s="2"/>
    </row>
    <row r="155" spans="1:41" x14ac:dyDescent="0.25">
      <c r="C155" s="5"/>
      <c r="D155" s="5"/>
      <c r="T155" s="6"/>
      <c r="U155" s="2"/>
      <c r="W155" s="2"/>
      <c r="X155" s="3"/>
      <c r="Y155" s="2"/>
      <c r="Z155" s="2"/>
      <c r="AA155" s="2"/>
      <c r="AB155" s="2"/>
      <c r="AC155" s="2"/>
      <c r="AD155" s="2"/>
      <c r="AE155" s="2"/>
      <c r="AF155" s="2"/>
      <c r="AG155" s="2"/>
    </row>
    <row r="156" spans="1:41" x14ac:dyDescent="0.25">
      <c r="C156" s="5"/>
      <c r="D156" s="5"/>
      <c r="G156" s="4"/>
      <c r="H156" s="4"/>
      <c r="I156" s="4"/>
      <c r="J156" s="4"/>
      <c r="K156" s="4"/>
      <c r="N156" s="2"/>
      <c r="O156" s="2"/>
      <c r="P156" s="2"/>
      <c r="Q156" s="2"/>
      <c r="W156" s="2"/>
      <c r="X156" s="2"/>
      <c r="Y156" s="2"/>
      <c r="Z156" s="3"/>
      <c r="AA156" s="2"/>
      <c r="AB156" s="2"/>
      <c r="AC156" s="2"/>
      <c r="AD156" s="2"/>
      <c r="AE156" s="2"/>
      <c r="AF156" s="2"/>
      <c r="AG156" s="2"/>
      <c r="AH156" s="2"/>
      <c r="AI156" s="2"/>
    </row>
    <row r="157" spans="1:41" x14ac:dyDescent="0.25">
      <c r="C157" s="5"/>
      <c r="D157" s="5"/>
    </row>
    <row r="158" spans="1:41" x14ac:dyDescent="0.25">
      <c r="C158" s="57"/>
      <c r="D158" s="5"/>
    </row>
    <row r="159" spans="1:41" x14ac:dyDescent="0.25">
      <c r="C159" s="5"/>
      <c r="D159" s="5"/>
    </row>
    <row r="160" spans="1:41" x14ac:dyDescent="0.25">
      <c r="C160" s="43"/>
      <c r="F160" s="4"/>
    </row>
    <row r="161" spans="3:4" x14ac:dyDescent="0.25">
      <c r="C161" s="5"/>
      <c r="D161" s="5"/>
    </row>
    <row r="162" spans="3:4" x14ac:dyDescent="0.25">
      <c r="C162" s="5"/>
      <c r="D162" s="5"/>
    </row>
    <row r="163" spans="3:4" x14ac:dyDescent="0.25">
      <c r="C163" s="5"/>
      <c r="D163" s="5"/>
    </row>
    <row r="164" spans="3:4" x14ac:dyDescent="0.25">
      <c r="C164" s="5"/>
      <c r="D164" s="5"/>
    </row>
    <row r="165" spans="3:4" x14ac:dyDescent="0.25">
      <c r="C165" s="5"/>
      <c r="D165" s="5"/>
    </row>
    <row r="166" spans="3:4" x14ac:dyDescent="0.25">
      <c r="C166" s="5"/>
      <c r="D166" s="5"/>
    </row>
    <row r="167" spans="3:4" x14ac:dyDescent="0.25">
      <c r="C167" s="5"/>
      <c r="D167" s="5"/>
    </row>
    <row r="168" spans="3:4" x14ac:dyDescent="0.25">
      <c r="C168" s="5"/>
      <c r="D168" s="5"/>
    </row>
    <row r="169" spans="3:4" x14ac:dyDescent="0.25">
      <c r="C169" s="5"/>
      <c r="D169" s="5"/>
    </row>
    <row r="170" spans="3:4" x14ac:dyDescent="0.25">
      <c r="C170" s="5"/>
      <c r="D170" s="5"/>
    </row>
  </sheetData>
  <sheetProtection algorithmName="SHA-512" hashValue="9qKedkyZoWiVQJ5DlVcI4zpalBgpFYTqkB2GfMFXUv12PiK74cBxQn7CHfpbK0ZtAXbMnoz08wZ5qvVYg6epZw==" saltValue="bYvaJOUQCbkttdk4LppmiA==" spinCount="100000" sheet="1" objects="1" scenarios="1"/>
  <mergeCells count="3">
    <mergeCell ref="A9:A75"/>
    <mergeCell ref="A86:A152"/>
    <mergeCell ref="S79:T84"/>
  </mergeCells>
  <phoneticPr fontId="5" type="noConversion"/>
  <pageMargins left="0.25" right="0.25" top="0.75" bottom="0.75" header="0.3" footer="0.3"/>
  <pageSetup paperSize="8" scale="90"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9">
    <tabColor theme="6" tint="0.39997558519241921"/>
  </sheetPr>
  <dimension ref="A1:AK55"/>
  <sheetViews>
    <sheetView topLeftCell="A16" workbookViewId="0">
      <selection activeCell="A46" sqref="A46:XFD46"/>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8" width="7.33203125" style="21" customWidth="1"/>
    <col min="9" max="9" width="6.886718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5.554687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12</v>
      </c>
      <c r="F6" s="128" t="s">
        <v>79</v>
      </c>
      <c r="G6" s="129">
        <v>79.681274900398407</v>
      </c>
      <c r="H6" s="129">
        <v>55.173074862573642</v>
      </c>
      <c r="I6" s="129">
        <v>111.35008084953326</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5</v>
      </c>
      <c r="N6" s="61">
        <f>MIN($G$6:$G$32)</f>
        <v>30.807147258163891</v>
      </c>
      <c r="O6" s="61">
        <f>VLOOKUP(7,$E$5:$G$39,3,FALSE)</f>
        <v>58.866813833701251</v>
      </c>
      <c r="P6" s="129">
        <f>$G$32</f>
        <v>90.485055952595431</v>
      </c>
      <c r="Q6" s="129">
        <f>$H$32</f>
        <v>82.334370675182313</v>
      </c>
      <c r="R6" s="129">
        <f>$I$32</f>
        <v>99.224278026743406</v>
      </c>
      <c r="S6" s="61">
        <f>VLOOKUP(20,$E$5:$G$39,3,FALSE)</f>
        <v>99.900099900099903</v>
      </c>
      <c r="T6" s="61">
        <f t="shared" ref="T6:T31" si="1">MAX($G$6:$G$31)</f>
        <v>131.40943055913422</v>
      </c>
      <c r="U6" s="61">
        <f>VLOOKUP(C6,$C$43:$I$46,5,FALSE)</f>
        <v>70.079669519032166</v>
      </c>
      <c r="V6" s="61"/>
      <c r="Y6" s="159" t="s">
        <v>33</v>
      </c>
      <c r="Z6" s="159" t="s">
        <v>58</v>
      </c>
      <c r="AA6" s="159" t="s">
        <v>163</v>
      </c>
      <c r="AB6" s="159">
        <f>RANK(AH6,$AH$6:$AH$13,1)</f>
        <v>5</v>
      </c>
      <c r="AC6" s="164">
        <f>MIN($AH$6:$AH$13)</f>
        <v>62.893081761006293</v>
      </c>
      <c r="AD6" s="164">
        <f>MAX($AH$6:$AH$13)</f>
        <v>131.40943055913422</v>
      </c>
      <c r="AE6" s="159"/>
      <c r="AF6" s="159">
        <f>VLOOKUP($Y6,$A$6:$I$31,5,FALSE)</f>
        <v>23</v>
      </c>
      <c r="AG6" s="160" t="str">
        <f>VLOOKUP($Y6,$A$6:$I$31,6,FALSE)</f>
        <v>N/A</v>
      </c>
      <c r="AH6" s="161">
        <f>VLOOKUP($Y6,$A$6:$I$31,7,FALSE)</f>
        <v>117.96875</v>
      </c>
      <c r="AI6" s="161">
        <f>VLOOKUP($Y6,$A$6:$I$31,8,FALSE)</f>
        <v>99.902151235425634</v>
      </c>
      <c r="AJ6" s="161">
        <f>VLOOKUP($Y6,$A$6:$I$31,9,FALSE)</f>
        <v>138.35767418489394</v>
      </c>
      <c r="AK6" s="160">
        <f>VLOOKUP($Y6,$A$6:$M$31,13,FALSE)</f>
        <v>1</v>
      </c>
    </row>
    <row r="7" spans="1:37" x14ac:dyDescent="0.2">
      <c r="A7" s="62" t="s">
        <v>30</v>
      </c>
      <c r="B7" s="62" t="s">
        <v>56</v>
      </c>
      <c r="C7" s="62" t="s">
        <v>200</v>
      </c>
      <c r="D7" s="62"/>
      <c r="E7" s="62">
        <f t="shared" ref="E7:E31" si="2">RANK(G7,$G$6:$G$31,1)</f>
        <v>21</v>
      </c>
      <c r="F7" s="128" t="s">
        <v>79</v>
      </c>
      <c r="G7" s="129">
        <v>104.96850944716584</v>
      </c>
      <c r="H7" s="129">
        <v>80.097549887177109</v>
      </c>
      <c r="I7" s="129">
        <v>135.11760662589089</v>
      </c>
      <c r="J7" s="129"/>
      <c r="K7" s="129"/>
      <c r="L7" s="129"/>
      <c r="M7" s="60">
        <f t="shared" si="0"/>
        <v>5</v>
      </c>
      <c r="N7" s="61">
        <f t="shared" ref="N7:N31" si="3">MIN($G$6:$G$32)</f>
        <v>30.807147258163891</v>
      </c>
      <c r="O7" s="61">
        <f>VLOOKUP(7,$E$5:$G$39,3,FALSE)</f>
        <v>58.866813833701251</v>
      </c>
      <c r="P7" s="129">
        <f t="shared" ref="P7:P31" si="4">$G$32</f>
        <v>90.485055952595431</v>
      </c>
      <c r="Q7" s="129">
        <f t="shared" ref="Q7:Q31" si="5">$H$32</f>
        <v>82.334370675182313</v>
      </c>
      <c r="R7" s="129">
        <f t="shared" ref="R7:R31" si="6">$I$32</f>
        <v>99.224278026743406</v>
      </c>
      <c r="S7" s="61">
        <f t="shared" ref="S7:S31" si="7">VLOOKUP(20,$E$5:$G$39,3,FALSE)</f>
        <v>99.900099900099903</v>
      </c>
      <c r="T7" s="61">
        <f t="shared" si="1"/>
        <v>131.40943055913422</v>
      </c>
      <c r="U7" s="61">
        <f>VLOOKUP(C7,$C$43:$I$46,5,FALSE)</f>
        <v>85.59366144236887</v>
      </c>
      <c r="V7" s="61"/>
      <c r="Y7" s="159" t="s">
        <v>35</v>
      </c>
      <c r="Z7" s="159" t="s">
        <v>60</v>
      </c>
      <c r="AA7" s="159" t="s">
        <v>163</v>
      </c>
      <c r="AB7" s="159">
        <f t="shared" ref="AB7:AB12" si="8">RANK(AH7,$AH$6:$AH$13,1)</f>
        <v>6</v>
      </c>
      <c r="AC7" s="164">
        <f>MIN($AH$6:$AH$13)</f>
        <v>62.893081761006293</v>
      </c>
      <c r="AD7" s="164">
        <f t="shared" ref="AD7:AD13" si="9">MAX($AH$6:$AH$13)</f>
        <v>131.40943055913422</v>
      </c>
      <c r="AE7" s="159"/>
      <c r="AF7" s="159">
        <f t="shared" ref="AF7:AF31" si="10">VLOOKUP($Y7,$A$6:$I$31,5,FALSE)</f>
        <v>24</v>
      </c>
      <c r="AG7" s="160" t="str">
        <f t="shared" ref="AG7:AG31" si="11">VLOOKUP($Y7,$A$6:$I$31,6,FALSE)</f>
        <v>N/A</v>
      </c>
      <c r="AH7" s="161">
        <f t="shared" ref="AH7:AH31" si="12">VLOOKUP($Y7,$A$6:$I$31,7,FALSE)</f>
        <v>118.44476868938288</v>
      </c>
      <c r="AI7" s="161">
        <f t="shared" ref="AI7:AI31" si="13">VLOOKUP($Y7,$A$6:$I$31,8,FALSE)</f>
        <v>99.506780725757864</v>
      </c>
      <c r="AJ7" s="161">
        <f t="shared" ref="AJ7:AJ31" si="14">VLOOKUP($Y7,$A$6:$I$31,9,FALSE)</f>
        <v>139.93713391649101</v>
      </c>
      <c r="AK7" s="160">
        <f t="shared" ref="AK7:AK31" si="15">VLOOKUP($Y7,$A$6:$M$31,13,FALSE)</f>
        <v>1</v>
      </c>
    </row>
    <row r="8" spans="1:37" x14ac:dyDescent="0.2">
      <c r="A8" s="62" t="s">
        <v>31</v>
      </c>
      <c r="B8" s="62" t="s">
        <v>57</v>
      </c>
      <c r="C8" s="62" t="s">
        <v>200</v>
      </c>
      <c r="D8" s="62"/>
      <c r="E8" s="62">
        <f t="shared" si="2"/>
        <v>16</v>
      </c>
      <c r="F8" s="128" t="s">
        <v>79</v>
      </c>
      <c r="G8" s="129">
        <v>89.251561902333293</v>
      </c>
      <c r="H8" s="129">
        <v>75.079065899761687</v>
      </c>
      <c r="I8" s="129">
        <v>105.32099196445641</v>
      </c>
      <c r="J8" s="129"/>
      <c r="K8" s="129"/>
      <c r="L8" s="129"/>
      <c r="M8" s="60">
        <f t="shared" si="0"/>
        <v>5</v>
      </c>
      <c r="N8" s="61">
        <f t="shared" si="3"/>
        <v>30.807147258163891</v>
      </c>
      <c r="O8" s="61">
        <f t="shared" ref="O8:O31" si="16">VLOOKUP(7,$E$5:$G$39,3,FALSE)</f>
        <v>58.866813833701251</v>
      </c>
      <c r="P8" s="129">
        <f t="shared" si="4"/>
        <v>90.485055952595431</v>
      </c>
      <c r="Q8" s="129">
        <f t="shared" si="5"/>
        <v>82.334370675182313</v>
      </c>
      <c r="R8" s="129">
        <f t="shared" si="6"/>
        <v>99.224278026743406</v>
      </c>
      <c r="S8" s="61">
        <f t="shared" si="7"/>
        <v>99.900099900099903</v>
      </c>
      <c r="T8" s="61">
        <f t="shared" si="1"/>
        <v>131.40943055913422</v>
      </c>
      <c r="U8" s="61">
        <f t="shared" ref="U8:U31" si="17">VLOOKUP(C8,$C$43:$I$46,5,FALSE)</f>
        <v>85.59366144236887</v>
      </c>
      <c r="V8" s="61"/>
      <c r="Y8" s="159" t="s">
        <v>41</v>
      </c>
      <c r="Z8" s="159" t="s">
        <v>64</v>
      </c>
      <c r="AA8" s="159" t="s">
        <v>163</v>
      </c>
      <c r="AB8" s="159">
        <f t="shared" si="8"/>
        <v>8</v>
      </c>
      <c r="AC8" s="164">
        <f t="shared" ref="AC8:AC13" si="18">MIN($AH$6:$AH$13)</f>
        <v>62.893081761006293</v>
      </c>
      <c r="AD8" s="164">
        <f>MAX($AH$6:$AH$13)</f>
        <v>131.40943055913422</v>
      </c>
      <c r="AE8" s="159"/>
      <c r="AF8" s="159">
        <f t="shared" si="10"/>
        <v>26</v>
      </c>
      <c r="AG8" s="160" t="str">
        <f t="shared" si="11"/>
        <v>N/A</v>
      </c>
      <c r="AH8" s="161">
        <f t="shared" si="12"/>
        <v>131.40943055913422</v>
      </c>
      <c r="AI8" s="161">
        <f t="shared" si="13"/>
        <v>111.41089444327365</v>
      </c>
      <c r="AJ8" s="161">
        <f t="shared" si="14"/>
        <v>153.9606364681627</v>
      </c>
      <c r="AK8" s="160">
        <f t="shared" si="15"/>
        <v>1</v>
      </c>
    </row>
    <row r="9" spans="1:37" x14ac:dyDescent="0.2">
      <c r="A9" s="62" t="s">
        <v>32</v>
      </c>
      <c r="B9" s="62" t="s">
        <v>156</v>
      </c>
      <c r="C9" s="62" t="s">
        <v>201</v>
      </c>
      <c r="D9" s="62"/>
      <c r="E9" s="62">
        <f t="shared" si="2"/>
        <v>19</v>
      </c>
      <c r="F9" s="128" t="s">
        <v>79</v>
      </c>
      <c r="G9" s="129">
        <v>91.359958235447664</v>
      </c>
      <c r="H9" s="129">
        <v>76.852664298072426</v>
      </c>
      <c r="I9" s="129">
        <v>107.80899764777233</v>
      </c>
      <c r="J9" s="129"/>
      <c r="K9" s="129"/>
      <c r="L9" s="129"/>
      <c r="M9" s="60">
        <f t="shared" si="0"/>
        <v>5</v>
      </c>
      <c r="N9" s="61">
        <f t="shared" si="3"/>
        <v>30.807147258163891</v>
      </c>
      <c r="O9" s="61">
        <f t="shared" si="16"/>
        <v>58.866813833701251</v>
      </c>
      <c r="P9" s="129">
        <f t="shared" si="4"/>
        <v>90.485055952595431</v>
      </c>
      <c r="Q9" s="129">
        <f t="shared" si="5"/>
        <v>82.334370675182313</v>
      </c>
      <c r="R9" s="129">
        <f t="shared" si="6"/>
        <v>99.224278026743406</v>
      </c>
      <c r="S9" s="61">
        <f t="shared" si="7"/>
        <v>99.900099900099903</v>
      </c>
      <c r="T9" s="61">
        <f t="shared" si="1"/>
        <v>131.40943055913422</v>
      </c>
      <c r="U9" s="61">
        <f t="shared" si="17"/>
        <v>70.079669519032166</v>
      </c>
      <c r="V9" s="61"/>
      <c r="X9" s="63"/>
      <c r="Y9" s="159" t="s">
        <v>45</v>
      </c>
      <c r="Z9" s="159" t="s">
        <v>67</v>
      </c>
      <c r="AA9" s="159" t="s">
        <v>163</v>
      </c>
      <c r="AB9" s="159">
        <f t="shared" si="8"/>
        <v>3</v>
      </c>
      <c r="AC9" s="164">
        <f t="shared" si="18"/>
        <v>62.893081761006293</v>
      </c>
      <c r="AD9" s="164">
        <f t="shared" si="9"/>
        <v>131.40943055913422</v>
      </c>
      <c r="AE9" s="159"/>
      <c r="AF9" s="159">
        <f t="shared" si="10"/>
        <v>17</v>
      </c>
      <c r="AG9" s="160" t="str">
        <f t="shared" si="11"/>
        <v>N/A</v>
      </c>
      <c r="AH9" s="161">
        <f t="shared" si="12"/>
        <v>90.256633318834261</v>
      </c>
      <c r="AI9" s="161">
        <f t="shared" si="13"/>
        <v>71.886613958590388</v>
      </c>
      <c r="AJ9" s="161">
        <f t="shared" si="14"/>
        <v>111.8879964672018</v>
      </c>
      <c r="AK9" s="160">
        <f t="shared" si="15"/>
        <v>5</v>
      </c>
    </row>
    <row r="10" spans="1:37" x14ac:dyDescent="0.2">
      <c r="A10" s="62" t="s">
        <v>33</v>
      </c>
      <c r="B10" s="62" t="s">
        <v>58</v>
      </c>
      <c r="C10" s="62" t="s">
        <v>163</v>
      </c>
      <c r="D10" s="62"/>
      <c r="E10" s="62">
        <f t="shared" si="2"/>
        <v>23</v>
      </c>
      <c r="F10" s="128" t="s">
        <v>79</v>
      </c>
      <c r="G10" s="129">
        <v>117.96875</v>
      </c>
      <c r="H10" s="129">
        <v>99.902151235425634</v>
      </c>
      <c r="I10" s="129">
        <v>138.35767418489394</v>
      </c>
      <c r="J10" s="129"/>
      <c r="K10" s="129"/>
      <c r="L10" s="129"/>
      <c r="M10" s="60">
        <f t="shared" si="0"/>
        <v>1</v>
      </c>
      <c r="N10" s="61">
        <f t="shared" si="3"/>
        <v>30.807147258163891</v>
      </c>
      <c r="O10" s="61">
        <f t="shared" si="16"/>
        <v>58.866813833701251</v>
      </c>
      <c r="P10" s="129">
        <f t="shared" si="4"/>
        <v>90.485055952595431</v>
      </c>
      <c r="Q10" s="129">
        <f t="shared" si="5"/>
        <v>82.334370675182313</v>
      </c>
      <c r="R10" s="129">
        <f t="shared" si="6"/>
        <v>99.224278026743406</v>
      </c>
      <c r="S10" s="61">
        <f t="shared" si="7"/>
        <v>99.900099900099903</v>
      </c>
      <c r="T10" s="61">
        <f t="shared" si="1"/>
        <v>131.40943055913422</v>
      </c>
      <c r="U10" s="61">
        <f t="shared" si="17"/>
        <v>109.38972050664712</v>
      </c>
      <c r="V10" s="61"/>
      <c r="Y10" s="159" t="s">
        <v>46</v>
      </c>
      <c r="Z10" s="159" t="s">
        <v>68</v>
      </c>
      <c r="AA10" s="159" t="s">
        <v>163</v>
      </c>
      <c r="AB10" s="159">
        <f t="shared" si="8"/>
        <v>7</v>
      </c>
      <c r="AC10" s="164">
        <f t="shared" si="18"/>
        <v>62.893081761006293</v>
      </c>
      <c r="AD10" s="164">
        <f t="shared" si="9"/>
        <v>131.40943055913422</v>
      </c>
      <c r="AE10" s="159"/>
      <c r="AF10" s="159">
        <f t="shared" si="10"/>
        <v>25</v>
      </c>
      <c r="AG10" s="160" t="str">
        <f t="shared" si="11"/>
        <v>N/A</v>
      </c>
      <c r="AH10" s="161">
        <f t="shared" si="12"/>
        <v>126.17249107661658</v>
      </c>
      <c r="AI10" s="161">
        <f t="shared" si="13"/>
        <v>106.91051554622119</v>
      </c>
      <c r="AJ10" s="161">
        <f t="shared" si="14"/>
        <v>147.90173959238041</v>
      </c>
      <c r="AK10" s="160">
        <f t="shared" si="15"/>
        <v>1</v>
      </c>
    </row>
    <row r="11" spans="1:37" x14ac:dyDescent="0.2">
      <c r="A11" s="62" t="s">
        <v>34</v>
      </c>
      <c r="B11" s="62" t="s">
        <v>59</v>
      </c>
      <c r="C11" s="62" t="s">
        <v>200</v>
      </c>
      <c r="D11" s="62"/>
      <c r="E11" s="62">
        <f t="shared" si="2"/>
        <v>15</v>
      </c>
      <c r="F11" s="128" t="s">
        <v>79</v>
      </c>
      <c r="G11" s="129">
        <v>87.019579405366201</v>
      </c>
      <c r="H11" s="129">
        <v>72.807506145076729</v>
      </c>
      <c r="I11" s="129">
        <v>103.19480377677263</v>
      </c>
      <c r="J11" s="129"/>
      <c r="K11" s="129"/>
      <c r="L11" s="129"/>
      <c r="M11" s="60">
        <f t="shared" si="0"/>
        <v>5</v>
      </c>
      <c r="N11" s="61">
        <f t="shared" si="3"/>
        <v>30.807147258163891</v>
      </c>
      <c r="O11" s="61">
        <f t="shared" si="16"/>
        <v>58.866813833701251</v>
      </c>
      <c r="P11" s="129">
        <f t="shared" si="4"/>
        <v>90.485055952595431</v>
      </c>
      <c r="Q11" s="129">
        <f t="shared" si="5"/>
        <v>82.334370675182313</v>
      </c>
      <c r="R11" s="129">
        <f t="shared" si="6"/>
        <v>99.224278026743406</v>
      </c>
      <c r="S11" s="61">
        <f t="shared" si="7"/>
        <v>99.900099900099903</v>
      </c>
      <c r="T11" s="61">
        <f t="shared" si="1"/>
        <v>131.40943055913422</v>
      </c>
      <c r="U11" s="61">
        <f t="shared" si="17"/>
        <v>85.59366144236887</v>
      </c>
      <c r="V11" s="61"/>
      <c r="Y11" s="159" t="s">
        <v>47</v>
      </c>
      <c r="Z11" s="159" t="s">
        <v>69</v>
      </c>
      <c r="AA11" s="159" t="s">
        <v>163</v>
      </c>
      <c r="AB11" s="159">
        <f t="shared" si="8"/>
        <v>1</v>
      </c>
      <c r="AC11" s="164">
        <f t="shared" si="18"/>
        <v>62.893081761006293</v>
      </c>
      <c r="AD11" s="164">
        <f t="shared" si="9"/>
        <v>131.40943055913422</v>
      </c>
      <c r="AE11" s="159"/>
      <c r="AF11" s="159">
        <f t="shared" si="10"/>
        <v>8</v>
      </c>
      <c r="AG11" s="160" t="str">
        <f t="shared" si="11"/>
        <v>N/A</v>
      </c>
      <c r="AH11" s="161">
        <f t="shared" si="12"/>
        <v>62.893081761006293</v>
      </c>
      <c r="AI11" s="161">
        <f t="shared" si="13"/>
        <v>32.460743412363882</v>
      </c>
      <c r="AJ11" s="161">
        <f t="shared" si="14"/>
        <v>109.86822879254035</v>
      </c>
      <c r="AK11" s="160">
        <f t="shared" si="15"/>
        <v>5</v>
      </c>
    </row>
    <row r="12" spans="1:37" x14ac:dyDescent="0.2">
      <c r="A12" s="62" t="s">
        <v>35</v>
      </c>
      <c r="B12" s="62" t="s">
        <v>60</v>
      </c>
      <c r="C12" s="62" t="s">
        <v>163</v>
      </c>
      <c r="D12" s="62"/>
      <c r="E12" s="62">
        <f t="shared" si="2"/>
        <v>24</v>
      </c>
      <c r="F12" s="128" t="s">
        <v>79</v>
      </c>
      <c r="G12" s="129">
        <v>118.44476868938288</v>
      </c>
      <c r="H12" s="129">
        <v>99.506780725757864</v>
      </c>
      <c r="I12" s="129">
        <v>139.93713391649101</v>
      </c>
      <c r="J12" s="129"/>
      <c r="K12" s="129"/>
      <c r="L12" s="129"/>
      <c r="M12" s="60">
        <f t="shared" si="0"/>
        <v>1</v>
      </c>
      <c r="N12" s="61">
        <f t="shared" si="3"/>
        <v>30.807147258163891</v>
      </c>
      <c r="O12" s="61">
        <f t="shared" si="16"/>
        <v>58.866813833701251</v>
      </c>
      <c r="P12" s="129">
        <f t="shared" si="4"/>
        <v>90.485055952595431</v>
      </c>
      <c r="Q12" s="129">
        <f t="shared" si="5"/>
        <v>82.334370675182313</v>
      </c>
      <c r="R12" s="129">
        <f t="shared" si="6"/>
        <v>99.224278026743406</v>
      </c>
      <c r="S12" s="61">
        <f t="shared" si="7"/>
        <v>99.900099900099903</v>
      </c>
      <c r="T12" s="61">
        <f t="shared" si="1"/>
        <v>131.40943055913422</v>
      </c>
      <c r="U12" s="61">
        <f t="shared" si="17"/>
        <v>109.38972050664712</v>
      </c>
      <c r="V12" s="61"/>
      <c r="Y12" s="159" t="s">
        <v>50</v>
      </c>
      <c r="Z12" s="159" t="s">
        <v>161</v>
      </c>
      <c r="AA12" s="159" t="s">
        <v>163</v>
      </c>
      <c r="AB12" s="159">
        <f t="shared" si="8"/>
        <v>2</v>
      </c>
      <c r="AC12" s="164">
        <f t="shared" si="18"/>
        <v>62.893081761006293</v>
      </c>
      <c r="AD12" s="164">
        <f t="shared" si="9"/>
        <v>131.40943055913422</v>
      </c>
      <c r="AE12" s="159"/>
      <c r="AF12" s="159">
        <f t="shared" si="10"/>
        <v>11</v>
      </c>
      <c r="AG12" s="160" t="str">
        <f t="shared" si="11"/>
        <v>N/A</v>
      </c>
      <c r="AH12" s="161">
        <f t="shared" si="12"/>
        <v>77.255871446229918</v>
      </c>
      <c r="AI12" s="161">
        <f t="shared" si="13"/>
        <v>57.336372696282737</v>
      </c>
      <c r="AJ12" s="161">
        <f t="shared" si="14"/>
        <v>101.8543830252746</v>
      </c>
      <c r="AK12" s="160">
        <f t="shared" si="15"/>
        <v>5</v>
      </c>
    </row>
    <row r="13" spans="1:37" x14ac:dyDescent="0.2">
      <c r="A13" s="62" t="s">
        <v>36</v>
      </c>
      <c r="B13" s="62" t="s">
        <v>61</v>
      </c>
      <c r="C13" s="62" t="s">
        <v>201</v>
      </c>
      <c r="D13" s="62"/>
      <c r="E13" s="62">
        <f t="shared" si="2"/>
        <v>7</v>
      </c>
      <c r="F13" s="128" t="s">
        <v>79</v>
      </c>
      <c r="G13" s="129">
        <v>58.866813833701251</v>
      </c>
      <c r="H13" s="129">
        <v>43.400140692337487</v>
      </c>
      <c r="I13" s="129">
        <v>78.050574695702906</v>
      </c>
      <c r="J13" s="129"/>
      <c r="K13" s="129"/>
      <c r="L13" s="129"/>
      <c r="M13" s="60">
        <f t="shared" si="0"/>
        <v>2</v>
      </c>
      <c r="N13" s="61">
        <f t="shared" si="3"/>
        <v>30.807147258163891</v>
      </c>
      <c r="O13" s="61">
        <f t="shared" si="16"/>
        <v>58.866813833701251</v>
      </c>
      <c r="P13" s="129">
        <f t="shared" si="4"/>
        <v>90.485055952595431</v>
      </c>
      <c r="Q13" s="129">
        <f t="shared" si="5"/>
        <v>82.334370675182313</v>
      </c>
      <c r="R13" s="129">
        <f t="shared" si="6"/>
        <v>99.224278026743406</v>
      </c>
      <c r="S13" s="61">
        <f t="shared" si="7"/>
        <v>99.900099900099903</v>
      </c>
      <c r="T13" s="61">
        <f t="shared" si="1"/>
        <v>131.40943055913422</v>
      </c>
      <c r="U13" s="61">
        <f t="shared" si="17"/>
        <v>70.079669519032166</v>
      </c>
      <c r="V13" s="61"/>
      <c r="Y13" s="159" t="s">
        <v>53</v>
      </c>
      <c r="Z13" s="159" t="s">
        <v>162</v>
      </c>
      <c r="AA13" s="159" t="s">
        <v>163</v>
      </c>
      <c r="AB13" s="159">
        <f>RANK(AH13,$AH$6:$AH$13,1)</f>
        <v>4</v>
      </c>
      <c r="AC13" s="164">
        <f t="shared" si="18"/>
        <v>62.893081761006293</v>
      </c>
      <c r="AD13" s="164">
        <f t="shared" si="9"/>
        <v>131.40943055913422</v>
      </c>
      <c r="AE13" s="159"/>
      <c r="AF13" s="159">
        <f t="shared" si="10"/>
        <v>22</v>
      </c>
      <c r="AG13" s="160" t="str">
        <f t="shared" si="11"/>
        <v>N/A</v>
      </c>
      <c r="AH13" s="161">
        <f t="shared" si="12"/>
        <v>111.14023591087812</v>
      </c>
      <c r="AI13" s="161">
        <f t="shared" si="13"/>
        <v>96.681469925884059</v>
      </c>
      <c r="AJ13" s="161">
        <f t="shared" si="14"/>
        <v>127.15106838112155</v>
      </c>
      <c r="AK13" s="160">
        <f t="shared" si="15"/>
        <v>5</v>
      </c>
    </row>
    <row r="14" spans="1:37" x14ac:dyDescent="0.2">
      <c r="A14" s="62" t="s">
        <v>37</v>
      </c>
      <c r="B14" s="62" t="s">
        <v>157</v>
      </c>
      <c r="C14" s="62" t="s">
        <v>201</v>
      </c>
      <c r="D14" s="62"/>
      <c r="E14" s="62">
        <f t="shared" si="2"/>
        <v>10</v>
      </c>
      <c r="F14" s="128" t="s">
        <v>79</v>
      </c>
      <c r="G14" s="129">
        <v>71.952798963879701</v>
      </c>
      <c r="H14" s="129">
        <v>53.400633773253972</v>
      </c>
      <c r="I14" s="129">
        <v>94.86279564535576</v>
      </c>
      <c r="J14" s="129"/>
      <c r="K14" s="129"/>
      <c r="L14" s="129"/>
      <c r="M14" s="60">
        <f t="shared" si="0"/>
        <v>5</v>
      </c>
      <c r="N14" s="61">
        <f t="shared" si="3"/>
        <v>30.807147258163891</v>
      </c>
      <c r="O14" s="61">
        <f t="shared" si="16"/>
        <v>58.866813833701251</v>
      </c>
      <c r="P14" s="129">
        <f t="shared" si="4"/>
        <v>90.485055952595431</v>
      </c>
      <c r="Q14" s="129">
        <f t="shared" si="5"/>
        <v>82.334370675182313</v>
      </c>
      <c r="R14" s="129">
        <f t="shared" si="6"/>
        <v>99.224278026743406</v>
      </c>
      <c r="S14" s="61">
        <f t="shared" si="7"/>
        <v>99.900099900099903</v>
      </c>
      <c r="T14" s="61">
        <f t="shared" si="1"/>
        <v>131.40943055913422</v>
      </c>
      <c r="U14" s="61">
        <f t="shared" si="17"/>
        <v>70.079669519032166</v>
      </c>
      <c r="V14" s="61"/>
      <c r="Y14" s="162" t="s">
        <v>29</v>
      </c>
      <c r="Z14" s="162" t="s">
        <v>55</v>
      </c>
      <c r="AA14" s="162" t="s">
        <v>201</v>
      </c>
      <c r="AB14" s="162">
        <f>RANK(AH14,$AH$14:$AH$22,1)</f>
        <v>7</v>
      </c>
      <c r="AC14" s="165">
        <f t="shared" ref="AC14:AC22" si="19">MIN($AH$14:$AH$22)</f>
        <v>39.42181340341655</v>
      </c>
      <c r="AD14" s="165">
        <f>MAX($AH$14:$AH$22)</f>
        <v>91.359958235447664</v>
      </c>
      <c r="AE14" s="162"/>
      <c r="AF14" s="162">
        <f t="shared" si="10"/>
        <v>12</v>
      </c>
      <c r="AG14" s="167" t="str">
        <f t="shared" si="11"/>
        <v>N/A</v>
      </c>
      <c r="AH14" s="165">
        <f t="shared" si="12"/>
        <v>79.681274900398407</v>
      </c>
      <c r="AI14" s="165">
        <f t="shared" si="13"/>
        <v>55.173074862573642</v>
      </c>
      <c r="AJ14" s="165">
        <f t="shared" si="14"/>
        <v>111.35008084953326</v>
      </c>
      <c r="AK14" s="167">
        <f t="shared" si="15"/>
        <v>5</v>
      </c>
    </row>
    <row r="15" spans="1:37" x14ac:dyDescent="0.2">
      <c r="A15" s="62" t="s">
        <v>38</v>
      </c>
      <c r="B15" s="62" t="s">
        <v>62</v>
      </c>
      <c r="C15" s="62" t="s">
        <v>201</v>
      </c>
      <c r="D15" s="62"/>
      <c r="E15" s="62">
        <f t="shared" si="2"/>
        <v>18</v>
      </c>
      <c r="F15" s="128" t="s">
        <v>79</v>
      </c>
      <c r="G15" s="129">
        <v>90.715048025613655</v>
      </c>
      <c r="H15" s="129">
        <v>62.813103105283282</v>
      </c>
      <c r="I15" s="129">
        <v>126.76915554561324</v>
      </c>
      <c r="J15" s="129"/>
      <c r="K15" s="129"/>
      <c r="L15" s="129"/>
      <c r="M15" s="60">
        <f t="shared" si="0"/>
        <v>5</v>
      </c>
      <c r="N15" s="61">
        <f t="shared" si="3"/>
        <v>30.807147258163891</v>
      </c>
      <c r="O15" s="61">
        <f t="shared" si="16"/>
        <v>58.866813833701251</v>
      </c>
      <c r="P15" s="129">
        <f t="shared" si="4"/>
        <v>90.485055952595431</v>
      </c>
      <c r="Q15" s="129">
        <f t="shared" si="5"/>
        <v>82.334370675182313</v>
      </c>
      <c r="R15" s="129">
        <f t="shared" si="6"/>
        <v>99.224278026743406</v>
      </c>
      <c r="S15" s="61">
        <f t="shared" si="7"/>
        <v>99.900099900099903</v>
      </c>
      <c r="T15" s="61">
        <f t="shared" si="1"/>
        <v>131.40943055913422</v>
      </c>
      <c r="U15" s="61">
        <f t="shared" si="17"/>
        <v>70.079669519032166</v>
      </c>
      <c r="V15" s="61"/>
      <c r="Y15" s="162" t="s">
        <v>32</v>
      </c>
      <c r="Z15" s="162" t="s">
        <v>156</v>
      </c>
      <c r="AA15" s="162" t="s">
        <v>201</v>
      </c>
      <c r="AB15" s="162">
        <f>RANK(AH15,$AH$14:$AH$22,1)</f>
        <v>9</v>
      </c>
      <c r="AC15" s="165">
        <f t="shared" si="19"/>
        <v>39.42181340341655</v>
      </c>
      <c r="AD15" s="165">
        <f t="shared" ref="AD15:AD22" si="20">MAX($AH$14:$AH$22)</f>
        <v>91.359958235447664</v>
      </c>
      <c r="AE15" s="162"/>
      <c r="AF15" s="162">
        <f t="shared" si="10"/>
        <v>19</v>
      </c>
      <c r="AG15" s="167" t="str">
        <f t="shared" si="11"/>
        <v>N/A</v>
      </c>
      <c r="AH15" s="165">
        <f t="shared" si="12"/>
        <v>91.359958235447664</v>
      </c>
      <c r="AI15" s="165">
        <f t="shared" si="13"/>
        <v>76.852664298072426</v>
      </c>
      <c r="AJ15" s="165">
        <f t="shared" si="14"/>
        <v>107.80899764777233</v>
      </c>
      <c r="AK15" s="167">
        <f t="shared" si="15"/>
        <v>5</v>
      </c>
    </row>
    <row r="16" spans="1:37" x14ac:dyDescent="0.2">
      <c r="A16" s="62" t="s">
        <v>39</v>
      </c>
      <c r="B16" s="62" t="s">
        <v>158</v>
      </c>
      <c r="C16" s="62" t="s">
        <v>200</v>
      </c>
      <c r="D16" s="62"/>
      <c r="E16" s="62">
        <f t="shared" si="2"/>
        <v>14</v>
      </c>
      <c r="F16" s="128" t="s">
        <v>79</v>
      </c>
      <c r="G16" s="129">
        <v>83.950617283950621</v>
      </c>
      <c r="H16" s="129">
        <v>69.544924753888921</v>
      </c>
      <c r="I16" s="129">
        <v>100.46019054490191</v>
      </c>
      <c r="J16" s="129"/>
      <c r="K16" s="129"/>
      <c r="L16" s="129"/>
      <c r="M16" s="60">
        <f t="shared" si="0"/>
        <v>5</v>
      </c>
      <c r="N16" s="61">
        <f t="shared" si="3"/>
        <v>30.807147258163891</v>
      </c>
      <c r="O16" s="61">
        <f t="shared" si="16"/>
        <v>58.866813833701251</v>
      </c>
      <c r="P16" s="129">
        <f t="shared" si="4"/>
        <v>90.485055952595431</v>
      </c>
      <c r="Q16" s="129">
        <f t="shared" si="5"/>
        <v>82.334370675182313</v>
      </c>
      <c r="R16" s="129">
        <f t="shared" si="6"/>
        <v>99.224278026743406</v>
      </c>
      <c r="S16" s="61">
        <f t="shared" si="7"/>
        <v>99.900099900099903</v>
      </c>
      <c r="T16" s="61">
        <f t="shared" si="1"/>
        <v>131.40943055913422</v>
      </c>
      <c r="U16" s="61">
        <f t="shared" si="17"/>
        <v>85.59366144236887</v>
      </c>
      <c r="V16" s="61"/>
      <c r="Y16" s="162" t="s">
        <v>36</v>
      </c>
      <c r="Z16" s="162" t="s">
        <v>61</v>
      </c>
      <c r="AA16" s="162" t="s">
        <v>201</v>
      </c>
      <c r="AB16" s="162">
        <f>RANK(AH16,$AH$14:$AH$22,1)</f>
        <v>4</v>
      </c>
      <c r="AC16" s="165">
        <f t="shared" si="19"/>
        <v>39.42181340341655</v>
      </c>
      <c r="AD16" s="165">
        <f t="shared" si="20"/>
        <v>91.359958235447664</v>
      </c>
      <c r="AE16" s="162"/>
      <c r="AF16" s="162">
        <f t="shared" si="10"/>
        <v>7</v>
      </c>
      <c r="AG16" s="167" t="str">
        <f t="shared" si="11"/>
        <v>N/A</v>
      </c>
      <c r="AH16" s="165">
        <f t="shared" si="12"/>
        <v>58.866813833701251</v>
      </c>
      <c r="AI16" s="165">
        <f t="shared" si="13"/>
        <v>43.400140692337487</v>
      </c>
      <c r="AJ16" s="165">
        <f t="shared" si="14"/>
        <v>78.050574695702906</v>
      </c>
      <c r="AK16" s="167">
        <f t="shared" si="15"/>
        <v>2</v>
      </c>
    </row>
    <row r="17" spans="1:37" x14ac:dyDescent="0.2">
      <c r="A17" s="62" t="s">
        <v>40</v>
      </c>
      <c r="B17" s="62" t="s">
        <v>63</v>
      </c>
      <c r="C17" s="62" t="s">
        <v>200</v>
      </c>
      <c r="D17" s="62"/>
      <c r="E17" s="62">
        <f t="shared" si="2"/>
        <v>13</v>
      </c>
      <c r="F17" s="128" t="s">
        <v>79</v>
      </c>
      <c r="G17" s="129">
        <v>80.4552590266876</v>
      </c>
      <c r="H17" s="129">
        <v>57.729731766309619</v>
      </c>
      <c r="I17" s="129">
        <v>109.14948144838786</v>
      </c>
      <c r="J17" s="129"/>
      <c r="K17" s="129"/>
      <c r="L17" s="129"/>
      <c r="M17" s="60">
        <f t="shared" si="0"/>
        <v>5</v>
      </c>
      <c r="N17" s="61">
        <f t="shared" si="3"/>
        <v>30.807147258163891</v>
      </c>
      <c r="O17" s="61">
        <f t="shared" si="16"/>
        <v>58.866813833701251</v>
      </c>
      <c r="P17" s="129">
        <f t="shared" si="4"/>
        <v>90.485055952595431</v>
      </c>
      <c r="Q17" s="129">
        <f t="shared" si="5"/>
        <v>82.334370675182313</v>
      </c>
      <c r="R17" s="129">
        <f t="shared" si="6"/>
        <v>99.224278026743406</v>
      </c>
      <c r="S17" s="61">
        <f t="shared" si="7"/>
        <v>99.900099900099903</v>
      </c>
      <c r="T17" s="61">
        <f t="shared" si="1"/>
        <v>131.40943055913422</v>
      </c>
      <c r="U17" s="61">
        <f t="shared" si="17"/>
        <v>85.59366144236887</v>
      </c>
      <c r="V17" s="61"/>
      <c r="Y17" s="162" t="s">
        <v>37</v>
      </c>
      <c r="Z17" s="162" t="s">
        <v>157</v>
      </c>
      <c r="AA17" s="162" t="s">
        <v>201</v>
      </c>
      <c r="AB17" s="162">
        <f t="shared" ref="AB17:AB22" si="21">RANK(AH17,$AH$14:$AH$22,1)</f>
        <v>6</v>
      </c>
      <c r="AC17" s="165">
        <f t="shared" si="19"/>
        <v>39.42181340341655</v>
      </c>
      <c r="AD17" s="165">
        <f>MAX($AH$14:$AH$22)</f>
        <v>91.359958235447664</v>
      </c>
      <c r="AE17" s="162"/>
      <c r="AF17" s="162">
        <f t="shared" si="10"/>
        <v>10</v>
      </c>
      <c r="AG17" s="167" t="str">
        <f t="shared" si="11"/>
        <v>N/A</v>
      </c>
      <c r="AH17" s="165">
        <f t="shared" si="12"/>
        <v>71.952798963879701</v>
      </c>
      <c r="AI17" s="165">
        <f t="shared" si="13"/>
        <v>53.400633773253972</v>
      </c>
      <c r="AJ17" s="165">
        <f t="shared" si="14"/>
        <v>94.86279564535576</v>
      </c>
      <c r="AK17" s="167">
        <f t="shared" si="15"/>
        <v>5</v>
      </c>
    </row>
    <row r="18" spans="1:37" x14ac:dyDescent="0.2">
      <c r="A18" s="62" t="s">
        <v>41</v>
      </c>
      <c r="B18" s="62" t="s">
        <v>64</v>
      </c>
      <c r="C18" s="62" t="s">
        <v>163</v>
      </c>
      <c r="D18" s="62"/>
      <c r="E18" s="62">
        <f t="shared" si="2"/>
        <v>26</v>
      </c>
      <c r="F18" s="128" t="s">
        <v>79</v>
      </c>
      <c r="G18" s="129">
        <v>131.40943055913422</v>
      </c>
      <c r="H18" s="129">
        <v>111.41089444327365</v>
      </c>
      <c r="I18" s="129">
        <v>153.9606364681627</v>
      </c>
      <c r="J18" s="129"/>
      <c r="K18" s="129"/>
      <c r="L18" s="129"/>
      <c r="M18" s="60">
        <f t="shared" si="0"/>
        <v>1</v>
      </c>
      <c r="N18" s="61">
        <f t="shared" si="3"/>
        <v>30.807147258163891</v>
      </c>
      <c r="O18" s="61">
        <f t="shared" si="16"/>
        <v>58.866813833701251</v>
      </c>
      <c r="P18" s="129">
        <f t="shared" si="4"/>
        <v>90.485055952595431</v>
      </c>
      <c r="Q18" s="129">
        <f t="shared" si="5"/>
        <v>82.334370675182313</v>
      </c>
      <c r="R18" s="129">
        <f t="shared" si="6"/>
        <v>99.224278026743406</v>
      </c>
      <c r="S18" s="61">
        <f t="shared" si="7"/>
        <v>99.900099900099903</v>
      </c>
      <c r="T18" s="61">
        <f t="shared" si="1"/>
        <v>131.40943055913422</v>
      </c>
      <c r="U18" s="61">
        <f t="shared" si="17"/>
        <v>109.38972050664712</v>
      </c>
      <c r="V18" s="61"/>
      <c r="Y18" s="162" t="s">
        <v>38</v>
      </c>
      <c r="Z18" s="162" t="s">
        <v>62</v>
      </c>
      <c r="AA18" s="162" t="s">
        <v>201</v>
      </c>
      <c r="AB18" s="162">
        <f t="shared" si="21"/>
        <v>8</v>
      </c>
      <c r="AC18" s="165">
        <f t="shared" si="19"/>
        <v>39.42181340341655</v>
      </c>
      <c r="AD18" s="165">
        <f t="shared" si="20"/>
        <v>91.359958235447664</v>
      </c>
      <c r="AE18" s="162"/>
      <c r="AF18" s="162">
        <f t="shared" si="10"/>
        <v>18</v>
      </c>
      <c r="AG18" s="167" t="str">
        <f t="shared" si="11"/>
        <v>N/A</v>
      </c>
      <c r="AH18" s="165">
        <f t="shared" si="12"/>
        <v>90.715048025613655</v>
      </c>
      <c r="AI18" s="165">
        <f t="shared" si="13"/>
        <v>62.813103105283282</v>
      </c>
      <c r="AJ18" s="165">
        <f t="shared" si="14"/>
        <v>126.76915554561324</v>
      </c>
      <c r="AK18" s="167">
        <f t="shared" si="15"/>
        <v>5</v>
      </c>
    </row>
    <row r="19" spans="1:37" x14ac:dyDescent="0.2">
      <c r="A19" s="62" t="s">
        <v>42</v>
      </c>
      <c r="B19" s="62" t="s">
        <v>65</v>
      </c>
      <c r="C19" s="62" t="s">
        <v>200</v>
      </c>
      <c r="D19" s="62"/>
      <c r="E19" s="62">
        <f t="shared" si="2"/>
        <v>1</v>
      </c>
      <c r="F19" s="128" t="s">
        <v>79</v>
      </c>
      <c r="G19" s="129">
        <v>30.807147258163891</v>
      </c>
      <c r="H19" s="129">
        <v>14.748767449068282</v>
      </c>
      <c r="I19" s="129">
        <v>56.658837355996525</v>
      </c>
      <c r="J19" s="129"/>
      <c r="K19" s="129"/>
      <c r="L19" s="129"/>
      <c r="M19" s="60">
        <f t="shared" si="0"/>
        <v>2</v>
      </c>
      <c r="N19" s="61">
        <f t="shared" si="3"/>
        <v>30.807147258163891</v>
      </c>
      <c r="O19" s="61">
        <f t="shared" si="16"/>
        <v>58.866813833701251</v>
      </c>
      <c r="P19" s="129">
        <f t="shared" si="4"/>
        <v>90.485055952595431</v>
      </c>
      <c r="Q19" s="129">
        <f t="shared" si="5"/>
        <v>82.334370675182313</v>
      </c>
      <c r="R19" s="129">
        <f t="shared" si="6"/>
        <v>99.224278026743406</v>
      </c>
      <c r="S19" s="61">
        <f t="shared" si="7"/>
        <v>99.900099900099903</v>
      </c>
      <c r="T19" s="61">
        <f t="shared" si="1"/>
        <v>131.40943055913422</v>
      </c>
      <c r="U19" s="61">
        <f t="shared" si="17"/>
        <v>85.59366144236887</v>
      </c>
      <c r="V19" s="61"/>
      <c r="Y19" s="162" t="s">
        <v>43</v>
      </c>
      <c r="Z19" s="162" t="s">
        <v>159</v>
      </c>
      <c r="AA19" s="162" t="s">
        <v>201</v>
      </c>
      <c r="AB19" s="162">
        <f t="shared" si="21"/>
        <v>5</v>
      </c>
      <c r="AC19" s="165">
        <f t="shared" si="19"/>
        <v>39.42181340341655</v>
      </c>
      <c r="AD19" s="165">
        <f t="shared" si="20"/>
        <v>91.359958235447664</v>
      </c>
      <c r="AE19" s="162"/>
      <c r="AF19" s="162">
        <f t="shared" si="10"/>
        <v>9</v>
      </c>
      <c r="AG19" s="167" t="str">
        <f t="shared" si="11"/>
        <v>N/A</v>
      </c>
      <c r="AH19" s="165">
        <f t="shared" si="12"/>
        <v>66.72597864768683</v>
      </c>
      <c r="AI19" s="165">
        <f t="shared" si="13"/>
        <v>48.66585631012348</v>
      </c>
      <c r="AJ19" s="165">
        <f t="shared" si="14"/>
        <v>89.286716605741134</v>
      </c>
      <c r="AK19" s="167">
        <f t="shared" si="15"/>
        <v>5</v>
      </c>
    </row>
    <row r="20" spans="1:37" x14ac:dyDescent="0.2">
      <c r="A20" s="62" t="s">
        <v>43</v>
      </c>
      <c r="B20" s="62" t="s">
        <v>159</v>
      </c>
      <c r="C20" s="62" t="s">
        <v>201</v>
      </c>
      <c r="D20" s="62"/>
      <c r="E20" s="62">
        <f t="shared" si="2"/>
        <v>9</v>
      </c>
      <c r="F20" s="128" t="s">
        <v>79</v>
      </c>
      <c r="G20" s="129">
        <v>66.72597864768683</v>
      </c>
      <c r="H20" s="129">
        <v>48.66585631012348</v>
      </c>
      <c r="I20" s="129">
        <v>89.286716605741134</v>
      </c>
      <c r="J20" s="129"/>
      <c r="K20" s="129"/>
      <c r="L20" s="129"/>
      <c r="M20" s="60">
        <f t="shared" si="0"/>
        <v>5</v>
      </c>
      <c r="N20" s="61">
        <f t="shared" si="3"/>
        <v>30.807147258163891</v>
      </c>
      <c r="O20" s="61">
        <f t="shared" si="16"/>
        <v>58.866813833701251</v>
      </c>
      <c r="P20" s="129">
        <f t="shared" si="4"/>
        <v>90.485055952595431</v>
      </c>
      <c r="Q20" s="129">
        <f t="shared" si="5"/>
        <v>82.334370675182313</v>
      </c>
      <c r="R20" s="129">
        <f t="shared" si="6"/>
        <v>99.224278026743406</v>
      </c>
      <c r="S20" s="61">
        <f t="shared" si="7"/>
        <v>99.900099900099903</v>
      </c>
      <c r="T20" s="61">
        <f t="shared" si="1"/>
        <v>131.40943055913422</v>
      </c>
      <c r="U20" s="61">
        <f t="shared" si="17"/>
        <v>70.079669519032166</v>
      </c>
      <c r="V20" s="61"/>
      <c r="Y20" s="162" t="s">
        <v>48</v>
      </c>
      <c r="Z20" s="162" t="s">
        <v>160</v>
      </c>
      <c r="AA20" s="162" t="s">
        <v>201</v>
      </c>
      <c r="AB20" s="162">
        <f t="shared" si="21"/>
        <v>2</v>
      </c>
      <c r="AC20" s="165">
        <f t="shared" si="19"/>
        <v>39.42181340341655</v>
      </c>
      <c r="AD20" s="165">
        <f t="shared" si="20"/>
        <v>91.359958235447664</v>
      </c>
      <c r="AE20" s="162"/>
      <c r="AF20" s="162">
        <f t="shared" si="10"/>
        <v>5</v>
      </c>
      <c r="AG20" s="167" t="str">
        <f t="shared" si="11"/>
        <v>N/A</v>
      </c>
      <c r="AH20" s="165">
        <f t="shared" si="12"/>
        <v>44.937088076692632</v>
      </c>
      <c r="AI20" s="165">
        <f t="shared" si="13"/>
        <v>25.132606390695166</v>
      </c>
      <c r="AJ20" s="165">
        <f t="shared" si="14"/>
        <v>74.121124455480071</v>
      </c>
      <c r="AK20" s="167">
        <f t="shared" si="15"/>
        <v>2</v>
      </c>
    </row>
    <row r="21" spans="1:37" x14ac:dyDescent="0.2">
      <c r="A21" s="62" t="s">
        <v>44</v>
      </c>
      <c r="B21" s="62" t="s">
        <v>66</v>
      </c>
      <c r="C21" s="62" t="s">
        <v>200</v>
      </c>
      <c r="D21" s="62"/>
      <c r="E21" s="62">
        <f t="shared" si="2"/>
        <v>2</v>
      </c>
      <c r="F21" s="128" t="s">
        <v>79</v>
      </c>
      <c r="G21" s="129">
        <v>32.978183663115168</v>
      </c>
      <c r="H21" s="129">
        <v>17.542468149824</v>
      </c>
      <c r="I21" s="129">
        <v>56.397075112762373</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2</v>
      </c>
      <c r="N21" s="61">
        <f t="shared" si="3"/>
        <v>30.807147258163891</v>
      </c>
      <c r="O21" s="61">
        <f t="shared" si="16"/>
        <v>58.866813833701251</v>
      </c>
      <c r="P21" s="129">
        <f t="shared" si="4"/>
        <v>90.485055952595431</v>
      </c>
      <c r="Q21" s="129">
        <f t="shared" si="5"/>
        <v>82.334370675182313</v>
      </c>
      <c r="R21" s="129">
        <f t="shared" si="6"/>
        <v>99.224278026743406</v>
      </c>
      <c r="S21" s="61">
        <f t="shared" si="7"/>
        <v>99.900099900099903</v>
      </c>
      <c r="T21" s="61">
        <f t="shared" si="1"/>
        <v>131.40943055913422</v>
      </c>
      <c r="U21" s="61">
        <f t="shared" si="17"/>
        <v>85.59366144236887</v>
      </c>
      <c r="V21" s="61"/>
      <c r="Y21" s="162" t="s">
        <v>52</v>
      </c>
      <c r="Z21" s="162" t="s">
        <v>72</v>
      </c>
      <c r="AA21" s="162" t="s">
        <v>201</v>
      </c>
      <c r="AB21" s="162">
        <f t="shared" si="21"/>
        <v>1</v>
      </c>
      <c r="AC21" s="165">
        <f t="shared" si="19"/>
        <v>39.42181340341655</v>
      </c>
      <c r="AD21" s="165">
        <f t="shared" si="20"/>
        <v>91.359958235447664</v>
      </c>
      <c r="AE21" s="162"/>
      <c r="AF21" s="162">
        <f t="shared" si="10"/>
        <v>4</v>
      </c>
      <c r="AG21" s="167" t="str">
        <f t="shared" si="11"/>
        <v>N/A</v>
      </c>
      <c r="AH21" s="165">
        <f t="shared" si="12"/>
        <v>39.42181340341655</v>
      </c>
      <c r="AI21" s="165">
        <f t="shared" si="13"/>
        <v>17.988983898436857</v>
      </c>
      <c r="AJ21" s="165">
        <f t="shared" si="14"/>
        <v>74.839162017243467</v>
      </c>
      <c r="AK21" s="167">
        <f t="shared" si="15"/>
        <v>2</v>
      </c>
    </row>
    <row r="22" spans="1:37" x14ac:dyDescent="0.2">
      <c r="A22" s="62" t="s">
        <v>45</v>
      </c>
      <c r="B22" s="62" t="s">
        <v>67</v>
      </c>
      <c r="C22" s="62" t="s">
        <v>163</v>
      </c>
      <c r="D22" s="62"/>
      <c r="E22" s="62">
        <f t="shared" si="2"/>
        <v>17</v>
      </c>
      <c r="F22" s="128" t="s">
        <v>79</v>
      </c>
      <c r="G22" s="129">
        <v>90.256633318834261</v>
      </c>
      <c r="H22" s="129">
        <v>71.886613958590388</v>
      </c>
      <c r="I22" s="129">
        <v>111.8879964672018</v>
      </c>
      <c r="J22" s="129"/>
      <c r="K22" s="129"/>
      <c r="L22" s="129"/>
      <c r="M22" s="60">
        <f t="shared" si="0"/>
        <v>5</v>
      </c>
      <c r="N22" s="61">
        <f t="shared" si="3"/>
        <v>30.807147258163891</v>
      </c>
      <c r="O22" s="61">
        <f t="shared" si="16"/>
        <v>58.866813833701251</v>
      </c>
      <c r="P22" s="129">
        <f t="shared" si="4"/>
        <v>90.485055952595431</v>
      </c>
      <c r="Q22" s="129">
        <f t="shared" si="5"/>
        <v>82.334370675182313</v>
      </c>
      <c r="R22" s="129">
        <f t="shared" si="6"/>
        <v>99.224278026743406</v>
      </c>
      <c r="S22" s="61">
        <f t="shared" si="7"/>
        <v>99.900099900099903</v>
      </c>
      <c r="T22" s="61">
        <f t="shared" si="1"/>
        <v>131.40943055913422</v>
      </c>
      <c r="U22" s="61">
        <f>VLOOKUP(C22,$C$43:$I$46,5,FALSE)</f>
        <v>109.38972050664712</v>
      </c>
      <c r="V22" s="61"/>
      <c r="Y22" s="162" t="s">
        <v>54</v>
      </c>
      <c r="Z22" s="162" t="s">
        <v>73</v>
      </c>
      <c r="AA22" s="162" t="s">
        <v>201</v>
      </c>
      <c r="AB22" s="162">
        <f t="shared" si="21"/>
        <v>3</v>
      </c>
      <c r="AC22" s="165">
        <f t="shared" si="19"/>
        <v>39.42181340341655</v>
      </c>
      <c r="AD22" s="165">
        <f t="shared" si="20"/>
        <v>91.359958235447664</v>
      </c>
      <c r="AE22" s="162"/>
      <c r="AF22" s="162">
        <f t="shared" si="10"/>
        <v>6</v>
      </c>
      <c r="AG22" s="167" t="str">
        <f t="shared" si="11"/>
        <v>N/A</v>
      </c>
      <c r="AH22" s="165">
        <f t="shared" si="12"/>
        <v>56.236192006426997</v>
      </c>
      <c r="AI22" s="165">
        <f t="shared" si="13"/>
        <v>37.360286455319155</v>
      </c>
      <c r="AJ22" s="165">
        <f t="shared" si="14"/>
        <v>81.279995089530885</v>
      </c>
      <c r="AK22" s="167">
        <f t="shared" si="15"/>
        <v>2</v>
      </c>
    </row>
    <row r="23" spans="1:37" x14ac:dyDescent="0.2">
      <c r="A23" s="62" t="s">
        <v>46</v>
      </c>
      <c r="B23" s="62" t="s">
        <v>68</v>
      </c>
      <c r="C23" s="62" t="s">
        <v>163</v>
      </c>
      <c r="D23" s="62"/>
      <c r="E23" s="62">
        <f t="shared" si="2"/>
        <v>25</v>
      </c>
      <c r="F23" s="128" t="s">
        <v>79</v>
      </c>
      <c r="G23" s="129">
        <v>126.17249107661658</v>
      </c>
      <c r="H23" s="129">
        <v>106.91051554622119</v>
      </c>
      <c r="I23" s="129">
        <v>147.90173959238041</v>
      </c>
      <c r="J23" s="129"/>
      <c r="K23" s="129"/>
      <c r="L23" s="129"/>
      <c r="M23" s="60">
        <f t="shared" si="0"/>
        <v>1</v>
      </c>
      <c r="N23" s="61">
        <f t="shared" si="3"/>
        <v>30.807147258163891</v>
      </c>
      <c r="O23" s="61">
        <f t="shared" si="16"/>
        <v>58.866813833701251</v>
      </c>
      <c r="P23" s="129">
        <f t="shared" si="4"/>
        <v>90.485055952595431</v>
      </c>
      <c r="Q23" s="129">
        <f t="shared" si="5"/>
        <v>82.334370675182313</v>
      </c>
      <c r="R23" s="129">
        <f t="shared" si="6"/>
        <v>99.224278026743406</v>
      </c>
      <c r="S23" s="61">
        <f t="shared" si="7"/>
        <v>99.900099900099903</v>
      </c>
      <c r="T23" s="61">
        <f t="shared" si="1"/>
        <v>131.40943055913422</v>
      </c>
      <c r="U23" s="61">
        <f t="shared" si="17"/>
        <v>109.38972050664712</v>
      </c>
      <c r="V23" s="61"/>
      <c r="Y23" s="163" t="s">
        <v>30</v>
      </c>
      <c r="Z23" s="163" t="s">
        <v>56</v>
      </c>
      <c r="AA23" s="163" t="s">
        <v>200</v>
      </c>
      <c r="AB23" s="163">
        <f>RANK(AH23,$AH$23:$AH$31,1)</f>
        <v>9</v>
      </c>
      <c r="AC23" s="166">
        <f>MIN($AH$23:$AH$31)</f>
        <v>30.807147258163891</v>
      </c>
      <c r="AD23" s="166">
        <f>MAX($AH$23:$AH$31)</f>
        <v>104.96850944716584</v>
      </c>
      <c r="AE23" s="163"/>
      <c r="AF23" s="163">
        <f t="shared" si="10"/>
        <v>21</v>
      </c>
      <c r="AG23" s="168" t="str">
        <f t="shared" si="11"/>
        <v>N/A</v>
      </c>
      <c r="AH23" s="166">
        <f t="shared" si="12"/>
        <v>104.96850944716584</v>
      </c>
      <c r="AI23" s="166">
        <f t="shared" si="13"/>
        <v>80.097549887177109</v>
      </c>
      <c r="AJ23" s="166">
        <f t="shared" si="14"/>
        <v>135.11760662589089</v>
      </c>
      <c r="AK23" s="168">
        <f t="shared" si="15"/>
        <v>5</v>
      </c>
    </row>
    <row r="24" spans="1:37" x14ac:dyDescent="0.2">
      <c r="A24" s="62" t="s">
        <v>47</v>
      </c>
      <c r="B24" s="62" t="s">
        <v>69</v>
      </c>
      <c r="C24" s="62" t="s">
        <v>163</v>
      </c>
      <c r="D24" s="62"/>
      <c r="E24" s="62">
        <f t="shared" si="2"/>
        <v>8</v>
      </c>
      <c r="F24" s="128" t="s">
        <v>79</v>
      </c>
      <c r="G24" s="129">
        <v>62.893081761006293</v>
      </c>
      <c r="H24" s="129">
        <v>32.460743412363882</v>
      </c>
      <c r="I24" s="129">
        <v>109.86822879254035</v>
      </c>
      <c r="J24" s="129"/>
      <c r="K24" s="129"/>
      <c r="L24" s="129"/>
      <c r="M24" s="60">
        <f t="shared" si="0"/>
        <v>5</v>
      </c>
      <c r="N24" s="61">
        <f t="shared" si="3"/>
        <v>30.807147258163891</v>
      </c>
      <c r="O24" s="61">
        <f t="shared" si="16"/>
        <v>58.866813833701251</v>
      </c>
      <c r="P24" s="129">
        <f t="shared" si="4"/>
        <v>90.485055952595431</v>
      </c>
      <c r="Q24" s="129">
        <f t="shared" si="5"/>
        <v>82.334370675182313</v>
      </c>
      <c r="R24" s="129">
        <f t="shared" si="6"/>
        <v>99.224278026743406</v>
      </c>
      <c r="S24" s="61">
        <f t="shared" si="7"/>
        <v>99.900099900099903</v>
      </c>
      <c r="T24" s="61">
        <f t="shared" si="1"/>
        <v>131.40943055913422</v>
      </c>
      <c r="U24" s="61">
        <f t="shared" si="17"/>
        <v>109.38972050664712</v>
      </c>
      <c r="V24" s="61"/>
      <c r="Y24" s="163" t="s">
        <v>31</v>
      </c>
      <c r="Z24" s="163" t="s">
        <v>57</v>
      </c>
      <c r="AA24" s="163" t="s">
        <v>200</v>
      </c>
      <c r="AB24" s="163">
        <f t="shared" ref="AB24:AB31" si="22">RANK(AH24,$AH$23:$AH$31,1)</f>
        <v>7</v>
      </c>
      <c r="AC24" s="166">
        <f t="shared" ref="AC24:AC31" si="23">MIN($AH$23:$AH$31)</f>
        <v>30.807147258163891</v>
      </c>
      <c r="AD24" s="166">
        <f t="shared" ref="AD24:AD31" si="24">MAX($AH$23:$AH$31)</f>
        <v>104.96850944716584</v>
      </c>
      <c r="AE24" s="163"/>
      <c r="AF24" s="163">
        <f t="shared" si="10"/>
        <v>16</v>
      </c>
      <c r="AG24" s="168" t="str">
        <f t="shared" si="11"/>
        <v>N/A</v>
      </c>
      <c r="AH24" s="166">
        <f t="shared" si="12"/>
        <v>89.251561902333293</v>
      </c>
      <c r="AI24" s="166">
        <f t="shared" si="13"/>
        <v>75.079065899761687</v>
      </c>
      <c r="AJ24" s="166">
        <f t="shared" si="14"/>
        <v>105.32099196445641</v>
      </c>
      <c r="AK24" s="168">
        <f t="shared" si="15"/>
        <v>5</v>
      </c>
    </row>
    <row r="25" spans="1:37" x14ac:dyDescent="0.2">
      <c r="A25" s="62" t="s">
        <v>48</v>
      </c>
      <c r="B25" s="62" t="s">
        <v>160</v>
      </c>
      <c r="C25" s="62" t="s">
        <v>201</v>
      </c>
      <c r="D25" s="62"/>
      <c r="E25" s="62">
        <f t="shared" si="2"/>
        <v>5</v>
      </c>
      <c r="F25" s="128" t="s">
        <v>79</v>
      </c>
      <c r="G25" s="129">
        <v>44.937088076692632</v>
      </c>
      <c r="H25" s="129">
        <v>25.132606390695166</v>
      </c>
      <c r="I25" s="129">
        <v>74.121124455480071</v>
      </c>
      <c r="J25" s="129"/>
      <c r="K25" s="129"/>
      <c r="L25" s="129"/>
      <c r="M25" s="60">
        <f t="shared" si="0"/>
        <v>2</v>
      </c>
      <c r="N25" s="61">
        <f t="shared" si="3"/>
        <v>30.807147258163891</v>
      </c>
      <c r="O25" s="61">
        <f t="shared" si="16"/>
        <v>58.866813833701251</v>
      </c>
      <c r="P25" s="129">
        <f t="shared" si="4"/>
        <v>90.485055952595431</v>
      </c>
      <c r="Q25" s="129">
        <f t="shared" si="5"/>
        <v>82.334370675182313</v>
      </c>
      <c r="R25" s="129">
        <f t="shared" si="6"/>
        <v>99.224278026743406</v>
      </c>
      <c r="S25" s="61">
        <f t="shared" si="7"/>
        <v>99.900099900099903</v>
      </c>
      <c r="T25" s="61">
        <f t="shared" si="1"/>
        <v>131.40943055913422</v>
      </c>
      <c r="U25" s="61">
        <f t="shared" si="17"/>
        <v>70.079669519032166</v>
      </c>
      <c r="V25" s="61"/>
      <c r="Y25" s="163" t="s">
        <v>34</v>
      </c>
      <c r="Z25" s="163" t="s">
        <v>59</v>
      </c>
      <c r="AA25" s="163" t="s">
        <v>200</v>
      </c>
      <c r="AB25" s="163">
        <f t="shared" si="22"/>
        <v>6</v>
      </c>
      <c r="AC25" s="166">
        <f t="shared" si="23"/>
        <v>30.807147258163891</v>
      </c>
      <c r="AD25" s="166">
        <f t="shared" si="24"/>
        <v>104.96850944716584</v>
      </c>
      <c r="AE25" s="163"/>
      <c r="AF25" s="163">
        <f t="shared" si="10"/>
        <v>15</v>
      </c>
      <c r="AG25" s="168" t="str">
        <f t="shared" si="11"/>
        <v>N/A</v>
      </c>
      <c r="AH25" s="166">
        <f t="shared" si="12"/>
        <v>87.019579405366201</v>
      </c>
      <c r="AI25" s="166">
        <f t="shared" si="13"/>
        <v>72.807506145076729</v>
      </c>
      <c r="AJ25" s="166">
        <f t="shared" si="14"/>
        <v>103.19480377677263</v>
      </c>
      <c r="AK25" s="168">
        <f t="shared" si="15"/>
        <v>5</v>
      </c>
    </row>
    <row r="26" spans="1:37" x14ac:dyDescent="0.2">
      <c r="A26" s="62" t="s">
        <v>49</v>
      </c>
      <c r="B26" s="62" t="s">
        <v>70</v>
      </c>
      <c r="C26" s="62" t="s">
        <v>200</v>
      </c>
      <c r="D26" s="62"/>
      <c r="E26" s="62">
        <f t="shared" si="2"/>
        <v>3</v>
      </c>
      <c r="F26" s="128" t="s">
        <v>79</v>
      </c>
      <c r="G26" s="129">
        <v>33.337778370449392</v>
      </c>
      <c r="H26" s="129">
        <v>21.568563704036816</v>
      </c>
      <c r="I26" s="129">
        <v>49.215162944639765</v>
      </c>
      <c r="J26" s="129"/>
      <c r="K26" s="129"/>
      <c r="L26" s="129"/>
      <c r="M26" s="60">
        <f t="shared" si="0"/>
        <v>2</v>
      </c>
      <c r="N26" s="61">
        <f t="shared" si="3"/>
        <v>30.807147258163891</v>
      </c>
      <c r="O26" s="61">
        <f t="shared" si="16"/>
        <v>58.866813833701251</v>
      </c>
      <c r="P26" s="129">
        <f t="shared" si="4"/>
        <v>90.485055952595431</v>
      </c>
      <c r="Q26" s="129">
        <f t="shared" si="5"/>
        <v>82.334370675182313</v>
      </c>
      <c r="R26" s="129">
        <f t="shared" si="6"/>
        <v>99.224278026743406</v>
      </c>
      <c r="S26" s="61">
        <f t="shared" si="7"/>
        <v>99.900099900099903</v>
      </c>
      <c r="T26" s="61">
        <f t="shared" si="1"/>
        <v>131.40943055913422</v>
      </c>
      <c r="U26" s="61">
        <f t="shared" si="17"/>
        <v>85.59366144236887</v>
      </c>
      <c r="V26" s="61"/>
      <c r="Y26" s="163" t="s">
        <v>39</v>
      </c>
      <c r="Z26" s="163" t="s">
        <v>158</v>
      </c>
      <c r="AA26" s="163" t="s">
        <v>200</v>
      </c>
      <c r="AB26" s="163">
        <f t="shared" si="22"/>
        <v>5</v>
      </c>
      <c r="AC26" s="166">
        <f t="shared" si="23"/>
        <v>30.807147258163891</v>
      </c>
      <c r="AD26" s="166">
        <f t="shared" si="24"/>
        <v>104.96850944716584</v>
      </c>
      <c r="AE26" s="163"/>
      <c r="AF26" s="163">
        <f t="shared" si="10"/>
        <v>14</v>
      </c>
      <c r="AG26" s="168" t="str">
        <f t="shared" si="11"/>
        <v>N/A</v>
      </c>
      <c r="AH26" s="166">
        <f t="shared" si="12"/>
        <v>83.950617283950621</v>
      </c>
      <c r="AI26" s="166">
        <f t="shared" si="13"/>
        <v>69.544924753888921</v>
      </c>
      <c r="AJ26" s="166">
        <f t="shared" si="14"/>
        <v>100.46019054490191</v>
      </c>
      <c r="AK26" s="168">
        <f t="shared" si="15"/>
        <v>5</v>
      </c>
    </row>
    <row r="27" spans="1:37" x14ac:dyDescent="0.2">
      <c r="A27" s="62" t="s">
        <v>50</v>
      </c>
      <c r="B27" s="62" t="s">
        <v>161</v>
      </c>
      <c r="C27" s="62" t="s">
        <v>163</v>
      </c>
      <c r="D27" s="62"/>
      <c r="E27" s="62">
        <f t="shared" si="2"/>
        <v>11</v>
      </c>
      <c r="F27" s="128" t="s">
        <v>79</v>
      </c>
      <c r="G27" s="129">
        <v>77.255871446229918</v>
      </c>
      <c r="H27" s="129">
        <v>57.336372696282737</v>
      </c>
      <c r="I27" s="129">
        <v>101.8543830252746</v>
      </c>
      <c r="J27" s="129"/>
      <c r="K27" s="129"/>
      <c r="L27" s="129"/>
      <c r="M27" s="60">
        <f t="shared" si="0"/>
        <v>5</v>
      </c>
      <c r="N27" s="61">
        <f t="shared" si="3"/>
        <v>30.807147258163891</v>
      </c>
      <c r="O27" s="61">
        <f t="shared" si="16"/>
        <v>58.866813833701251</v>
      </c>
      <c r="P27" s="129">
        <f t="shared" si="4"/>
        <v>90.485055952595431</v>
      </c>
      <c r="Q27" s="129">
        <f t="shared" si="5"/>
        <v>82.334370675182313</v>
      </c>
      <c r="R27" s="129">
        <f t="shared" si="6"/>
        <v>99.224278026743406</v>
      </c>
      <c r="S27" s="61">
        <f t="shared" si="7"/>
        <v>99.900099900099903</v>
      </c>
      <c r="T27" s="61">
        <f t="shared" si="1"/>
        <v>131.40943055913422</v>
      </c>
      <c r="U27" s="61">
        <f t="shared" si="17"/>
        <v>109.38972050664712</v>
      </c>
      <c r="V27" s="61"/>
      <c r="Y27" s="163" t="s">
        <v>40</v>
      </c>
      <c r="Z27" s="163" t="s">
        <v>63</v>
      </c>
      <c r="AA27" s="163" t="s">
        <v>200</v>
      </c>
      <c r="AB27" s="163">
        <f t="shared" si="22"/>
        <v>4</v>
      </c>
      <c r="AC27" s="166">
        <f t="shared" si="23"/>
        <v>30.807147258163891</v>
      </c>
      <c r="AD27" s="166">
        <f t="shared" si="24"/>
        <v>104.96850944716584</v>
      </c>
      <c r="AE27" s="163"/>
      <c r="AF27" s="163">
        <f t="shared" si="10"/>
        <v>13</v>
      </c>
      <c r="AG27" s="168" t="str">
        <f t="shared" si="11"/>
        <v>N/A</v>
      </c>
      <c r="AH27" s="166">
        <f t="shared" si="12"/>
        <v>80.4552590266876</v>
      </c>
      <c r="AI27" s="166">
        <f t="shared" si="13"/>
        <v>57.729731766309619</v>
      </c>
      <c r="AJ27" s="166">
        <f t="shared" si="14"/>
        <v>109.14948144838786</v>
      </c>
      <c r="AK27" s="168">
        <f t="shared" si="15"/>
        <v>5</v>
      </c>
    </row>
    <row r="28" spans="1:37" x14ac:dyDescent="0.2">
      <c r="A28" s="62" t="s">
        <v>51</v>
      </c>
      <c r="B28" s="62" t="s">
        <v>71</v>
      </c>
      <c r="C28" s="62" t="s">
        <v>200</v>
      </c>
      <c r="D28" s="62"/>
      <c r="E28" s="62">
        <f t="shared" si="2"/>
        <v>20</v>
      </c>
      <c r="F28" s="128" t="s">
        <v>79</v>
      </c>
      <c r="G28" s="129">
        <v>99.900099900099903</v>
      </c>
      <c r="H28" s="129">
        <v>77.873699039610457</v>
      </c>
      <c r="I28" s="129">
        <v>126.21958773894768</v>
      </c>
      <c r="J28" s="129"/>
      <c r="K28" s="129"/>
      <c r="L28" s="129"/>
      <c r="M28" s="60">
        <f t="shared" si="0"/>
        <v>5</v>
      </c>
      <c r="N28" s="61">
        <f t="shared" si="3"/>
        <v>30.807147258163891</v>
      </c>
      <c r="O28" s="61">
        <f t="shared" si="16"/>
        <v>58.866813833701251</v>
      </c>
      <c r="P28" s="129">
        <f t="shared" si="4"/>
        <v>90.485055952595431</v>
      </c>
      <c r="Q28" s="129">
        <f t="shared" si="5"/>
        <v>82.334370675182313</v>
      </c>
      <c r="R28" s="129">
        <f t="shared" si="6"/>
        <v>99.224278026743406</v>
      </c>
      <c r="S28" s="61">
        <f t="shared" si="7"/>
        <v>99.900099900099903</v>
      </c>
      <c r="T28" s="61">
        <f t="shared" si="1"/>
        <v>131.40943055913422</v>
      </c>
      <c r="U28" s="61">
        <f t="shared" si="17"/>
        <v>85.59366144236887</v>
      </c>
      <c r="V28" s="61"/>
      <c r="Y28" s="163" t="s">
        <v>42</v>
      </c>
      <c r="Z28" s="163" t="s">
        <v>65</v>
      </c>
      <c r="AA28" s="163" t="s">
        <v>200</v>
      </c>
      <c r="AB28" s="163">
        <f t="shared" si="22"/>
        <v>1</v>
      </c>
      <c r="AC28" s="166">
        <f t="shared" si="23"/>
        <v>30.807147258163891</v>
      </c>
      <c r="AD28" s="166">
        <f t="shared" si="24"/>
        <v>104.96850944716584</v>
      </c>
      <c r="AE28" s="163"/>
      <c r="AF28" s="163">
        <f t="shared" si="10"/>
        <v>1</v>
      </c>
      <c r="AG28" s="168" t="str">
        <f t="shared" si="11"/>
        <v>N/A</v>
      </c>
      <c r="AH28" s="166">
        <f t="shared" si="12"/>
        <v>30.807147258163891</v>
      </c>
      <c r="AI28" s="166">
        <f t="shared" si="13"/>
        <v>14.748767449068282</v>
      </c>
      <c r="AJ28" s="166">
        <f t="shared" si="14"/>
        <v>56.658837355996525</v>
      </c>
      <c r="AK28" s="168">
        <f t="shared" si="15"/>
        <v>2</v>
      </c>
    </row>
    <row r="29" spans="1:37" x14ac:dyDescent="0.2">
      <c r="A29" s="62" t="s">
        <v>52</v>
      </c>
      <c r="B29" s="62" t="s">
        <v>72</v>
      </c>
      <c r="C29" s="62" t="s">
        <v>201</v>
      </c>
      <c r="D29" s="62"/>
      <c r="E29" s="62">
        <f t="shared" si="2"/>
        <v>4</v>
      </c>
      <c r="F29" s="128" t="s">
        <v>79</v>
      </c>
      <c r="G29" s="129">
        <v>39.42181340341655</v>
      </c>
      <c r="H29" s="129">
        <v>17.988983898436857</v>
      </c>
      <c r="I29" s="129">
        <v>74.839162017243467</v>
      </c>
      <c r="J29" s="129"/>
      <c r="K29" s="129"/>
      <c r="L29" s="129"/>
      <c r="M29" s="60">
        <f t="shared" si="0"/>
        <v>2</v>
      </c>
      <c r="N29" s="61">
        <f t="shared" si="3"/>
        <v>30.807147258163891</v>
      </c>
      <c r="O29" s="61">
        <f t="shared" si="16"/>
        <v>58.866813833701251</v>
      </c>
      <c r="P29" s="129">
        <f t="shared" si="4"/>
        <v>90.485055952595431</v>
      </c>
      <c r="Q29" s="129">
        <f t="shared" si="5"/>
        <v>82.334370675182313</v>
      </c>
      <c r="R29" s="129">
        <f t="shared" si="6"/>
        <v>99.224278026743406</v>
      </c>
      <c r="S29" s="61">
        <f t="shared" si="7"/>
        <v>99.900099900099903</v>
      </c>
      <c r="T29" s="61">
        <f t="shared" si="1"/>
        <v>131.40943055913422</v>
      </c>
      <c r="U29" s="61">
        <f t="shared" si="17"/>
        <v>70.079669519032166</v>
      </c>
      <c r="V29" s="61"/>
      <c r="Y29" s="163" t="s">
        <v>44</v>
      </c>
      <c r="Z29" s="163" t="s">
        <v>66</v>
      </c>
      <c r="AA29" s="163" t="s">
        <v>200</v>
      </c>
      <c r="AB29" s="163">
        <f t="shared" si="22"/>
        <v>2</v>
      </c>
      <c r="AC29" s="166">
        <f t="shared" si="23"/>
        <v>30.807147258163891</v>
      </c>
      <c r="AD29" s="166">
        <f t="shared" si="24"/>
        <v>104.96850944716584</v>
      </c>
      <c r="AE29" s="163"/>
      <c r="AF29" s="163">
        <f t="shared" si="10"/>
        <v>2</v>
      </c>
      <c r="AG29" s="168" t="str">
        <f t="shared" si="11"/>
        <v>N/A</v>
      </c>
      <c r="AH29" s="166">
        <f t="shared" si="12"/>
        <v>32.978183663115168</v>
      </c>
      <c r="AI29" s="166">
        <f t="shared" si="13"/>
        <v>17.542468149824</v>
      </c>
      <c r="AJ29" s="166">
        <f t="shared" si="14"/>
        <v>56.397075112762373</v>
      </c>
      <c r="AK29" s="168">
        <f t="shared" si="15"/>
        <v>2</v>
      </c>
    </row>
    <row r="30" spans="1:37" x14ac:dyDescent="0.2">
      <c r="A30" s="62" t="s">
        <v>53</v>
      </c>
      <c r="B30" s="62" t="s">
        <v>162</v>
      </c>
      <c r="C30" s="62" t="s">
        <v>163</v>
      </c>
      <c r="D30" s="62"/>
      <c r="E30" s="62">
        <f t="shared" si="2"/>
        <v>22</v>
      </c>
      <c r="F30" s="128" t="s">
        <v>79</v>
      </c>
      <c r="G30" s="129">
        <v>111.14023591087812</v>
      </c>
      <c r="H30" s="129">
        <v>96.681469925884059</v>
      </c>
      <c r="I30" s="129">
        <v>127.15106838112155</v>
      </c>
      <c r="J30" s="129"/>
      <c r="K30" s="129"/>
      <c r="L30" s="129"/>
      <c r="M30" s="60">
        <f t="shared" si="0"/>
        <v>5</v>
      </c>
      <c r="N30" s="61">
        <f t="shared" si="3"/>
        <v>30.807147258163891</v>
      </c>
      <c r="O30" s="61">
        <f t="shared" si="16"/>
        <v>58.866813833701251</v>
      </c>
      <c r="P30" s="129">
        <f>$G$32</f>
        <v>90.485055952595431</v>
      </c>
      <c r="Q30" s="129">
        <f t="shared" si="5"/>
        <v>82.334370675182313</v>
      </c>
      <c r="R30" s="129">
        <f t="shared" si="6"/>
        <v>99.224278026743406</v>
      </c>
      <c r="S30" s="61">
        <f t="shared" si="7"/>
        <v>99.900099900099903</v>
      </c>
      <c r="T30" s="61">
        <f t="shared" si="1"/>
        <v>131.40943055913422</v>
      </c>
      <c r="U30" s="61">
        <f t="shared" si="17"/>
        <v>109.38972050664712</v>
      </c>
      <c r="V30" s="61"/>
      <c r="Y30" s="163" t="s">
        <v>49</v>
      </c>
      <c r="Z30" s="163" t="s">
        <v>70</v>
      </c>
      <c r="AA30" s="163" t="s">
        <v>200</v>
      </c>
      <c r="AB30" s="163">
        <f t="shared" si="22"/>
        <v>3</v>
      </c>
      <c r="AC30" s="166">
        <f t="shared" si="23"/>
        <v>30.807147258163891</v>
      </c>
      <c r="AD30" s="166">
        <f t="shared" si="24"/>
        <v>104.96850944716584</v>
      </c>
      <c r="AE30" s="163"/>
      <c r="AF30" s="163">
        <f t="shared" si="10"/>
        <v>3</v>
      </c>
      <c r="AG30" s="168" t="str">
        <f t="shared" si="11"/>
        <v>N/A</v>
      </c>
      <c r="AH30" s="166">
        <f t="shared" si="12"/>
        <v>33.337778370449392</v>
      </c>
      <c r="AI30" s="166">
        <f t="shared" si="13"/>
        <v>21.568563704036816</v>
      </c>
      <c r="AJ30" s="166">
        <f t="shared" si="14"/>
        <v>49.215162944639765</v>
      </c>
      <c r="AK30" s="168">
        <f t="shared" si="15"/>
        <v>2</v>
      </c>
    </row>
    <row r="31" spans="1:37" x14ac:dyDescent="0.2">
      <c r="A31" s="62" t="s">
        <v>54</v>
      </c>
      <c r="B31" s="62" t="s">
        <v>73</v>
      </c>
      <c r="C31" s="62" t="s">
        <v>201</v>
      </c>
      <c r="D31" s="62"/>
      <c r="E31" s="62">
        <f t="shared" si="2"/>
        <v>6</v>
      </c>
      <c r="F31" s="128" t="s">
        <v>79</v>
      </c>
      <c r="G31" s="129">
        <v>56.236192006426997</v>
      </c>
      <c r="H31" s="129">
        <v>37.360286455319155</v>
      </c>
      <c r="I31" s="129">
        <v>81.279995089530885</v>
      </c>
      <c r="J31" s="129"/>
      <c r="K31" s="129"/>
      <c r="L31" s="129"/>
      <c r="M31" s="60">
        <f t="shared" si="0"/>
        <v>2</v>
      </c>
      <c r="N31" s="61">
        <f t="shared" si="3"/>
        <v>30.807147258163891</v>
      </c>
      <c r="O31" s="61">
        <f t="shared" si="16"/>
        <v>58.866813833701251</v>
      </c>
      <c r="P31" s="129">
        <f t="shared" si="4"/>
        <v>90.485055952595431</v>
      </c>
      <c r="Q31" s="129">
        <f t="shared" si="5"/>
        <v>82.334370675182313</v>
      </c>
      <c r="R31" s="129">
        <f t="shared" si="6"/>
        <v>99.224278026743406</v>
      </c>
      <c r="S31" s="61">
        <f t="shared" si="7"/>
        <v>99.900099900099903</v>
      </c>
      <c r="T31" s="61">
        <f t="shared" si="1"/>
        <v>131.40943055913422</v>
      </c>
      <c r="U31" s="61">
        <f t="shared" si="17"/>
        <v>70.079669519032166</v>
      </c>
      <c r="V31" s="61"/>
      <c r="Y31" s="163" t="s">
        <v>51</v>
      </c>
      <c r="Z31" s="163" t="s">
        <v>71</v>
      </c>
      <c r="AA31" s="163" t="s">
        <v>200</v>
      </c>
      <c r="AB31" s="163">
        <f t="shared" si="22"/>
        <v>8</v>
      </c>
      <c r="AC31" s="166">
        <f t="shared" si="23"/>
        <v>30.807147258163891</v>
      </c>
      <c r="AD31" s="166">
        <f t="shared" si="24"/>
        <v>104.96850944716584</v>
      </c>
      <c r="AE31" s="163"/>
      <c r="AF31" s="163">
        <f t="shared" si="10"/>
        <v>20</v>
      </c>
      <c r="AG31" s="168" t="str">
        <f t="shared" si="11"/>
        <v>N/A</v>
      </c>
      <c r="AH31" s="166">
        <f t="shared" si="12"/>
        <v>99.900099900099903</v>
      </c>
      <c r="AI31" s="166">
        <f t="shared" si="13"/>
        <v>77.873699039610457</v>
      </c>
      <c r="AJ31" s="166">
        <f t="shared" si="14"/>
        <v>126.21958773894768</v>
      </c>
      <c r="AK31" s="168">
        <f t="shared" si="15"/>
        <v>5</v>
      </c>
    </row>
    <row r="32" spans="1:37" x14ac:dyDescent="0.2">
      <c r="A32" s="62"/>
      <c r="B32" s="62" t="s">
        <v>171</v>
      </c>
      <c r="C32" s="62"/>
      <c r="D32" s="62"/>
      <c r="E32" s="62"/>
      <c r="F32" s="128">
        <v>452</v>
      </c>
      <c r="G32" s="129">
        <v>90.485055952595431</v>
      </c>
      <c r="H32" s="129">
        <v>82.334370675182313</v>
      </c>
      <c r="I32" s="129">
        <v>99.224278026743406</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209</v>
      </c>
      <c r="G44" s="344">
        <v>109.38972050664712</v>
      </c>
      <c r="H44" s="344">
        <v>95.060509417777908</v>
      </c>
      <c r="I44" s="344">
        <v>125.26872370388774</v>
      </c>
      <c r="J44" s="344">
        <f>VLOOKUP($C44,$AA$6:$AD$13,3,FALSE)</f>
        <v>62.893081761006293</v>
      </c>
      <c r="K44" s="344">
        <f>VLOOKUP($C44,$AA$6:$AD$13,4,FALSE)</f>
        <v>131.40943055913422</v>
      </c>
      <c r="L44" s="344"/>
      <c r="M44" s="60">
        <f>IF($C$2="Significance not measured",6,IF(AND($C$2="Better / Worse",$K$2="Low = Worst",I44&lt;Q44),1,IF(AND($C$2="Better / Worse",$K$2="Low = Worst",H44&gt;R44),2,IF(AND($C$2="Better / Worse",$K$2="High = Worst",I44&lt;Q44),2,IF(AND($C$2="Better / Worse",$K$2="High = Worst",H44&gt;R44),1,IF(AND($C$2="Higher / Lower",I44&lt;Q44),3,IF(AND($C$2="Higher / Lower",H44&gt;R44),4,5)))))))</f>
        <v>5</v>
      </c>
      <c r="N44" s="60">
        <f>MIN($G$6:$G$31)</f>
        <v>30.807147258163891</v>
      </c>
      <c r="O44" s="60">
        <f>VLOOKUP(7,$E$5:$G$39,3,FALSE)</f>
        <v>58.866813833701251</v>
      </c>
      <c r="P44" s="344">
        <f>$G$32</f>
        <v>90.485055952595431</v>
      </c>
      <c r="Q44" s="129">
        <f>$H$32</f>
        <v>82.334370675182313</v>
      </c>
      <c r="R44" s="129">
        <f>$I$32</f>
        <v>99.224278026743406</v>
      </c>
      <c r="S44" s="61">
        <f>VLOOKUP(20,$E$5:$G$39,3,FALSE)</f>
        <v>99.900099900099903</v>
      </c>
      <c r="T44" s="61">
        <f>MAX($G$6:$G$31)</f>
        <v>131.40943055913422</v>
      </c>
    </row>
    <row r="45" spans="1:22" x14ac:dyDescent="0.2">
      <c r="C45" s="62" t="s">
        <v>201</v>
      </c>
      <c r="D45" s="62"/>
      <c r="E45" s="62"/>
      <c r="F45" s="128">
        <v>95</v>
      </c>
      <c r="G45" s="344">
        <v>70.079669519032166</v>
      </c>
      <c r="H45" s="344">
        <v>56.69720358089377</v>
      </c>
      <c r="I45" s="344">
        <v>85.66961990944246</v>
      </c>
      <c r="J45" s="344">
        <f>VLOOKUP($C45,$AA$14:$AD$22,3,FALSE)</f>
        <v>39.42181340341655</v>
      </c>
      <c r="K45" s="344">
        <f>VLOOKUP($C45,$AA$14:$AD$22,4,FALSE)</f>
        <v>91.359958235447664</v>
      </c>
      <c r="L45" s="344"/>
      <c r="M45" s="60">
        <f>IF($C$2="Significance not measured",6,IF(AND($C$2="Better / Worse",$K$2="Low = Worst",I45&lt;Q45),1,IF(AND($C$2="Better / Worse",$K$2="Low = Worst",H45&gt;R45),2,IF(AND($C$2="Better / Worse",$K$2="High = Worst",I45&lt;Q45),2,IF(AND($C$2="Better / Worse",$K$2="High = Worst",H45&gt;R45),1,IF(AND($C$2="Higher / Lower",I45&lt;Q45),3,IF(AND($C$2="Higher / Lower",H45&gt;R45),4,5)))))))</f>
        <v>5</v>
      </c>
      <c r="N45" s="60">
        <f>MIN($G$6:$G$31)</f>
        <v>30.807147258163891</v>
      </c>
      <c r="O45" s="60">
        <f>VLOOKUP(7,$E$5:$G$39,3,FALSE)</f>
        <v>58.866813833701251</v>
      </c>
      <c r="P45" s="344">
        <f>$G$32</f>
        <v>90.485055952595431</v>
      </c>
      <c r="Q45" s="129">
        <f t="shared" ref="Q45:Q46" si="25">$H$32</f>
        <v>82.334370675182313</v>
      </c>
      <c r="R45" s="129">
        <f t="shared" ref="R45:R46" si="26">$I$32</f>
        <v>99.224278026743406</v>
      </c>
      <c r="S45" s="61">
        <f>VLOOKUP(20,$E$5:$G$39,3,FALSE)</f>
        <v>99.900099900099903</v>
      </c>
      <c r="T45" s="61">
        <f t="shared" ref="T45:T46" si="27">MAX($G$6:$G$31)</f>
        <v>131.40943055913422</v>
      </c>
    </row>
    <row r="46" spans="1:22" x14ac:dyDescent="0.2">
      <c r="C46" s="62" t="s">
        <v>200</v>
      </c>
      <c r="D46" s="62"/>
      <c r="E46" s="62"/>
      <c r="F46" s="128">
        <v>148</v>
      </c>
      <c r="G46" s="344">
        <v>85.59366144236887</v>
      </c>
      <c r="H46" s="344">
        <v>72.35863589726678</v>
      </c>
      <c r="I46" s="344">
        <v>100.54828096474996</v>
      </c>
      <c r="J46" s="344">
        <f>VLOOKUP($C46,$AA$23:$AD$31,3,FALSE)</f>
        <v>30.807147258163891</v>
      </c>
      <c r="K46" s="344">
        <f>VLOOKUP($C46,$AA$23:$AD$31,4,FALSE)</f>
        <v>104.96850944716584</v>
      </c>
      <c r="L46" s="344"/>
      <c r="M46" s="60">
        <f>IF($C$2="Significance not measured",6,IF(AND($C$2="Better / Worse",$K$2="Low = Worst",I46&lt;Q46),1,IF(AND($C$2="Better / Worse",$K$2="Low = Worst",H46&gt;R46),2,IF(AND($C$2="Better / Worse",$K$2="High = Worst",I46&lt;Q46),2,IF(AND($C$2="Better / Worse",$K$2="High = Worst",H46&gt;R46),1,IF(AND($C$2="Higher / Lower",I46&lt;Q46),3,IF(AND($C$2="Higher / Lower",H46&gt;R46),4,5)))))))</f>
        <v>5</v>
      </c>
      <c r="N46" s="60">
        <f>MIN($G$6:$G$31)</f>
        <v>30.807147258163891</v>
      </c>
      <c r="O46" s="60">
        <f>VLOOKUP(7,$E$5:$G$39,3,FALSE)</f>
        <v>58.866813833701251</v>
      </c>
      <c r="P46" s="344">
        <f t="shared" ref="P46" si="28">$G$32</f>
        <v>90.485055952595431</v>
      </c>
      <c r="Q46" s="129">
        <f t="shared" si="25"/>
        <v>82.334370675182313</v>
      </c>
      <c r="R46" s="129">
        <f t="shared" si="26"/>
        <v>99.224278026743406</v>
      </c>
      <c r="S46" s="61">
        <f>VLOOKUP(20,$E$5:$G$39,3,FALSE)</f>
        <v>99.900099900099903</v>
      </c>
      <c r="T46" s="61">
        <f t="shared" si="27"/>
        <v>131.40943055913422</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C2:D2" xr:uid="{00000000-0002-0000-3B00-000000000000}">
      <formula1>"Better / Worse,Higher / Lower,Significance not measured"</formula1>
    </dataValidation>
    <dataValidation type="list" allowBlank="1" showInputMessage="1" showErrorMessage="1" sqref="K2:N2" xr:uid="{00000000-0002-0000-3B00-000001000000}">
      <formula1>"High = Worst,Low = Worst"</formula1>
    </dataValidation>
  </dataValidations>
  <pageMargins left="0.75" right="0.75" top="1" bottom="1" header="0.5" footer="0.5"/>
  <pageSetup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0">
    <tabColor theme="6" tint="0.39997558519241921"/>
  </sheetPr>
  <dimension ref="A1:AK55"/>
  <sheetViews>
    <sheetView workbookViewId="0">
      <selection activeCell="I55" sqref="I55"/>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8" width="7.33203125" style="21" customWidth="1"/>
    <col min="9" max="9" width="6.886718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5.554687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14</v>
      </c>
      <c r="F6" s="128" t="s">
        <v>79</v>
      </c>
      <c r="G6" s="129">
        <v>19.252873563218394</v>
      </c>
      <c r="H6" s="129">
        <v>17.977064990506765</v>
      </c>
      <c r="I6" s="129">
        <v>20.596488792149987</v>
      </c>
      <c r="J6" s="129"/>
      <c r="K6" s="129"/>
      <c r="L6" s="129"/>
      <c r="M6" s="60">
        <f>IF($C$2="Significance not measured",6,IF(AND($C$2="Better / Worse",$K$2="Low = Worst",I6&lt;Q6),1,IF(AND($C$2="Better / Worse",$K$2="Low = Worst",H6&gt;R6),2,IF(AND($C$2="Better / Worse",$K$2="High = Worst",I6&lt;Q6),2,IF(AND($C$2="Better / Worse",$K$2="High = Worst",H6&gt;R6),1,IF(AND($C$2="Higher / Lower",I6&lt;Q6),3,IF(AND($C$2="Higher / Lower",H6&gt;R6),4,5)))))))</f>
        <v>5</v>
      </c>
      <c r="N6" s="61">
        <f>MIN($G$6:$G$32)</f>
        <v>8.0246913580246915</v>
      </c>
      <c r="O6" s="61">
        <f>VLOOKUP(7,$E$5:$G$39,3,FALSE)</f>
        <v>16.849199663016005</v>
      </c>
      <c r="P6" s="129">
        <f>$G$32</f>
        <v>20.11754068716094</v>
      </c>
      <c r="Q6" s="129">
        <f>$H$32</f>
        <v>19.746588173232038</v>
      </c>
      <c r="R6" s="129">
        <f>$I$32</f>
        <v>20.493682272975391</v>
      </c>
      <c r="S6" s="61">
        <f>VLOOKUP(20,$E$5:$G$39,3,FALSE)</f>
        <v>20.279520821448944</v>
      </c>
      <c r="T6" s="61">
        <f t="shared" ref="T6:T31" si="0">MAX($G$6:$G$31)</f>
        <v>25.525525525525527</v>
      </c>
      <c r="U6" s="61">
        <f>VLOOKUP(C6,$C$43:$I$46,5,FALSE)</f>
        <v>20.352341214649979</v>
      </c>
      <c r="V6" s="61"/>
      <c r="Y6" s="159" t="s">
        <v>33</v>
      </c>
      <c r="Z6" s="159" t="s">
        <v>58</v>
      </c>
      <c r="AA6" s="159" t="s">
        <v>163</v>
      </c>
      <c r="AB6" s="159">
        <f>RANK(AH6,$AH$6:$AH$13,1)</f>
        <v>7</v>
      </c>
      <c r="AC6" s="164">
        <f>MIN($AH$6:$AH$13)</f>
        <v>17.322834645669293</v>
      </c>
      <c r="AD6" s="164">
        <f>MAX($AH$6:$AH$13)</f>
        <v>21.642145230185097</v>
      </c>
      <c r="AE6" s="159"/>
      <c r="AF6" s="159">
        <f>VLOOKUP($Y6,$A$6:$I$31,5,FALSE)</f>
        <v>21</v>
      </c>
      <c r="AG6" s="160" t="str">
        <f>VLOOKUP($Y6,$A$6:$I$31,6,FALSE)</f>
        <v>N/A</v>
      </c>
      <c r="AH6" s="161">
        <f>VLOOKUP($Y6,$A$6:$I$31,7,FALSE)</f>
        <v>20.477386934673365</v>
      </c>
      <c r="AI6" s="161">
        <f>VLOOKUP($Y6,$A$6:$I$31,8,FALSE)</f>
        <v>19.763119753464352</v>
      </c>
      <c r="AJ6" s="161">
        <f>VLOOKUP($Y6,$A$6:$I$31,9,FALSE)</f>
        <v>21.210644639619783</v>
      </c>
      <c r="AK6" s="160">
        <f>VLOOKUP($Y6,$A$6:$M$31,13,FALSE)</f>
        <v>5</v>
      </c>
    </row>
    <row r="7" spans="1:37" x14ac:dyDescent="0.2">
      <c r="A7" s="62" t="s">
        <v>30</v>
      </c>
      <c r="B7" s="62" t="s">
        <v>56</v>
      </c>
      <c r="C7" s="62" t="s">
        <v>200</v>
      </c>
      <c r="D7" s="62"/>
      <c r="E7" s="62">
        <f t="shared" ref="E7:E31" si="1">RANK(G7,$G$6:$G$31,1)</f>
        <v>15</v>
      </c>
      <c r="F7" s="128" t="s">
        <v>79</v>
      </c>
      <c r="G7" s="129">
        <v>19.366852886405958</v>
      </c>
      <c r="H7" s="129">
        <v>18.331969179810201</v>
      </c>
      <c r="I7" s="129">
        <v>20.445532441497392</v>
      </c>
      <c r="J7" s="129"/>
      <c r="K7" s="129"/>
      <c r="L7" s="129"/>
      <c r="M7" s="60">
        <f t="shared" ref="M7:M31" si="2">IF($C$2="Significance not measured",6,IF(AND($C$2="Better / Worse",$K$2="Low = Worst",I7&lt;Q7),1,IF(AND($C$2="Better / Worse",$K$2="Low = Worst",H7&gt;R7),2,IF(AND($C$2="Better / Worse",$K$2="High = Worst",I7&lt;Q7),2,IF(AND($C$2="Better / Worse",$K$2="High = Worst",H7&gt;R7),1,IF(AND($C$2="Higher / Lower",I7&lt;Q7),3,IF(AND($C$2="Higher / Lower",H7&gt;R7),4,5)))))))</f>
        <v>5</v>
      </c>
      <c r="N7" s="61">
        <f t="shared" ref="N7:N31" si="3">MIN($G$6:$G$32)</f>
        <v>8.0246913580246915</v>
      </c>
      <c r="O7" s="61">
        <f>VLOOKUP(7,$E$5:$G$39,3,FALSE)</f>
        <v>16.849199663016005</v>
      </c>
      <c r="P7" s="129">
        <f t="shared" ref="P7:P31" si="4">$G$32</f>
        <v>20.11754068716094</v>
      </c>
      <c r="Q7" s="129">
        <f t="shared" ref="Q7:Q31" si="5">$H$32</f>
        <v>19.746588173232038</v>
      </c>
      <c r="R7" s="129">
        <f t="shared" ref="R7:R31" si="6">$I$32</f>
        <v>20.493682272975391</v>
      </c>
      <c r="S7" s="61">
        <f t="shared" ref="S7:S31" si="7">VLOOKUP(20,$E$5:$G$39,3,FALSE)</f>
        <v>20.279520821448944</v>
      </c>
      <c r="T7" s="61">
        <f t="shared" si="0"/>
        <v>25.525525525525527</v>
      </c>
      <c r="U7" s="61">
        <f>VLOOKUP(C7,$C$43:$I$46,5,FALSE)</f>
        <v>19.593521752937441</v>
      </c>
      <c r="V7" s="61"/>
      <c r="Y7" s="159" t="s">
        <v>35</v>
      </c>
      <c r="Z7" s="159" t="s">
        <v>60</v>
      </c>
      <c r="AA7" s="159" t="s">
        <v>163</v>
      </c>
      <c r="AB7" s="159">
        <f t="shared" ref="AB7:AB12" si="8">RANK(AH7,$AH$6:$AH$13,1)</f>
        <v>8</v>
      </c>
      <c r="AC7" s="164">
        <f>MIN($AH$6:$AH$13)</f>
        <v>17.322834645669293</v>
      </c>
      <c r="AD7" s="164">
        <f t="shared" ref="AD7:AD13" si="9">MAX($AH$6:$AH$13)</f>
        <v>21.642145230185097</v>
      </c>
      <c r="AE7" s="159"/>
      <c r="AF7" s="159">
        <f t="shared" ref="AF7:AF31" si="10">VLOOKUP($Y7,$A$6:$I$31,5,FALSE)</f>
        <v>23</v>
      </c>
      <c r="AG7" s="160" t="str">
        <f t="shared" ref="AG7:AG31" si="11">VLOOKUP($Y7,$A$6:$I$31,6,FALSE)</f>
        <v>N/A</v>
      </c>
      <c r="AH7" s="161">
        <f t="shared" ref="AH7:AH31" si="12">VLOOKUP($Y7,$A$6:$I$31,7,FALSE)</f>
        <v>21.642145230185097</v>
      </c>
      <c r="AI7" s="161">
        <f t="shared" ref="AI7:AI31" si="13">VLOOKUP($Y7,$A$6:$I$31,8,FALSE)</f>
        <v>20.866195687731771</v>
      </c>
      <c r="AJ7" s="161">
        <f t="shared" ref="AJ7:AJ31" si="14">VLOOKUP($Y7,$A$6:$I$31,9,FALSE)</f>
        <v>22.438767923812982</v>
      </c>
      <c r="AK7" s="160">
        <f t="shared" ref="AK7:AK31" si="15">VLOOKUP($Y7,$A$6:$M$31,13,FALSE)</f>
        <v>1</v>
      </c>
    </row>
    <row r="8" spans="1:37" x14ac:dyDescent="0.2">
      <c r="A8" s="62" t="s">
        <v>31</v>
      </c>
      <c r="B8" s="62" t="s">
        <v>57</v>
      </c>
      <c r="C8" s="62" t="s">
        <v>200</v>
      </c>
      <c r="D8" s="62"/>
      <c r="E8" s="62">
        <f t="shared" si="1"/>
        <v>13</v>
      </c>
      <c r="F8" s="128" t="s">
        <v>79</v>
      </c>
      <c r="G8" s="129">
        <v>19.237375472346272</v>
      </c>
      <c r="H8" s="129">
        <v>18.60517148441275</v>
      </c>
      <c r="I8" s="129">
        <v>19.885813355768487</v>
      </c>
      <c r="J8" s="129"/>
      <c r="K8" s="129"/>
      <c r="L8" s="129"/>
      <c r="M8" s="60">
        <f t="shared" si="2"/>
        <v>5</v>
      </c>
      <c r="N8" s="61">
        <f t="shared" si="3"/>
        <v>8.0246913580246915</v>
      </c>
      <c r="O8" s="61">
        <f t="shared" ref="O8:O31" si="16">VLOOKUP(7,$E$5:$G$39,3,FALSE)</f>
        <v>16.849199663016005</v>
      </c>
      <c r="P8" s="129">
        <f t="shared" si="4"/>
        <v>20.11754068716094</v>
      </c>
      <c r="Q8" s="129">
        <f t="shared" si="5"/>
        <v>19.746588173232038</v>
      </c>
      <c r="R8" s="129">
        <f t="shared" si="6"/>
        <v>20.493682272975391</v>
      </c>
      <c r="S8" s="61">
        <f t="shared" si="7"/>
        <v>20.279520821448944</v>
      </c>
      <c r="T8" s="61">
        <f t="shared" si="0"/>
        <v>25.525525525525527</v>
      </c>
      <c r="U8" s="61">
        <f t="shared" ref="U8:U31" si="17">VLOOKUP(C8,$C$43:$I$46,5,FALSE)</f>
        <v>19.593521752937441</v>
      </c>
      <c r="V8" s="61"/>
      <c r="Y8" s="159" t="s">
        <v>41</v>
      </c>
      <c r="Z8" s="159" t="s">
        <v>64</v>
      </c>
      <c r="AA8" s="159" t="s">
        <v>163</v>
      </c>
      <c r="AB8" s="159">
        <f t="shared" si="8"/>
        <v>5</v>
      </c>
      <c r="AC8" s="164">
        <f t="shared" ref="AC8:AC13" si="18">MIN($AH$6:$AH$13)</f>
        <v>17.322834645669293</v>
      </c>
      <c r="AD8" s="164">
        <f>MAX($AH$6:$AH$13)</f>
        <v>21.642145230185097</v>
      </c>
      <c r="AE8" s="159"/>
      <c r="AF8" s="159">
        <f t="shared" si="10"/>
        <v>19</v>
      </c>
      <c r="AG8" s="160" t="str">
        <f t="shared" si="11"/>
        <v>N/A</v>
      </c>
      <c r="AH8" s="161">
        <f t="shared" si="12"/>
        <v>20.13986013986014</v>
      </c>
      <c r="AI8" s="161">
        <f t="shared" si="13"/>
        <v>19.39161052386828</v>
      </c>
      <c r="AJ8" s="161">
        <f t="shared" si="14"/>
        <v>20.909492586065898</v>
      </c>
      <c r="AK8" s="160">
        <f t="shared" si="15"/>
        <v>5</v>
      </c>
    </row>
    <row r="9" spans="1:37" x14ac:dyDescent="0.2">
      <c r="A9" s="62" t="s">
        <v>32</v>
      </c>
      <c r="B9" s="62" t="s">
        <v>156</v>
      </c>
      <c r="C9" s="62" t="s">
        <v>201</v>
      </c>
      <c r="D9" s="62"/>
      <c r="E9" s="62">
        <f t="shared" si="1"/>
        <v>25</v>
      </c>
      <c r="F9" s="128" t="s">
        <v>79</v>
      </c>
      <c r="G9" s="129">
        <v>23.022388059701491</v>
      </c>
      <c r="H9" s="129">
        <v>22.317403843708941</v>
      </c>
      <c r="I9" s="129">
        <v>23.74283551220989</v>
      </c>
      <c r="J9" s="129"/>
      <c r="K9" s="129"/>
      <c r="L9" s="129"/>
      <c r="M9" s="60">
        <f t="shared" si="2"/>
        <v>1</v>
      </c>
      <c r="N9" s="61">
        <f t="shared" si="3"/>
        <v>8.0246913580246915</v>
      </c>
      <c r="O9" s="61">
        <f t="shared" si="16"/>
        <v>16.849199663016005</v>
      </c>
      <c r="P9" s="129">
        <f t="shared" si="4"/>
        <v>20.11754068716094</v>
      </c>
      <c r="Q9" s="129">
        <f t="shared" si="5"/>
        <v>19.746588173232038</v>
      </c>
      <c r="R9" s="129">
        <f t="shared" si="6"/>
        <v>20.493682272975391</v>
      </c>
      <c r="S9" s="61">
        <f t="shared" si="7"/>
        <v>20.279520821448944</v>
      </c>
      <c r="T9" s="61">
        <f t="shared" si="0"/>
        <v>25.525525525525527</v>
      </c>
      <c r="U9" s="61">
        <f t="shared" si="17"/>
        <v>20.352341214649979</v>
      </c>
      <c r="V9" s="61"/>
      <c r="X9" s="63"/>
      <c r="Y9" s="159" t="s">
        <v>45</v>
      </c>
      <c r="Z9" s="159" t="s">
        <v>67</v>
      </c>
      <c r="AA9" s="159" t="s">
        <v>163</v>
      </c>
      <c r="AB9" s="159">
        <f t="shared" si="8"/>
        <v>2</v>
      </c>
      <c r="AC9" s="164">
        <f t="shared" si="18"/>
        <v>17.322834645669293</v>
      </c>
      <c r="AD9" s="164">
        <f t="shared" si="9"/>
        <v>21.642145230185097</v>
      </c>
      <c r="AE9" s="159"/>
      <c r="AF9" s="159">
        <f t="shared" si="10"/>
        <v>11</v>
      </c>
      <c r="AG9" s="160" t="str">
        <f t="shared" si="11"/>
        <v>N/A</v>
      </c>
      <c r="AH9" s="161">
        <f t="shared" si="12"/>
        <v>18.498498498498499</v>
      </c>
      <c r="AI9" s="161">
        <f t="shared" si="13"/>
        <v>17.679014873280778</v>
      </c>
      <c r="AJ9" s="161">
        <f t="shared" si="14"/>
        <v>19.347040599953608</v>
      </c>
      <c r="AK9" s="160">
        <f t="shared" si="15"/>
        <v>2</v>
      </c>
    </row>
    <row r="10" spans="1:37" x14ac:dyDescent="0.2">
      <c r="A10" s="62" t="s">
        <v>33</v>
      </c>
      <c r="B10" s="62" t="s">
        <v>58</v>
      </c>
      <c r="C10" s="62" t="s">
        <v>163</v>
      </c>
      <c r="D10" s="62"/>
      <c r="E10" s="62">
        <f t="shared" si="1"/>
        <v>21</v>
      </c>
      <c r="F10" s="128" t="s">
        <v>79</v>
      </c>
      <c r="G10" s="129">
        <v>20.477386934673365</v>
      </c>
      <c r="H10" s="129">
        <v>19.763119753464352</v>
      </c>
      <c r="I10" s="129">
        <v>21.210644639619783</v>
      </c>
      <c r="J10" s="129"/>
      <c r="K10" s="129"/>
      <c r="L10" s="129"/>
      <c r="M10" s="60">
        <f t="shared" si="2"/>
        <v>5</v>
      </c>
      <c r="N10" s="61">
        <f t="shared" si="3"/>
        <v>8.0246913580246915</v>
      </c>
      <c r="O10" s="61">
        <f t="shared" si="16"/>
        <v>16.849199663016005</v>
      </c>
      <c r="P10" s="129">
        <f t="shared" si="4"/>
        <v>20.11754068716094</v>
      </c>
      <c r="Q10" s="129">
        <f t="shared" si="5"/>
        <v>19.746588173232038</v>
      </c>
      <c r="R10" s="129">
        <f t="shared" si="6"/>
        <v>20.493682272975391</v>
      </c>
      <c r="S10" s="61">
        <f t="shared" si="7"/>
        <v>20.279520821448944</v>
      </c>
      <c r="T10" s="61">
        <f t="shared" si="0"/>
        <v>25.525525525525527</v>
      </c>
      <c r="U10" s="61">
        <f t="shared" si="17"/>
        <v>20.44042913608131</v>
      </c>
      <c r="V10" s="61"/>
      <c r="Y10" s="159" t="s">
        <v>46</v>
      </c>
      <c r="Z10" s="159" t="s">
        <v>68</v>
      </c>
      <c r="AA10" s="159" t="s">
        <v>163</v>
      </c>
      <c r="AB10" s="159">
        <f t="shared" si="8"/>
        <v>4</v>
      </c>
      <c r="AC10" s="164">
        <f t="shared" si="18"/>
        <v>17.322834645669293</v>
      </c>
      <c r="AD10" s="164">
        <f t="shared" si="9"/>
        <v>21.642145230185097</v>
      </c>
      <c r="AE10" s="159"/>
      <c r="AF10" s="159">
        <f t="shared" si="10"/>
        <v>18</v>
      </c>
      <c r="AG10" s="160" t="str">
        <f t="shared" si="11"/>
        <v>N/A</v>
      </c>
      <c r="AH10" s="161">
        <f t="shared" si="12"/>
        <v>20.098920863309353</v>
      </c>
      <c r="AI10" s="161">
        <f t="shared" si="13"/>
        <v>19.36447169772951</v>
      </c>
      <c r="AJ10" s="161">
        <f t="shared" si="14"/>
        <v>20.854021845012809</v>
      </c>
      <c r="AK10" s="160">
        <f t="shared" si="15"/>
        <v>5</v>
      </c>
    </row>
    <row r="11" spans="1:37" x14ac:dyDescent="0.2">
      <c r="A11" s="62" t="s">
        <v>34</v>
      </c>
      <c r="B11" s="62" t="s">
        <v>59</v>
      </c>
      <c r="C11" s="62" t="s">
        <v>200</v>
      </c>
      <c r="D11" s="62"/>
      <c r="E11" s="62">
        <f t="shared" si="1"/>
        <v>16</v>
      </c>
      <c r="F11" s="128" t="s">
        <v>79</v>
      </c>
      <c r="G11" s="129">
        <v>20.014372978799855</v>
      </c>
      <c r="H11" s="129">
        <v>19.357900497952567</v>
      </c>
      <c r="I11" s="129">
        <v>20.687396916426852</v>
      </c>
      <c r="J11" s="129"/>
      <c r="K11" s="129"/>
      <c r="L11" s="129"/>
      <c r="M11" s="60">
        <f t="shared" si="2"/>
        <v>5</v>
      </c>
      <c r="N11" s="61">
        <f t="shared" si="3"/>
        <v>8.0246913580246915</v>
      </c>
      <c r="O11" s="61">
        <f t="shared" si="16"/>
        <v>16.849199663016005</v>
      </c>
      <c r="P11" s="129">
        <f t="shared" si="4"/>
        <v>20.11754068716094</v>
      </c>
      <c r="Q11" s="129">
        <f t="shared" si="5"/>
        <v>19.746588173232038</v>
      </c>
      <c r="R11" s="129">
        <f t="shared" si="6"/>
        <v>20.493682272975391</v>
      </c>
      <c r="S11" s="61">
        <f t="shared" si="7"/>
        <v>20.279520821448944</v>
      </c>
      <c r="T11" s="61">
        <f t="shared" si="0"/>
        <v>25.525525525525527</v>
      </c>
      <c r="U11" s="61">
        <f t="shared" si="17"/>
        <v>19.593521752937441</v>
      </c>
      <c r="V11" s="61"/>
      <c r="Y11" s="159" t="s">
        <v>47</v>
      </c>
      <c r="Z11" s="159" t="s">
        <v>69</v>
      </c>
      <c r="AA11" s="159" t="s">
        <v>163</v>
      </c>
      <c r="AB11" s="159">
        <f t="shared" si="8"/>
        <v>3</v>
      </c>
      <c r="AC11" s="164">
        <f t="shared" si="18"/>
        <v>17.322834645669293</v>
      </c>
      <c r="AD11" s="164">
        <f t="shared" si="9"/>
        <v>21.642145230185097</v>
      </c>
      <c r="AE11" s="159"/>
      <c r="AF11" s="159">
        <f t="shared" si="10"/>
        <v>17</v>
      </c>
      <c r="AG11" s="160" t="str">
        <f t="shared" si="11"/>
        <v>N/A</v>
      </c>
      <c r="AH11" s="161">
        <f t="shared" si="12"/>
        <v>20.053475935828878</v>
      </c>
      <c r="AI11" s="161">
        <f t="shared" si="13"/>
        <v>18.300918272692503</v>
      </c>
      <c r="AJ11" s="161">
        <f t="shared" si="14"/>
        <v>21.928817027065772</v>
      </c>
      <c r="AK11" s="160">
        <f t="shared" si="15"/>
        <v>5</v>
      </c>
    </row>
    <row r="12" spans="1:37" x14ac:dyDescent="0.2">
      <c r="A12" s="62" t="s">
        <v>35</v>
      </c>
      <c r="B12" s="62" t="s">
        <v>60</v>
      </c>
      <c r="C12" s="62" t="s">
        <v>163</v>
      </c>
      <c r="D12" s="62"/>
      <c r="E12" s="62">
        <f t="shared" si="1"/>
        <v>23</v>
      </c>
      <c r="F12" s="128" t="s">
        <v>79</v>
      </c>
      <c r="G12" s="129">
        <v>21.642145230185097</v>
      </c>
      <c r="H12" s="129">
        <v>20.866195687731771</v>
      </c>
      <c r="I12" s="129">
        <v>22.438767923812982</v>
      </c>
      <c r="J12" s="129"/>
      <c r="K12" s="129"/>
      <c r="L12" s="129"/>
      <c r="M12" s="60">
        <f t="shared" si="2"/>
        <v>1</v>
      </c>
      <c r="N12" s="61">
        <f t="shared" si="3"/>
        <v>8.0246913580246915</v>
      </c>
      <c r="O12" s="61">
        <f t="shared" si="16"/>
        <v>16.849199663016005</v>
      </c>
      <c r="P12" s="129">
        <f t="shared" si="4"/>
        <v>20.11754068716094</v>
      </c>
      <c r="Q12" s="129">
        <f t="shared" si="5"/>
        <v>19.746588173232038</v>
      </c>
      <c r="R12" s="129">
        <f t="shared" si="6"/>
        <v>20.493682272975391</v>
      </c>
      <c r="S12" s="61">
        <f t="shared" si="7"/>
        <v>20.279520821448944</v>
      </c>
      <c r="T12" s="61">
        <f t="shared" si="0"/>
        <v>25.525525525525527</v>
      </c>
      <c r="U12" s="61">
        <f t="shared" si="17"/>
        <v>20.44042913608131</v>
      </c>
      <c r="V12" s="61"/>
      <c r="Y12" s="159" t="s">
        <v>50</v>
      </c>
      <c r="Z12" s="159" t="s">
        <v>161</v>
      </c>
      <c r="AA12" s="159" t="s">
        <v>163</v>
      </c>
      <c r="AB12" s="159">
        <f t="shared" si="8"/>
        <v>1</v>
      </c>
      <c r="AC12" s="164">
        <f t="shared" si="18"/>
        <v>17.322834645669293</v>
      </c>
      <c r="AD12" s="164">
        <f t="shared" si="9"/>
        <v>21.642145230185097</v>
      </c>
      <c r="AE12" s="159"/>
      <c r="AF12" s="159">
        <f t="shared" si="10"/>
        <v>8</v>
      </c>
      <c r="AG12" s="160" t="str">
        <f t="shared" si="11"/>
        <v>N/A</v>
      </c>
      <c r="AH12" s="161">
        <f t="shared" si="12"/>
        <v>17.322834645669293</v>
      </c>
      <c r="AI12" s="161">
        <f t="shared" si="13"/>
        <v>16.363703117363933</v>
      </c>
      <c r="AJ12" s="161">
        <f t="shared" si="14"/>
        <v>18.325865969410334</v>
      </c>
      <c r="AK12" s="160">
        <f t="shared" si="15"/>
        <v>2</v>
      </c>
    </row>
    <row r="13" spans="1:37" x14ac:dyDescent="0.2">
      <c r="A13" s="62" t="s">
        <v>36</v>
      </c>
      <c r="B13" s="62" t="s">
        <v>61</v>
      </c>
      <c r="C13" s="62" t="s">
        <v>201</v>
      </c>
      <c r="D13" s="62"/>
      <c r="E13" s="62">
        <f t="shared" si="1"/>
        <v>7</v>
      </c>
      <c r="F13" s="128" t="s">
        <v>79</v>
      </c>
      <c r="G13" s="129">
        <v>16.849199663016005</v>
      </c>
      <c r="H13" s="129">
        <v>15.918438307463095</v>
      </c>
      <c r="I13" s="129">
        <v>17.822847307165972</v>
      </c>
      <c r="J13" s="129"/>
      <c r="K13" s="129"/>
      <c r="L13" s="129"/>
      <c r="M13" s="60">
        <f t="shared" si="2"/>
        <v>2</v>
      </c>
      <c r="N13" s="61">
        <f t="shared" si="3"/>
        <v>8.0246913580246915</v>
      </c>
      <c r="O13" s="61">
        <f t="shared" si="16"/>
        <v>16.849199663016005</v>
      </c>
      <c r="P13" s="129">
        <f t="shared" si="4"/>
        <v>20.11754068716094</v>
      </c>
      <c r="Q13" s="129">
        <f t="shared" si="5"/>
        <v>19.746588173232038</v>
      </c>
      <c r="R13" s="129">
        <f t="shared" si="6"/>
        <v>20.493682272975391</v>
      </c>
      <c r="S13" s="61">
        <f t="shared" si="7"/>
        <v>20.279520821448944</v>
      </c>
      <c r="T13" s="61">
        <f t="shared" si="0"/>
        <v>25.525525525525527</v>
      </c>
      <c r="U13" s="61">
        <f t="shared" si="17"/>
        <v>20.352341214649979</v>
      </c>
      <c r="V13" s="61"/>
      <c r="Y13" s="159" t="s">
        <v>53</v>
      </c>
      <c r="Z13" s="159" t="s">
        <v>162</v>
      </c>
      <c r="AA13" s="159" t="s">
        <v>163</v>
      </c>
      <c r="AB13" s="159">
        <f>RANK(AH13,$AH$6:$AH$13,1)</f>
        <v>6</v>
      </c>
      <c r="AC13" s="164">
        <f t="shared" si="18"/>
        <v>17.322834645669293</v>
      </c>
      <c r="AD13" s="164">
        <f t="shared" si="9"/>
        <v>21.642145230185097</v>
      </c>
      <c r="AE13" s="159"/>
      <c r="AF13" s="159">
        <f t="shared" si="10"/>
        <v>20</v>
      </c>
      <c r="AG13" s="160" t="str">
        <f t="shared" si="11"/>
        <v>N/A</v>
      </c>
      <c r="AH13" s="161">
        <f t="shared" si="12"/>
        <v>20.279520821448944</v>
      </c>
      <c r="AI13" s="161">
        <f t="shared" si="13"/>
        <v>19.690850844667349</v>
      </c>
      <c r="AJ13" s="161">
        <f t="shared" si="14"/>
        <v>20.881213614384531</v>
      </c>
      <c r="AK13" s="160">
        <f t="shared" si="15"/>
        <v>5</v>
      </c>
    </row>
    <row r="14" spans="1:37" x14ac:dyDescent="0.2">
      <c r="A14" s="62" t="s">
        <v>37</v>
      </c>
      <c r="B14" s="62" t="s">
        <v>157</v>
      </c>
      <c r="C14" s="62" t="s">
        <v>201</v>
      </c>
      <c r="D14" s="62"/>
      <c r="E14" s="62">
        <f t="shared" si="1"/>
        <v>24</v>
      </c>
      <c r="F14" s="128" t="s">
        <v>79</v>
      </c>
      <c r="G14" s="129">
        <v>22.373540856031131</v>
      </c>
      <c r="H14" s="129">
        <v>21.255109342754523</v>
      </c>
      <c r="I14" s="129">
        <v>23.533235657071458</v>
      </c>
      <c r="J14" s="129"/>
      <c r="K14" s="129"/>
      <c r="L14" s="129"/>
      <c r="M14" s="60">
        <f t="shared" si="2"/>
        <v>1</v>
      </c>
      <c r="N14" s="61">
        <f t="shared" si="3"/>
        <v>8.0246913580246915</v>
      </c>
      <c r="O14" s="61">
        <f t="shared" si="16"/>
        <v>16.849199663016005</v>
      </c>
      <c r="P14" s="129">
        <f t="shared" si="4"/>
        <v>20.11754068716094</v>
      </c>
      <c r="Q14" s="129">
        <f t="shared" si="5"/>
        <v>19.746588173232038</v>
      </c>
      <c r="R14" s="129">
        <f t="shared" si="6"/>
        <v>20.493682272975391</v>
      </c>
      <c r="S14" s="61">
        <f t="shared" si="7"/>
        <v>20.279520821448944</v>
      </c>
      <c r="T14" s="61">
        <f t="shared" si="0"/>
        <v>25.525525525525527</v>
      </c>
      <c r="U14" s="61">
        <f t="shared" si="17"/>
        <v>20.352341214649979</v>
      </c>
      <c r="V14" s="61"/>
      <c r="Y14" s="162" t="s">
        <v>29</v>
      </c>
      <c r="Z14" s="162" t="s">
        <v>55</v>
      </c>
      <c r="AA14" s="162" t="s">
        <v>201</v>
      </c>
      <c r="AB14" s="162">
        <f>RANK(AH14,$AH$14:$AH$22,1)</f>
        <v>6</v>
      </c>
      <c r="AC14" s="165">
        <f t="shared" ref="AC14:AC22" si="19">MIN($AH$14:$AH$22)</f>
        <v>10.87866108786611</v>
      </c>
      <c r="AD14" s="165">
        <f>MAX($AH$14:$AH$22)</f>
        <v>23.022388059701491</v>
      </c>
      <c r="AE14" s="162"/>
      <c r="AF14" s="162">
        <f t="shared" si="10"/>
        <v>14</v>
      </c>
      <c r="AG14" s="167" t="str">
        <f t="shared" si="11"/>
        <v>N/A</v>
      </c>
      <c r="AH14" s="165">
        <f t="shared" si="12"/>
        <v>19.252873563218394</v>
      </c>
      <c r="AI14" s="165">
        <f t="shared" si="13"/>
        <v>17.977064990506765</v>
      </c>
      <c r="AJ14" s="165">
        <f t="shared" si="14"/>
        <v>20.596488792149987</v>
      </c>
      <c r="AK14" s="167">
        <f t="shared" si="15"/>
        <v>5</v>
      </c>
    </row>
    <row r="15" spans="1:37" x14ac:dyDescent="0.2">
      <c r="A15" s="62" t="s">
        <v>38</v>
      </c>
      <c r="B15" s="62" t="s">
        <v>62</v>
      </c>
      <c r="C15" s="62" t="s">
        <v>201</v>
      </c>
      <c r="D15" s="62"/>
      <c r="E15" s="62">
        <f t="shared" si="1"/>
        <v>22</v>
      </c>
      <c r="F15" s="128" t="s">
        <v>79</v>
      </c>
      <c r="G15" s="129">
        <v>20.865533230293661</v>
      </c>
      <c r="H15" s="129">
        <v>19.500233009177165</v>
      </c>
      <c r="I15" s="129">
        <v>22.299943876098531</v>
      </c>
      <c r="J15" s="129"/>
      <c r="K15" s="129"/>
      <c r="L15" s="129"/>
      <c r="M15" s="60">
        <f t="shared" si="2"/>
        <v>5</v>
      </c>
      <c r="N15" s="61">
        <f t="shared" si="3"/>
        <v>8.0246913580246915</v>
      </c>
      <c r="O15" s="61">
        <f t="shared" si="16"/>
        <v>16.849199663016005</v>
      </c>
      <c r="P15" s="129">
        <f t="shared" si="4"/>
        <v>20.11754068716094</v>
      </c>
      <c r="Q15" s="129">
        <f t="shared" si="5"/>
        <v>19.746588173232038</v>
      </c>
      <c r="R15" s="129">
        <f t="shared" si="6"/>
        <v>20.493682272975391</v>
      </c>
      <c r="S15" s="61">
        <f t="shared" si="7"/>
        <v>20.279520821448944</v>
      </c>
      <c r="T15" s="61">
        <f t="shared" si="0"/>
        <v>25.525525525525527</v>
      </c>
      <c r="U15" s="61">
        <f t="shared" si="17"/>
        <v>20.352341214649979</v>
      </c>
      <c r="V15" s="61"/>
      <c r="Y15" s="162" t="s">
        <v>32</v>
      </c>
      <c r="Z15" s="162" t="s">
        <v>156</v>
      </c>
      <c r="AA15" s="162" t="s">
        <v>201</v>
      </c>
      <c r="AB15" s="162">
        <f>RANK(AH15,$AH$14:$AH$22,1)</f>
        <v>9</v>
      </c>
      <c r="AC15" s="165">
        <f t="shared" si="19"/>
        <v>10.87866108786611</v>
      </c>
      <c r="AD15" s="165">
        <f t="shared" ref="AD15:AD22" si="20">MAX($AH$14:$AH$22)</f>
        <v>23.022388059701491</v>
      </c>
      <c r="AE15" s="162"/>
      <c r="AF15" s="162">
        <f t="shared" si="10"/>
        <v>25</v>
      </c>
      <c r="AG15" s="167" t="str">
        <f t="shared" si="11"/>
        <v>N/A</v>
      </c>
      <c r="AH15" s="165">
        <f t="shared" si="12"/>
        <v>23.022388059701491</v>
      </c>
      <c r="AI15" s="165">
        <f t="shared" si="13"/>
        <v>22.317403843708941</v>
      </c>
      <c r="AJ15" s="165">
        <f t="shared" si="14"/>
        <v>23.74283551220989</v>
      </c>
      <c r="AK15" s="167">
        <f t="shared" si="15"/>
        <v>1</v>
      </c>
    </row>
    <row r="16" spans="1:37" x14ac:dyDescent="0.2">
      <c r="A16" s="62" t="s">
        <v>39</v>
      </c>
      <c r="B16" s="62" t="s">
        <v>158</v>
      </c>
      <c r="C16" s="62" t="s">
        <v>200</v>
      </c>
      <c r="D16" s="62"/>
      <c r="E16" s="62">
        <f t="shared" si="1"/>
        <v>12</v>
      </c>
      <c r="F16" s="128" t="s">
        <v>79</v>
      </c>
      <c r="G16" s="129">
        <v>18.793774319066149</v>
      </c>
      <c r="H16" s="129">
        <v>18.127679305759425</v>
      </c>
      <c r="I16" s="129">
        <v>19.478521722210825</v>
      </c>
      <c r="J16" s="129"/>
      <c r="K16" s="129"/>
      <c r="L16" s="129"/>
      <c r="M16" s="60">
        <f t="shared" si="2"/>
        <v>2</v>
      </c>
      <c r="N16" s="61">
        <f t="shared" si="3"/>
        <v>8.0246913580246915</v>
      </c>
      <c r="O16" s="61">
        <f t="shared" si="16"/>
        <v>16.849199663016005</v>
      </c>
      <c r="P16" s="129">
        <f t="shared" si="4"/>
        <v>20.11754068716094</v>
      </c>
      <c r="Q16" s="129">
        <f t="shared" si="5"/>
        <v>19.746588173232038</v>
      </c>
      <c r="R16" s="129">
        <f t="shared" si="6"/>
        <v>20.493682272975391</v>
      </c>
      <c r="S16" s="61">
        <f t="shared" si="7"/>
        <v>20.279520821448944</v>
      </c>
      <c r="T16" s="61">
        <f t="shared" si="0"/>
        <v>25.525525525525527</v>
      </c>
      <c r="U16" s="61">
        <f t="shared" si="17"/>
        <v>19.593521752937441</v>
      </c>
      <c r="V16" s="61"/>
      <c r="Y16" s="162" t="s">
        <v>36</v>
      </c>
      <c r="Z16" s="162" t="s">
        <v>61</v>
      </c>
      <c r="AA16" s="162" t="s">
        <v>201</v>
      </c>
      <c r="AB16" s="162">
        <f>RANK(AH16,$AH$14:$AH$22,1)</f>
        <v>3</v>
      </c>
      <c r="AC16" s="165">
        <f t="shared" si="19"/>
        <v>10.87866108786611</v>
      </c>
      <c r="AD16" s="165">
        <f t="shared" si="20"/>
        <v>23.022388059701491</v>
      </c>
      <c r="AE16" s="162"/>
      <c r="AF16" s="162">
        <f t="shared" si="10"/>
        <v>7</v>
      </c>
      <c r="AG16" s="167" t="str">
        <f t="shared" si="11"/>
        <v>N/A</v>
      </c>
      <c r="AH16" s="165">
        <f t="shared" si="12"/>
        <v>16.849199663016005</v>
      </c>
      <c r="AI16" s="165">
        <f t="shared" si="13"/>
        <v>15.918438307463095</v>
      </c>
      <c r="AJ16" s="165">
        <f t="shared" si="14"/>
        <v>17.822847307165972</v>
      </c>
      <c r="AK16" s="167">
        <f t="shared" si="15"/>
        <v>2</v>
      </c>
    </row>
    <row r="17" spans="1:37" x14ac:dyDescent="0.2">
      <c r="A17" s="62" t="s">
        <v>40</v>
      </c>
      <c r="B17" s="62" t="s">
        <v>63</v>
      </c>
      <c r="C17" s="62" t="s">
        <v>200</v>
      </c>
      <c r="D17" s="62"/>
      <c r="E17" s="62">
        <f t="shared" si="1"/>
        <v>6</v>
      </c>
      <c r="F17" s="128" t="s">
        <v>79</v>
      </c>
      <c r="G17" s="129">
        <v>16.50992685475444</v>
      </c>
      <c r="H17" s="129">
        <v>15.4849155494749</v>
      </c>
      <c r="I17" s="129">
        <v>17.588667538212714</v>
      </c>
      <c r="J17" s="129"/>
      <c r="K17" s="129"/>
      <c r="L17" s="129"/>
      <c r="M17" s="60">
        <f t="shared" si="2"/>
        <v>2</v>
      </c>
      <c r="N17" s="61">
        <f t="shared" si="3"/>
        <v>8.0246913580246915</v>
      </c>
      <c r="O17" s="61">
        <f t="shared" si="16"/>
        <v>16.849199663016005</v>
      </c>
      <c r="P17" s="129">
        <f t="shared" si="4"/>
        <v>20.11754068716094</v>
      </c>
      <c r="Q17" s="129">
        <f t="shared" si="5"/>
        <v>19.746588173232038</v>
      </c>
      <c r="R17" s="129">
        <f t="shared" si="6"/>
        <v>20.493682272975391</v>
      </c>
      <c r="S17" s="61">
        <f t="shared" si="7"/>
        <v>20.279520821448944</v>
      </c>
      <c r="T17" s="61">
        <f t="shared" si="0"/>
        <v>25.525525525525527</v>
      </c>
      <c r="U17" s="61">
        <f t="shared" si="17"/>
        <v>19.593521752937441</v>
      </c>
      <c r="V17" s="61"/>
      <c r="Y17" s="162" t="s">
        <v>37</v>
      </c>
      <c r="Z17" s="162" t="s">
        <v>157</v>
      </c>
      <c r="AA17" s="162" t="s">
        <v>201</v>
      </c>
      <c r="AB17" s="162">
        <f t="shared" ref="AB17:AB22" si="21">RANK(AH17,$AH$14:$AH$22,1)</f>
        <v>8</v>
      </c>
      <c r="AC17" s="165">
        <f t="shared" si="19"/>
        <v>10.87866108786611</v>
      </c>
      <c r="AD17" s="165">
        <f>MAX($AH$14:$AH$22)</f>
        <v>23.022388059701491</v>
      </c>
      <c r="AE17" s="162"/>
      <c r="AF17" s="162">
        <f t="shared" si="10"/>
        <v>24</v>
      </c>
      <c r="AG17" s="167" t="str">
        <f t="shared" si="11"/>
        <v>N/A</v>
      </c>
      <c r="AH17" s="165">
        <f t="shared" si="12"/>
        <v>22.373540856031131</v>
      </c>
      <c r="AI17" s="165">
        <f t="shared" si="13"/>
        <v>21.255109342754523</v>
      </c>
      <c r="AJ17" s="165">
        <f t="shared" si="14"/>
        <v>23.533235657071458</v>
      </c>
      <c r="AK17" s="167">
        <f t="shared" si="15"/>
        <v>1</v>
      </c>
    </row>
    <row r="18" spans="1:37" x14ac:dyDescent="0.2">
      <c r="A18" s="62" t="s">
        <v>41</v>
      </c>
      <c r="B18" s="62" t="s">
        <v>64</v>
      </c>
      <c r="C18" s="62" t="s">
        <v>163</v>
      </c>
      <c r="D18" s="62"/>
      <c r="E18" s="62">
        <f t="shared" si="1"/>
        <v>19</v>
      </c>
      <c r="F18" s="128" t="s">
        <v>79</v>
      </c>
      <c r="G18" s="129">
        <v>20.13986013986014</v>
      </c>
      <c r="H18" s="129">
        <v>19.39161052386828</v>
      </c>
      <c r="I18" s="129">
        <v>20.909492586065898</v>
      </c>
      <c r="J18" s="129"/>
      <c r="K18" s="129"/>
      <c r="L18" s="129"/>
      <c r="M18" s="60">
        <f t="shared" si="2"/>
        <v>5</v>
      </c>
      <c r="N18" s="61">
        <f t="shared" si="3"/>
        <v>8.0246913580246915</v>
      </c>
      <c r="O18" s="61">
        <f t="shared" si="16"/>
        <v>16.849199663016005</v>
      </c>
      <c r="P18" s="129">
        <f t="shared" si="4"/>
        <v>20.11754068716094</v>
      </c>
      <c r="Q18" s="129">
        <f t="shared" si="5"/>
        <v>19.746588173232038</v>
      </c>
      <c r="R18" s="129">
        <f t="shared" si="6"/>
        <v>20.493682272975391</v>
      </c>
      <c r="S18" s="61">
        <f t="shared" si="7"/>
        <v>20.279520821448944</v>
      </c>
      <c r="T18" s="61">
        <f t="shared" si="0"/>
        <v>25.525525525525527</v>
      </c>
      <c r="U18" s="61">
        <f t="shared" si="17"/>
        <v>20.44042913608131</v>
      </c>
      <c r="V18" s="61"/>
      <c r="Y18" s="162" t="s">
        <v>38</v>
      </c>
      <c r="Z18" s="162" t="s">
        <v>62</v>
      </c>
      <c r="AA18" s="162" t="s">
        <v>201</v>
      </c>
      <c r="AB18" s="162">
        <f t="shared" si="21"/>
        <v>7</v>
      </c>
      <c r="AC18" s="165">
        <f t="shared" si="19"/>
        <v>10.87866108786611</v>
      </c>
      <c r="AD18" s="165">
        <f t="shared" si="20"/>
        <v>23.022388059701491</v>
      </c>
      <c r="AE18" s="162"/>
      <c r="AF18" s="162">
        <f t="shared" si="10"/>
        <v>22</v>
      </c>
      <c r="AG18" s="167" t="str">
        <f t="shared" si="11"/>
        <v>N/A</v>
      </c>
      <c r="AH18" s="165">
        <f t="shared" si="12"/>
        <v>20.865533230293661</v>
      </c>
      <c r="AI18" s="165">
        <f t="shared" si="13"/>
        <v>19.500233009177165</v>
      </c>
      <c r="AJ18" s="165">
        <f t="shared" si="14"/>
        <v>22.299943876098531</v>
      </c>
      <c r="AK18" s="167">
        <f t="shared" si="15"/>
        <v>5</v>
      </c>
    </row>
    <row r="19" spans="1:37" x14ac:dyDescent="0.2">
      <c r="A19" s="62" t="s">
        <v>42</v>
      </c>
      <c r="B19" s="62" t="s">
        <v>65</v>
      </c>
      <c r="C19" s="62" t="s">
        <v>200</v>
      </c>
      <c r="D19" s="62"/>
      <c r="E19" s="62">
        <f t="shared" si="1"/>
        <v>4</v>
      </c>
      <c r="F19" s="128" t="s">
        <v>79</v>
      </c>
      <c r="G19" s="129">
        <v>15.2046783625731</v>
      </c>
      <c r="H19" s="129">
        <v>13.867210910712952</v>
      </c>
      <c r="I19" s="129">
        <v>16.646212022773206</v>
      </c>
      <c r="J19" s="129"/>
      <c r="K19" s="129"/>
      <c r="L19" s="129"/>
      <c r="M19" s="60">
        <f t="shared" si="2"/>
        <v>2</v>
      </c>
      <c r="N19" s="61">
        <f t="shared" si="3"/>
        <v>8.0246913580246915</v>
      </c>
      <c r="O19" s="61">
        <f t="shared" si="16"/>
        <v>16.849199663016005</v>
      </c>
      <c r="P19" s="129">
        <f t="shared" si="4"/>
        <v>20.11754068716094</v>
      </c>
      <c r="Q19" s="129">
        <f t="shared" si="5"/>
        <v>19.746588173232038</v>
      </c>
      <c r="R19" s="129">
        <f t="shared" si="6"/>
        <v>20.493682272975391</v>
      </c>
      <c r="S19" s="61">
        <f t="shared" si="7"/>
        <v>20.279520821448944</v>
      </c>
      <c r="T19" s="61">
        <f t="shared" si="0"/>
        <v>25.525525525525527</v>
      </c>
      <c r="U19" s="61">
        <f t="shared" si="17"/>
        <v>19.593521752937441</v>
      </c>
      <c r="V19" s="61"/>
      <c r="Y19" s="162" t="s">
        <v>43</v>
      </c>
      <c r="Z19" s="162" t="s">
        <v>159</v>
      </c>
      <c r="AA19" s="162" t="s">
        <v>201</v>
      </c>
      <c r="AB19" s="162">
        <f t="shared" si="21"/>
        <v>4</v>
      </c>
      <c r="AC19" s="165">
        <f t="shared" si="19"/>
        <v>10.87866108786611</v>
      </c>
      <c r="AD19" s="165">
        <f t="shared" si="20"/>
        <v>23.022388059701491</v>
      </c>
      <c r="AE19" s="162"/>
      <c r="AF19" s="162">
        <f t="shared" si="10"/>
        <v>9</v>
      </c>
      <c r="AG19" s="167" t="str">
        <f t="shared" si="11"/>
        <v>N/A</v>
      </c>
      <c r="AH19" s="165">
        <f t="shared" si="12"/>
        <v>17.847025495750707</v>
      </c>
      <c r="AI19" s="165">
        <f t="shared" si="13"/>
        <v>16.839087065334564</v>
      </c>
      <c r="AJ19" s="165">
        <f t="shared" si="14"/>
        <v>18.901583297016415</v>
      </c>
      <c r="AK19" s="167">
        <f t="shared" si="15"/>
        <v>2</v>
      </c>
    </row>
    <row r="20" spans="1:37" x14ac:dyDescent="0.2">
      <c r="A20" s="62" t="s">
        <v>43</v>
      </c>
      <c r="B20" s="62" t="s">
        <v>159</v>
      </c>
      <c r="C20" s="62" t="s">
        <v>201</v>
      </c>
      <c r="D20" s="62"/>
      <c r="E20" s="62">
        <f t="shared" si="1"/>
        <v>9</v>
      </c>
      <c r="F20" s="128" t="s">
        <v>79</v>
      </c>
      <c r="G20" s="129">
        <v>17.847025495750707</v>
      </c>
      <c r="H20" s="129">
        <v>16.839087065334564</v>
      </c>
      <c r="I20" s="129">
        <v>18.901583297016415</v>
      </c>
      <c r="J20" s="129"/>
      <c r="K20" s="129"/>
      <c r="L20" s="129"/>
      <c r="M20" s="60">
        <f t="shared" si="2"/>
        <v>2</v>
      </c>
      <c r="N20" s="61">
        <f t="shared" si="3"/>
        <v>8.0246913580246915</v>
      </c>
      <c r="O20" s="61">
        <f t="shared" si="16"/>
        <v>16.849199663016005</v>
      </c>
      <c r="P20" s="129">
        <f t="shared" si="4"/>
        <v>20.11754068716094</v>
      </c>
      <c r="Q20" s="129">
        <f t="shared" si="5"/>
        <v>19.746588173232038</v>
      </c>
      <c r="R20" s="129">
        <f t="shared" si="6"/>
        <v>20.493682272975391</v>
      </c>
      <c r="S20" s="61">
        <f t="shared" si="7"/>
        <v>20.279520821448944</v>
      </c>
      <c r="T20" s="61">
        <f t="shared" si="0"/>
        <v>25.525525525525527</v>
      </c>
      <c r="U20" s="61">
        <f t="shared" si="17"/>
        <v>20.352341214649979</v>
      </c>
      <c r="V20" s="61"/>
      <c r="Y20" s="162" t="s">
        <v>48</v>
      </c>
      <c r="Z20" s="162" t="s">
        <v>160</v>
      </c>
      <c r="AA20" s="162" t="s">
        <v>201</v>
      </c>
      <c r="AB20" s="162">
        <f t="shared" si="21"/>
        <v>1</v>
      </c>
      <c r="AC20" s="165">
        <f t="shared" si="19"/>
        <v>10.87866108786611</v>
      </c>
      <c r="AD20" s="165">
        <f t="shared" si="20"/>
        <v>23.022388059701491</v>
      </c>
      <c r="AE20" s="162"/>
      <c r="AF20" s="162">
        <f t="shared" si="10"/>
        <v>2</v>
      </c>
      <c r="AG20" s="167" t="str">
        <f t="shared" si="11"/>
        <v>N/A</v>
      </c>
      <c r="AH20" s="165">
        <f t="shared" si="12"/>
        <v>10.87866108786611</v>
      </c>
      <c r="AI20" s="165">
        <f t="shared" si="13"/>
        <v>9.6925381146731926</v>
      </c>
      <c r="AJ20" s="165">
        <f t="shared" si="14"/>
        <v>12.190342094058767</v>
      </c>
      <c r="AK20" s="167">
        <f t="shared" si="15"/>
        <v>2</v>
      </c>
    </row>
    <row r="21" spans="1:37" x14ac:dyDescent="0.2">
      <c r="A21" s="62" t="s">
        <v>44</v>
      </c>
      <c r="B21" s="62" t="s">
        <v>66</v>
      </c>
      <c r="C21" s="62" t="s">
        <v>200</v>
      </c>
      <c r="D21" s="62"/>
      <c r="E21" s="62">
        <f t="shared" si="1"/>
        <v>1</v>
      </c>
      <c r="F21" s="128" t="s">
        <v>79</v>
      </c>
      <c r="G21" s="129">
        <v>8.0246913580246915</v>
      </c>
      <c r="H21" s="129">
        <v>7.1381730017501743</v>
      </c>
      <c r="I21" s="129">
        <v>9.010626668969179</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2</v>
      </c>
      <c r="N21" s="61">
        <f t="shared" si="3"/>
        <v>8.0246913580246915</v>
      </c>
      <c r="O21" s="61">
        <f t="shared" si="16"/>
        <v>16.849199663016005</v>
      </c>
      <c r="P21" s="129">
        <f t="shared" si="4"/>
        <v>20.11754068716094</v>
      </c>
      <c r="Q21" s="129">
        <f t="shared" si="5"/>
        <v>19.746588173232038</v>
      </c>
      <c r="R21" s="129">
        <f t="shared" si="6"/>
        <v>20.493682272975391</v>
      </c>
      <c r="S21" s="61">
        <f t="shared" si="7"/>
        <v>20.279520821448944</v>
      </c>
      <c r="T21" s="61">
        <f t="shared" si="0"/>
        <v>25.525525525525527</v>
      </c>
      <c r="U21" s="61">
        <f t="shared" si="17"/>
        <v>19.593521752937441</v>
      </c>
      <c r="V21" s="61"/>
      <c r="Y21" s="162" t="s">
        <v>52</v>
      </c>
      <c r="Z21" s="162" t="s">
        <v>72</v>
      </c>
      <c r="AA21" s="162" t="s">
        <v>201</v>
      </c>
      <c r="AB21" s="162">
        <f t="shared" si="21"/>
        <v>5</v>
      </c>
      <c r="AC21" s="165">
        <f t="shared" si="19"/>
        <v>10.87866108786611</v>
      </c>
      <c r="AD21" s="165">
        <f t="shared" si="20"/>
        <v>23.022388059701491</v>
      </c>
      <c r="AE21" s="162"/>
      <c r="AF21" s="162">
        <f t="shared" si="10"/>
        <v>10</v>
      </c>
      <c r="AG21" s="167" t="str">
        <f t="shared" si="11"/>
        <v>N/A</v>
      </c>
      <c r="AH21" s="165">
        <f t="shared" si="12"/>
        <v>18.181818181818183</v>
      </c>
      <c r="AI21" s="165">
        <f t="shared" si="13"/>
        <v>16.232737631528884</v>
      </c>
      <c r="AJ21" s="165">
        <f t="shared" si="14"/>
        <v>20.308189941944534</v>
      </c>
      <c r="AK21" s="167">
        <f t="shared" si="15"/>
        <v>5</v>
      </c>
    </row>
    <row r="22" spans="1:37" x14ac:dyDescent="0.2">
      <c r="A22" s="62" t="s">
        <v>45</v>
      </c>
      <c r="B22" s="62" t="s">
        <v>67</v>
      </c>
      <c r="C22" s="62" t="s">
        <v>163</v>
      </c>
      <c r="D22" s="62"/>
      <c r="E22" s="62">
        <f t="shared" si="1"/>
        <v>11</v>
      </c>
      <c r="F22" s="128" t="s">
        <v>79</v>
      </c>
      <c r="G22" s="129">
        <v>18.498498498498499</v>
      </c>
      <c r="H22" s="129">
        <v>17.679014873280778</v>
      </c>
      <c r="I22" s="129">
        <v>19.347040599953608</v>
      </c>
      <c r="J22" s="129"/>
      <c r="K22" s="129"/>
      <c r="L22" s="129"/>
      <c r="M22" s="60">
        <f t="shared" si="2"/>
        <v>2</v>
      </c>
      <c r="N22" s="61">
        <f t="shared" si="3"/>
        <v>8.0246913580246915</v>
      </c>
      <c r="O22" s="61">
        <f t="shared" si="16"/>
        <v>16.849199663016005</v>
      </c>
      <c r="P22" s="129">
        <f t="shared" si="4"/>
        <v>20.11754068716094</v>
      </c>
      <c r="Q22" s="129">
        <f t="shared" si="5"/>
        <v>19.746588173232038</v>
      </c>
      <c r="R22" s="129">
        <f t="shared" si="6"/>
        <v>20.493682272975391</v>
      </c>
      <c r="S22" s="61">
        <f t="shared" si="7"/>
        <v>20.279520821448944</v>
      </c>
      <c r="T22" s="61">
        <f t="shared" si="0"/>
        <v>25.525525525525527</v>
      </c>
      <c r="U22" s="61">
        <f>VLOOKUP(C22,$C$43:$I$46,5,FALSE)</f>
        <v>20.44042913608131</v>
      </c>
      <c r="V22" s="61"/>
      <c r="Y22" s="162" t="s">
        <v>54</v>
      </c>
      <c r="Z22" s="162" t="s">
        <v>73</v>
      </c>
      <c r="AA22" s="162" t="s">
        <v>201</v>
      </c>
      <c r="AB22" s="162">
        <f t="shared" si="21"/>
        <v>2</v>
      </c>
      <c r="AC22" s="165">
        <f t="shared" si="19"/>
        <v>10.87866108786611</v>
      </c>
      <c r="AD22" s="165">
        <f t="shared" si="20"/>
        <v>23.022388059701491</v>
      </c>
      <c r="AE22" s="162"/>
      <c r="AF22" s="162">
        <f t="shared" si="10"/>
        <v>5</v>
      </c>
      <c r="AG22" s="167" t="str">
        <f t="shared" si="11"/>
        <v>N/A</v>
      </c>
      <c r="AH22" s="165">
        <f t="shared" si="12"/>
        <v>16.180758017492714</v>
      </c>
      <c r="AI22" s="165">
        <f t="shared" si="13"/>
        <v>14.986241916830945</v>
      </c>
      <c r="AJ22" s="165">
        <f t="shared" si="14"/>
        <v>17.450941691617526</v>
      </c>
      <c r="AK22" s="167">
        <f t="shared" si="15"/>
        <v>2</v>
      </c>
    </row>
    <row r="23" spans="1:37" x14ac:dyDescent="0.2">
      <c r="A23" s="62" t="s">
        <v>46</v>
      </c>
      <c r="B23" s="62" t="s">
        <v>68</v>
      </c>
      <c r="C23" s="62" t="s">
        <v>163</v>
      </c>
      <c r="D23" s="62"/>
      <c r="E23" s="62">
        <f t="shared" si="1"/>
        <v>18</v>
      </c>
      <c r="F23" s="128" t="s">
        <v>79</v>
      </c>
      <c r="G23" s="129">
        <v>20.098920863309353</v>
      </c>
      <c r="H23" s="129">
        <v>19.36447169772951</v>
      </c>
      <c r="I23" s="129">
        <v>20.854021845012809</v>
      </c>
      <c r="J23" s="129"/>
      <c r="K23" s="129"/>
      <c r="L23" s="129"/>
      <c r="M23" s="60">
        <f t="shared" si="2"/>
        <v>5</v>
      </c>
      <c r="N23" s="61">
        <f t="shared" si="3"/>
        <v>8.0246913580246915</v>
      </c>
      <c r="O23" s="61">
        <f t="shared" si="16"/>
        <v>16.849199663016005</v>
      </c>
      <c r="P23" s="129">
        <f t="shared" si="4"/>
        <v>20.11754068716094</v>
      </c>
      <c r="Q23" s="129">
        <f t="shared" si="5"/>
        <v>19.746588173232038</v>
      </c>
      <c r="R23" s="129">
        <f t="shared" si="6"/>
        <v>20.493682272975391</v>
      </c>
      <c r="S23" s="61">
        <f t="shared" si="7"/>
        <v>20.279520821448944</v>
      </c>
      <c r="T23" s="61">
        <f t="shared" si="0"/>
        <v>25.525525525525527</v>
      </c>
      <c r="U23" s="61">
        <f t="shared" si="17"/>
        <v>20.44042913608131</v>
      </c>
      <c r="V23" s="61"/>
      <c r="Y23" s="163" t="s">
        <v>30</v>
      </c>
      <c r="Z23" s="163" t="s">
        <v>56</v>
      </c>
      <c r="AA23" s="163" t="s">
        <v>200</v>
      </c>
      <c r="AB23" s="163">
        <f>RANK(AH23,$AH$23:$AH$31,1)</f>
        <v>7</v>
      </c>
      <c r="AC23" s="166">
        <f>MIN($AH$23:$AH$31)</f>
        <v>8.0246913580246915</v>
      </c>
      <c r="AD23" s="166">
        <f>MAX($AH$23:$AH$31)</f>
        <v>25.525525525525527</v>
      </c>
      <c r="AE23" s="163"/>
      <c r="AF23" s="163">
        <f t="shared" si="10"/>
        <v>15</v>
      </c>
      <c r="AG23" s="168" t="str">
        <f t="shared" si="11"/>
        <v>N/A</v>
      </c>
      <c r="AH23" s="166">
        <f t="shared" si="12"/>
        <v>19.366852886405958</v>
      </c>
      <c r="AI23" s="166">
        <f t="shared" si="13"/>
        <v>18.331969179810201</v>
      </c>
      <c r="AJ23" s="166">
        <f t="shared" si="14"/>
        <v>20.445532441497392</v>
      </c>
      <c r="AK23" s="168">
        <f t="shared" si="15"/>
        <v>5</v>
      </c>
    </row>
    <row r="24" spans="1:37" x14ac:dyDescent="0.2">
      <c r="A24" s="62" t="s">
        <v>47</v>
      </c>
      <c r="B24" s="62" t="s">
        <v>69</v>
      </c>
      <c r="C24" s="62" t="s">
        <v>163</v>
      </c>
      <c r="D24" s="62"/>
      <c r="E24" s="62">
        <f t="shared" si="1"/>
        <v>17</v>
      </c>
      <c r="F24" s="128" t="s">
        <v>79</v>
      </c>
      <c r="G24" s="129">
        <v>20.053475935828878</v>
      </c>
      <c r="H24" s="129">
        <v>18.300918272692503</v>
      </c>
      <c r="I24" s="129">
        <v>21.928817027065772</v>
      </c>
      <c r="J24" s="129"/>
      <c r="K24" s="129"/>
      <c r="L24" s="129"/>
      <c r="M24" s="60">
        <f t="shared" si="2"/>
        <v>5</v>
      </c>
      <c r="N24" s="61">
        <f t="shared" si="3"/>
        <v>8.0246913580246915</v>
      </c>
      <c r="O24" s="61">
        <f t="shared" si="16"/>
        <v>16.849199663016005</v>
      </c>
      <c r="P24" s="129">
        <f t="shared" si="4"/>
        <v>20.11754068716094</v>
      </c>
      <c r="Q24" s="129">
        <f t="shared" si="5"/>
        <v>19.746588173232038</v>
      </c>
      <c r="R24" s="129">
        <f t="shared" si="6"/>
        <v>20.493682272975391</v>
      </c>
      <c r="S24" s="61">
        <f t="shared" si="7"/>
        <v>20.279520821448944</v>
      </c>
      <c r="T24" s="61">
        <f t="shared" si="0"/>
        <v>25.525525525525527</v>
      </c>
      <c r="U24" s="61">
        <f t="shared" si="17"/>
        <v>20.44042913608131</v>
      </c>
      <c r="V24" s="61"/>
      <c r="Y24" s="163" t="s">
        <v>31</v>
      </c>
      <c r="Z24" s="163" t="s">
        <v>57</v>
      </c>
      <c r="AA24" s="163" t="s">
        <v>200</v>
      </c>
      <c r="AB24" s="163">
        <f t="shared" ref="AB24:AB31" si="22">RANK(AH24,$AH$23:$AH$31,1)</f>
        <v>6</v>
      </c>
      <c r="AC24" s="166">
        <f t="shared" ref="AC24:AC31" si="23">MIN($AH$23:$AH$31)</f>
        <v>8.0246913580246915</v>
      </c>
      <c r="AD24" s="166">
        <f t="shared" ref="AD24:AD31" si="24">MAX($AH$23:$AH$31)</f>
        <v>25.525525525525527</v>
      </c>
      <c r="AE24" s="163"/>
      <c r="AF24" s="163">
        <f t="shared" si="10"/>
        <v>13</v>
      </c>
      <c r="AG24" s="168" t="str">
        <f t="shared" si="11"/>
        <v>N/A</v>
      </c>
      <c r="AH24" s="166">
        <f t="shared" si="12"/>
        <v>19.237375472346272</v>
      </c>
      <c r="AI24" s="166">
        <f t="shared" si="13"/>
        <v>18.60517148441275</v>
      </c>
      <c r="AJ24" s="166">
        <f t="shared" si="14"/>
        <v>19.885813355768487</v>
      </c>
      <c r="AK24" s="168">
        <f t="shared" si="15"/>
        <v>5</v>
      </c>
    </row>
    <row r="25" spans="1:37" x14ac:dyDescent="0.2">
      <c r="A25" s="62" t="s">
        <v>48</v>
      </c>
      <c r="B25" s="62" t="s">
        <v>160</v>
      </c>
      <c r="C25" s="62" t="s">
        <v>201</v>
      </c>
      <c r="D25" s="62"/>
      <c r="E25" s="62">
        <f t="shared" si="1"/>
        <v>2</v>
      </c>
      <c r="F25" s="128" t="s">
        <v>79</v>
      </c>
      <c r="G25" s="129">
        <v>10.87866108786611</v>
      </c>
      <c r="H25" s="129">
        <v>9.6925381146731926</v>
      </c>
      <c r="I25" s="129">
        <v>12.190342094058767</v>
      </c>
      <c r="J25" s="129"/>
      <c r="K25" s="129"/>
      <c r="L25" s="129"/>
      <c r="M25" s="60">
        <f t="shared" si="2"/>
        <v>2</v>
      </c>
      <c r="N25" s="61">
        <f t="shared" si="3"/>
        <v>8.0246913580246915</v>
      </c>
      <c r="O25" s="61">
        <f t="shared" si="16"/>
        <v>16.849199663016005</v>
      </c>
      <c r="P25" s="129">
        <f t="shared" si="4"/>
        <v>20.11754068716094</v>
      </c>
      <c r="Q25" s="129">
        <f t="shared" si="5"/>
        <v>19.746588173232038</v>
      </c>
      <c r="R25" s="129">
        <f t="shared" si="6"/>
        <v>20.493682272975391</v>
      </c>
      <c r="S25" s="61">
        <f t="shared" si="7"/>
        <v>20.279520821448944</v>
      </c>
      <c r="T25" s="61">
        <f t="shared" si="0"/>
        <v>25.525525525525527</v>
      </c>
      <c r="U25" s="61">
        <f t="shared" si="17"/>
        <v>20.352341214649979</v>
      </c>
      <c r="V25" s="61"/>
      <c r="Y25" s="163" t="s">
        <v>34</v>
      </c>
      <c r="Z25" s="163" t="s">
        <v>59</v>
      </c>
      <c r="AA25" s="163" t="s">
        <v>200</v>
      </c>
      <c r="AB25" s="163">
        <f t="shared" si="22"/>
        <v>8</v>
      </c>
      <c r="AC25" s="166">
        <f t="shared" si="23"/>
        <v>8.0246913580246915</v>
      </c>
      <c r="AD25" s="166">
        <f t="shared" si="24"/>
        <v>25.525525525525527</v>
      </c>
      <c r="AE25" s="163"/>
      <c r="AF25" s="163">
        <f t="shared" si="10"/>
        <v>16</v>
      </c>
      <c r="AG25" s="168" t="str">
        <f t="shared" si="11"/>
        <v>N/A</v>
      </c>
      <c r="AH25" s="166">
        <f t="shared" si="12"/>
        <v>20.014372978799855</v>
      </c>
      <c r="AI25" s="166">
        <f t="shared" si="13"/>
        <v>19.357900497952567</v>
      </c>
      <c r="AJ25" s="166">
        <f t="shared" si="14"/>
        <v>20.687396916426852</v>
      </c>
      <c r="AK25" s="168">
        <f t="shared" si="15"/>
        <v>5</v>
      </c>
    </row>
    <row r="26" spans="1:37" x14ac:dyDescent="0.2">
      <c r="A26" s="62" t="s">
        <v>49</v>
      </c>
      <c r="B26" s="62" t="s">
        <v>70</v>
      </c>
      <c r="C26" s="62" t="s">
        <v>200</v>
      </c>
      <c r="D26" s="62"/>
      <c r="E26" s="62">
        <f t="shared" si="1"/>
        <v>3</v>
      </c>
      <c r="F26" s="128" t="s">
        <v>79</v>
      </c>
      <c r="G26" s="129">
        <v>11.76470588235294</v>
      </c>
      <c r="H26" s="129">
        <v>10.953581372268212</v>
      </c>
      <c r="I26" s="129">
        <v>12.627377468772888</v>
      </c>
      <c r="J26" s="129"/>
      <c r="K26" s="129"/>
      <c r="L26" s="129"/>
      <c r="M26" s="60">
        <f t="shared" si="2"/>
        <v>2</v>
      </c>
      <c r="N26" s="61">
        <f t="shared" si="3"/>
        <v>8.0246913580246915</v>
      </c>
      <c r="O26" s="61">
        <f t="shared" si="16"/>
        <v>16.849199663016005</v>
      </c>
      <c r="P26" s="129">
        <f t="shared" si="4"/>
        <v>20.11754068716094</v>
      </c>
      <c r="Q26" s="129">
        <f t="shared" si="5"/>
        <v>19.746588173232038</v>
      </c>
      <c r="R26" s="129">
        <f t="shared" si="6"/>
        <v>20.493682272975391</v>
      </c>
      <c r="S26" s="61">
        <f t="shared" si="7"/>
        <v>20.279520821448944</v>
      </c>
      <c r="T26" s="61">
        <f t="shared" si="0"/>
        <v>25.525525525525527</v>
      </c>
      <c r="U26" s="61">
        <f t="shared" si="17"/>
        <v>19.593521752937441</v>
      </c>
      <c r="V26" s="61"/>
      <c r="Y26" s="163" t="s">
        <v>39</v>
      </c>
      <c r="Z26" s="163" t="s">
        <v>158</v>
      </c>
      <c r="AA26" s="163" t="s">
        <v>200</v>
      </c>
      <c r="AB26" s="163">
        <f t="shared" si="22"/>
        <v>5</v>
      </c>
      <c r="AC26" s="166">
        <f t="shared" si="23"/>
        <v>8.0246913580246915</v>
      </c>
      <c r="AD26" s="166">
        <f t="shared" si="24"/>
        <v>25.525525525525527</v>
      </c>
      <c r="AE26" s="163"/>
      <c r="AF26" s="163">
        <f t="shared" si="10"/>
        <v>12</v>
      </c>
      <c r="AG26" s="168" t="str">
        <f t="shared" si="11"/>
        <v>N/A</v>
      </c>
      <c r="AH26" s="166">
        <f t="shared" si="12"/>
        <v>18.793774319066149</v>
      </c>
      <c r="AI26" s="166">
        <f t="shared" si="13"/>
        <v>18.127679305759425</v>
      </c>
      <c r="AJ26" s="166">
        <f t="shared" si="14"/>
        <v>19.478521722210825</v>
      </c>
      <c r="AK26" s="168">
        <f t="shared" si="15"/>
        <v>2</v>
      </c>
    </row>
    <row r="27" spans="1:37" x14ac:dyDescent="0.2">
      <c r="A27" s="62" t="s">
        <v>50</v>
      </c>
      <c r="B27" s="62" t="s">
        <v>161</v>
      </c>
      <c r="C27" s="62" t="s">
        <v>163</v>
      </c>
      <c r="D27" s="62"/>
      <c r="E27" s="62">
        <f t="shared" si="1"/>
        <v>8</v>
      </c>
      <c r="F27" s="128" t="s">
        <v>79</v>
      </c>
      <c r="G27" s="129">
        <v>17.322834645669293</v>
      </c>
      <c r="H27" s="129">
        <v>16.363703117363933</v>
      </c>
      <c r="I27" s="129">
        <v>18.325865969410334</v>
      </c>
      <c r="J27" s="129"/>
      <c r="K27" s="129"/>
      <c r="L27" s="129"/>
      <c r="M27" s="60">
        <f t="shared" si="2"/>
        <v>2</v>
      </c>
      <c r="N27" s="61">
        <f t="shared" si="3"/>
        <v>8.0246913580246915</v>
      </c>
      <c r="O27" s="61">
        <f t="shared" si="16"/>
        <v>16.849199663016005</v>
      </c>
      <c r="P27" s="129">
        <f t="shared" si="4"/>
        <v>20.11754068716094</v>
      </c>
      <c r="Q27" s="129">
        <f t="shared" si="5"/>
        <v>19.746588173232038</v>
      </c>
      <c r="R27" s="129">
        <f t="shared" si="6"/>
        <v>20.493682272975391</v>
      </c>
      <c r="S27" s="61">
        <f t="shared" si="7"/>
        <v>20.279520821448944</v>
      </c>
      <c r="T27" s="61">
        <f t="shared" si="0"/>
        <v>25.525525525525527</v>
      </c>
      <c r="U27" s="61">
        <f t="shared" si="17"/>
        <v>20.44042913608131</v>
      </c>
      <c r="V27" s="61"/>
      <c r="Y27" s="163" t="s">
        <v>40</v>
      </c>
      <c r="Z27" s="163" t="s">
        <v>63</v>
      </c>
      <c r="AA27" s="163" t="s">
        <v>200</v>
      </c>
      <c r="AB27" s="163">
        <f t="shared" si="22"/>
        <v>4</v>
      </c>
      <c r="AC27" s="166">
        <f t="shared" si="23"/>
        <v>8.0246913580246915</v>
      </c>
      <c r="AD27" s="166">
        <f t="shared" si="24"/>
        <v>25.525525525525527</v>
      </c>
      <c r="AE27" s="163"/>
      <c r="AF27" s="163">
        <f t="shared" si="10"/>
        <v>6</v>
      </c>
      <c r="AG27" s="168" t="str">
        <f t="shared" si="11"/>
        <v>N/A</v>
      </c>
      <c r="AH27" s="166">
        <f t="shared" si="12"/>
        <v>16.50992685475444</v>
      </c>
      <c r="AI27" s="166">
        <f t="shared" si="13"/>
        <v>15.4849155494749</v>
      </c>
      <c r="AJ27" s="166">
        <f t="shared" si="14"/>
        <v>17.588667538212714</v>
      </c>
      <c r="AK27" s="168">
        <f t="shared" si="15"/>
        <v>2</v>
      </c>
    </row>
    <row r="28" spans="1:37" x14ac:dyDescent="0.2">
      <c r="A28" s="62" t="s">
        <v>51</v>
      </c>
      <c r="B28" s="62" t="s">
        <v>71</v>
      </c>
      <c r="C28" s="62" t="s">
        <v>200</v>
      </c>
      <c r="D28" s="62"/>
      <c r="E28" s="62">
        <f t="shared" si="1"/>
        <v>26</v>
      </c>
      <c r="F28" s="128" t="s">
        <v>79</v>
      </c>
      <c r="G28" s="129">
        <v>25.525525525525527</v>
      </c>
      <c r="H28" s="129">
        <v>24.492707466195117</v>
      </c>
      <c r="I28" s="129">
        <v>26.586560848556701</v>
      </c>
      <c r="J28" s="129"/>
      <c r="K28" s="129"/>
      <c r="L28" s="129"/>
      <c r="M28" s="60">
        <f t="shared" si="2"/>
        <v>1</v>
      </c>
      <c r="N28" s="61">
        <f t="shared" si="3"/>
        <v>8.0246913580246915</v>
      </c>
      <c r="O28" s="61">
        <f t="shared" si="16"/>
        <v>16.849199663016005</v>
      </c>
      <c r="P28" s="129">
        <f t="shared" si="4"/>
        <v>20.11754068716094</v>
      </c>
      <c r="Q28" s="129">
        <f t="shared" si="5"/>
        <v>19.746588173232038</v>
      </c>
      <c r="R28" s="129">
        <f t="shared" si="6"/>
        <v>20.493682272975391</v>
      </c>
      <c r="S28" s="61">
        <f t="shared" si="7"/>
        <v>20.279520821448944</v>
      </c>
      <c r="T28" s="61">
        <f t="shared" si="0"/>
        <v>25.525525525525527</v>
      </c>
      <c r="U28" s="61">
        <f t="shared" si="17"/>
        <v>19.593521752937441</v>
      </c>
      <c r="V28" s="61"/>
      <c r="Y28" s="163" t="s">
        <v>42</v>
      </c>
      <c r="Z28" s="163" t="s">
        <v>65</v>
      </c>
      <c r="AA28" s="163" t="s">
        <v>200</v>
      </c>
      <c r="AB28" s="163">
        <f t="shared" si="22"/>
        <v>3</v>
      </c>
      <c r="AC28" s="166">
        <f t="shared" si="23"/>
        <v>8.0246913580246915</v>
      </c>
      <c r="AD28" s="166">
        <f t="shared" si="24"/>
        <v>25.525525525525527</v>
      </c>
      <c r="AE28" s="163"/>
      <c r="AF28" s="163">
        <f t="shared" si="10"/>
        <v>4</v>
      </c>
      <c r="AG28" s="168" t="str">
        <f t="shared" si="11"/>
        <v>N/A</v>
      </c>
      <c r="AH28" s="166">
        <f t="shared" si="12"/>
        <v>15.2046783625731</v>
      </c>
      <c r="AI28" s="166">
        <f t="shared" si="13"/>
        <v>13.867210910712952</v>
      </c>
      <c r="AJ28" s="166">
        <f t="shared" si="14"/>
        <v>16.646212022773206</v>
      </c>
      <c r="AK28" s="168">
        <f t="shared" si="15"/>
        <v>2</v>
      </c>
    </row>
    <row r="29" spans="1:37" x14ac:dyDescent="0.2">
      <c r="A29" s="62" t="s">
        <v>52</v>
      </c>
      <c r="B29" s="62" t="s">
        <v>72</v>
      </c>
      <c r="C29" s="62" t="s">
        <v>201</v>
      </c>
      <c r="D29" s="62"/>
      <c r="E29" s="62">
        <f t="shared" si="1"/>
        <v>10</v>
      </c>
      <c r="F29" s="128" t="s">
        <v>79</v>
      </c>
      <c r="G29" s="129">
        <v>18.181818181818183</v>
      </c>
      <c r="H29" s="129">
        <v>16.232737631528884</v>
      </c>
      <c r="I29" s="129">
        <v>20.308189941944534</v>
      </c>
      <c r="J29" s="129"/>
      <c r="K29" s="129"/>
      <c r="L29" s="129"/>
      <c r="M29" s="60">
        <f t="shared" si="2"/>
        <v>5</v>
      </c>
      <c r="N29" s="61">
        <f t="shared" si="3"/>
        <v>8.0246913580246915</v>
      </c>
      <c r="O29" s="61">
        <f t="shared" si="16"/>
        <v>16.849199663016005</v>
      </c>
      <c r="P29" s="129">
        <f t="shared" si="4"/>
        <v>20.11754068716094</v>
      </c>
      <c r="Q29" s="129">
        <f t="shared" si="5"/>
        <v>19.746588173232038</v>
      </c>
      <c r="R29" s="129">
        <f t="shared" si="6"/>
        <v>20.493682272975391</v>
      </c>
      <c r="S29" s="61">
        <f t="shared" si="7"/>
        <v>20.279520821448944</v>
      </c>
      <c r="T29" s="61">
        <f t="shared" si="0"/>
        <v>25.525525525525527</v>
      </c>
      <c r="U29" s="61">
        <f t="shared" si="17"/>
        <v>20.352341214649979</v>
      </c>
      <c r="V29" s="61"/>
      <c r="Y29" s="163" t="s">
        <v>44</v>
      </c>
      <c r="Z29" s="163" t="s">
        <v>66</v>
      </c>
      <c r="AA29" s="163" t="s">
        <v>200</v>
      </c>
      <c r="AB29" s="163">
        <f t="shared" si="22"/>
        <v>1</v>
      </c>
      <c r="AC29" s="166">
        <f t="shared" si="23"/>
        <v>8.0246913580246915</v>
      </c>
      <c r="AD29" s="166">
        <f t="shared" si="24"/>
        <v>25.525525525525527</v>
      </c>
      <c r="AE29" s="163"/>
      <c r="AF29" s="163">
        <f t="shared" si="10"/>
        <v>1</v>
      </c>
      <c r="AG29" s="168" t="str">
        <f t="shared" si="11"/>
        <v>N/A</v>
      </c>
      <c r="AH29" s="166">
        <f t="shared" si="12"/>
        <v>8.0246913580246915</v>
      </c>
      <c r="AI29" s="166">
        <f t="shared" si="13"/>
        <v>7.1381730017501743</v>
      </c>
      <c r="AJ29" s="166">
        <f t="shared" si="14"/>
        <v>9.010626668969179</v>
      </c>
      <c r="AK29" s="168">
        <f t="shared" si="15"/>
        <v>2</v>
      </c>
    </row>
    <row r="30" spans="1:37" x14ac:dyDescent="0.2">
      <c r="A30" s="62" t="s">
        <v>53</v>
      </c>
      <c r="B30" s="62" t="s">
        <v>162</v>
      </c>
      <c r="C30" s="62" t="s">
        <v>163</v>
      </c>
      <c r="D30" s="62"/>
      <c r="E30" s="62">
        <f t="shared" si="1"/>
        <v>20</v>
      </c>
      <c r="F30" s="128" t="s">
        <v>79</v>
      </c>
      <c r="G30" s="129">
        <v>20.279520821448944</v>
      </c>
      <c r="H30" s="129">
        <v>19.690850844667349</v>
      </c>
      <c r="I30" s="129">
        <v>20.881213614384531</v>
      </c>
      <c r="J30" s="129"/>
      <c r="K30" s="129"/>
      <c r="L30" s="129"/>
      <c r="M30" s="60">
        <f t="shared" si="2"/>
        <v>5</v>
      </c>
      <c r="N30" s="61">
        <f t="shared" si="3"/>
        <v>8.0246913580246915</v>
      </c>
      <c r="O30" s="61">
        <f t="shared" si="16"/>
        <v>16.849199663016005</v>
      </c>
      <c r="P30" s="129">
        <f>$G$32</f>
        <v>20.11754068716094</v>
      </c>
      <c r="Q30" s="129">
        <f t="shared" si="5"/>
        <v>19.746588173232038</v>
      </c>
      <c r="R30" s="129">
        <f t="shared" si="6"/>
        <v>20.493682272975391</v>
      </c>
      <c r="S30" s="61">
        <f t="shared" si="7"/>
        <v>20.279520821448944</v>
      </c>
      <c r="T30" s="61">
        <f t="shared" si="0"/>
        <v>25.525525525525527</v>
      </c>
      <c r="U30" s="61">
        <f t="shared" si="17"/>
        <v>20.44042913608131</v>
      </c>
      <c r="V30" s="61"/>
      <c r="Y30" s="163" t="s">
        <v>49</v>
      </c>
      <c r="Z30" s="163" t="s">
        <v>70</v>
      </c>
      <c r="AA30" s="163" t="s">
        <v>200</v>
      </c>
      <c r="AB30" s="163">
        <f t="shared" si="22"/>
        <v>2</v>
      </c>
      <c r="AC30" s="166">
        <f t="shared" si="23"/>
        <v>8.0246913580246915</v>
      </c>
      <c r="AD30" s="166">
        <f t="shared" si="24"/>
        <v>25.525525525525527</v>
      </c>
      <c r="AE30" s="163"/>
      <c r="AF30" s="163">
        <f t="shared" si="10"/>
        <v>3</v>
      </c>
      <c r="AG30" s="168" t="str">
        <f t="shared" si="11"/>
        <v>N/A</v>
      </c>
      <c r="AH30" s="166">
        <f t="shared" si="12"/>
        <v>11.76470588235294</v>
      </c>
      <c r="AI30" s="166">
        <f t="shared" si="13"/>
        <v>10.953581372268212</v>
      </c>
      <c r="AJ30" s="166">
        <f t="shared" si="14"/>
        <v>12.627377468772888</v>
      </c>
      <c r="AK30" s="168">
        <f t="shared" si="15"/>
        <v>2</v>
      </c>
    </row>
    <row r="31" spans="1:37" x14ac:dyDescent="0.2">
      <c r="A31" s="62" t="s">
        <v>54</v>
      </c>
      <c r="B31" s="62" t="s">
        <v>73</v>
      </c>
      <c r="C31" s="62" t="s">
        <v>201</v>
      </c>
      <c r="D31" s="62"/>
      <c r="E31" s="62">
        <f t="shared" si="1"/>
        <v>5</v>
      </c>
      <c r="F31" s="128" t="s">
        <v>79</v>
      </c>
      <c r="G31" s="129">
        <v>16.180758017492714</v>
      </c>
      <c r="H31" s="129">
        <v>14.986241916830945</v>
      </c>
      <c r="I31" s="129">
        <v>17.450941691617526</v>
      </c>
      <c r="J31" s="129"/>
      <c r="K31" s="129"/>
      <c r="L31" s="129"/>
      <c r="M31" s="60">
        <f t="shared" si="2"/>
        <v>2</v>
      </c>
      <c r="N31" s="61">
        <f t="shared" si="3"/>
        <v>8.0246913580246915</v>
      </c>
      <c r="O31" s="61">
        <f t="shared" si="16"/>
        <v>16.849199663016005</v>
      </c>
      <c r="P31" s="129">
        <f t="shared" si="4"/>
        <v>20.11754068716094</v>
      </c>
      <c r="Q31" s="129">
        <f t="shared" si="5"/>
        <v>19.746588173232038</v>
      </c>
      <c r="R31" s="129">
        <f t="shared" si="6"/>
        <v>20.493682272975391</v>
      </c>
      <c r="S31" s="61">
        <f t="shared" si="7"/>
        <v>20.279520821448944</v>
      </c>
      <c r="T31" s="61">
        <f t="shared" si="0"/>
        <v>25.525525525525527</v>
      </c>
      <c r="U31" s="61">
        <f t="shared" si="17"/>
        <v>20.352341214649979</v>
      </c>
      <c r="V31" s="61"/>
      <c r="Y31" s="163" t="s">
        <v>51</v>
      </c>
      <c r="Z31" s="163" t="s">
        <v>71</v>
      </c>
      <c r="AA31" s="163" t="s">
        <v>200</v>
      </c>
      <c r="AB31" s="163">
        <f t="shared" si="22"/>
        <v>9</v>
      </c>
      <c r="AC31" s="166">
        <f t="shared" si="23"/>
        <v>8.0246913580246915</v>
      </c>
      <c r="AD31" s="166">
        <f t="shared" si="24"/>
        <v>25.525525525525527</v>
      </c>
      <c r="AE31" s="163"/>
      <c r="AF31" s="163">
        <f t="shared" si="10"/>
        <v>26</v>
      </c>
      <c r="AG31" s="168" t="str">
        <f t="shared" si="11"/>
        <v>N/A</v>
      </c>
      <c r="AH31" s="166">
        <f t="shared" si="12"/>
        <v>25.525525525525527</v>
      </c>
      <c r="AI31" s="166">
        <f t="shared" si="13"/>
        <v>24.492707466195117</v>
      </c>
      <c r="AJ31" s="166">
        <f t="shared" si="14"/>
        <v>26.586560848556701</v>
      </c>
      <c r="AK31" s="168">
        <f t="shared" si="15"/>
        <v>1</v>
      </c>
    </row>
    <row r="32" spans="1:37" x14ac:dyDescent="0.2">
      <c r="A32" s="62"/>
      <c r="B32" s="62" t="s">
        <v>171</v>
      </c>
      <c r="C32" s="62"/>
      <c r="D32" s="62"/>
      <c r="E32" s="62"/>
      <c r="F32" s="128">
        <v>8900</v>
      </c>
      <c r="G32" s="129">
        <v>20.11754068716094</v>
      </c>
      <c r="H32" s="129">
        <v>19.746588173232038</v>
      </c>
      <c r="I32" s="129">
        <v>20.493682272975391</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3620</v>
      </c>
      <c r="G44" s="254">
        <v>20.44042913608131</v>
      </c>
      <c r="H44" s="254">
        <v>19.852946443822081</v>
      </c>
      <c r="I44" s="254">
        <v>21.040732522766998</v>
      </c>
      <c r="J44" s="254">
        <f>VLOOKUP($C44,$AA$6:$AD$13,3,FALSE)</f>
        <v>17.322834645669293</v>
      </c>
      <c r="K44" s="254">
        <f>VLOOKUP($C44,$AA$6:$AD$13,4,FALSE)</f>
        <v>21.642145230185097</v>
      </c>
      <c r="L44" s="254"/>
      <c r="M44" s="343">
        <f>IF($C$2="Significance not measured",6,IF(AND($C$2="Better / Worse",$K$2="Low = Worst",I44&lt;Q44),1,IF(AND($C$2="Better / Worse",$K$2="Low = Worst",H44&gt;R44),2,IF(AND($C$2="Better / Worse",$K$2="High = Worst",I44&lt;Q44),2,IF(AND($C$2="Better / Worse",$K$2="High = Worst",H44&gt;R44),1,IF(AND($C$2="Higher / Lower",I44&lt;Q44),3,IF(AND($C$2="Higher / Lower",H44&gt;R44),4,5)))))))</f>
        <v>5</v>
      </c>
      <c r="N44" s="343">
        <f>MIN($G$6:$G$31)</f>
        <v>8.0246913580246915</v>
      </c>
      <c r="O44" s="343">
        <f>VLOOKUP(7,$E$5:$G$39,3,FALSE)</f>
        <v>16.849199663016005</v>
      </c>
      <c r="P44" s="129">
        <f>$G$32</f>
        <v>20.11754068716094</v>
      </c>
      <c r="Q44" s="129">
        <f>$H$32</f>
        <v>19.746588173232038</v>
      </c>
      <c r="R44" s="129">
        <f>$I$32</f>
        <v>20.493682272975391</v>
      </c>
      <c r="S44" s="61">
        <f>VLOOKUP(20,$E$5:$G$39,3,FALSE)</f>
        <v>20.279520821448944</v>
      </c>
      <c r="T44" s="61">
        <f>MAX($G$6:$G$31)</f>
        <v>25.525525525525527</v>
      </c>
    </row>
    <row r="45" spans="1:22" x14ac:dyDescent="0.2">
      <c r="C45" s="62" t="s">
        <v>201</v>
      </c>
      <c r="D45" s="62"/>
      <c r="E45" s="62"/>
      <c r="F45" s="128">
        <v>2195</v>
      </c>
      <c r="G45" s="254">
        <v>20.352341214649979</v>
      </c>
      <c r="H45" s="254">
        <v>19.603102744206303</v>
      </c>
      <c r="I45" s="254">
        <v>21.122692287552148</v>
      </c>
      <c r="J45" s="254">
        <f>VLOOKUP($C45,$AA$14:$AD$22,3,FALSE)</f>
        <v>10.87866108786611</v>
      </c>
      <c r="K45" s="254">
        <f>VLOOKUP($C45,$AA$14:$AD$22,4,FALSE)</f>
        <v>23.022388059701491</v>
      </c>
      <c r="L45" s="254"/>
      <c r="M45" s="343">
        <f>IF($C$2="Significance not measured",6,IF(AND($C$2="Better / Worse",$K$2="Low = Worst",I45&lt;Q45),1,IF(AND($C$2="Better / Worse",$K$2="Low = Worst",H45&gt;R45),2,IF(AND($C$2="Better / Worse",$K$2="High = Worst",I45&lt;Q45),2,IF(AND($C$2="Better / Worse",$K$2="High = Worst",H45&gt;R45),1,IF(AND($C$2="Higher / Lower",I45&lt;Q45),3,IF(AND($C$2="Higher / Lower",H45&gt;R45),4,5)))))))</f>
        <v>5</v>
      </c>
      <c r="N45" s="343">
        <f>MIN($G$6:$G$31)</f>
        <v>8.0246913580246915</v>
      </c>
      <c r="O45" s="343">
        <f>VLOOKUP(7,$E$5:$G$39,3,FALSE)</f>
        <v>16.849199663016005</v>
      </c>
      <c r="P45" s="129">
        <f>$G$32</f>
        <v>20.11754068716094</v>
      </c>
      <c r="Q45" s="129">
        <f t="shared" ref="Q45:Q46" si="25">$H$32</f>
        <v>19.746588173232038</v>
      </c>
      <c r="R45" s="129">
        <f t="shared" ref="R45:R46" si="26">$I$32</f>
        <v>20.493682272975391</v>
      </c>
      <c r="S45" s="61">
        <f>VLOOKUP(20,$E$5:$G$39,3,FALSE)</f>
        <v>20.279520821448944</v>
      </c>
      <c r="T45" s="61">
        <f t="shared" ref="T45:T46" si="27">MAX($G$6:$G$31)</f>
        <v>25.525525525525527</v>
      </c>
    </row>
    <row r="46" spans="1:22" x14ac:dyDescent="0.2">
      <c r="C46" s="62" t="s">
        <v>200</v>
      </c>
      <c r="D46" s="62"/>
      <c r="E46" s="62"/>
      <c r="F46" s="128">
        <v>3085</v>
      </c>
      <c r="G46" s="254">
        <v>19.593521752937441</v>
      </c>
      <c r="H46" s="254">
        <v>18.980988540185216</v>
      </c>
      <c r="I46" s="254">
        <v>20.220888467490273</v>
      </c>
      <c r="J46" s="254">
        <f>VLOOKUP($C46,$AA$23:$AD$31,3,FALSE)</f>
        <v>8.0246913580246915</v>
      </c>
      <c r="K46" s="254">
        <f>VLOOKUP($C46,$AA$23:$AD$31,4,FALSE)</f>
        <v>25.525525525525527</v>
      </c>
      <c r="L46" s="254"/>
      <c r="M46" s="343">
        <f>IF($C$2="Significance not measured",6,IF(AND($C$2="Better / Worse",$K$2="Low = Worst",I46&lt;Q46),1,IF(AND($C$2="Better / Worse",$K$2="Low = Worst",H46&gt;R46),2,IF(AND($C$2="Better / Worse",$K$2="High = Worst",I46&lt;Q46),2,IF(AND($C$2="Better / Worse",$K$2="High = Worst",H46&gt;R46),1,IF(AND($C$2="Higher / Lower",I46&lt;Q46),3,IF(AND($C$2="Higher / Lower",H46&gt;R46),4,5)))))))</f>
        <v>5</v>
      </c>
      <c r="N46" s="343">
        <f>MIN($G$6:$G$31)</f>
        <v>8.0246913580246915</v>
      </c>
      <c r="O46" s="343">
        <f>VLOOKUP(7,$E$5:$G$39,3,FALSE)</f>
        <v>16.849199663016005</v>
      </c>
      <c r="P46" s="129">
        <f t="shared" ref="P46" si="28">$G$32</f>
        <v>20.11754068716094</v>
      </c>
      <c r="Q46" s="129">
        <f t="shared" si="25"/>
        <v>19.746588173232038</v>
      </c>
      <c r="R46" s="129">
        <f t="shared" si="26"/>
        <v>20.493682272975391</v>
      </c>
      <c r="S46" s="61">
        <f>VLOOKUP(20,$E$5:$G$39,3,FALSE)</f>
        <v>20.279520821448944</v>
      </c>
      <c r="T46" s="61">
        <f t="shared" si="27"/>
        <v>25.525525525525527</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K2:N2" xr:uid="{00000000-0002-0000-3C00-000000000000}">
      <formula1>"High = Worst,Low = Worst"</formula1>
    </dataValidation>
    <dataValidation type="list" allowBlank="1" showInputMessage="1" showErrorMessage="1" sqref="C2:D2" xr:uid="{00000000-0002-0000-3C00-000001000000}">
      <formula1>"Better / Worse,Higher / Lower,Significance not measured"</formula1>
    </dataValidation>
  </dataValidations>
  <pageMargins left="0.75" right="0.75" top="1" bottom="1" header="0.5" footer="0.5"/>
  <pageSetup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5">
    <tabColor theme="6" tint="0.39997558519241921"/>
  </sheetPr>
  <dimension ref="A1:AK55"/>
  <sheetViews>
    <sheetView workbookViewId="0">
      <selection activeCell="X37" sqref="X37"/>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7.6640625" style="21" customWidth="1"/>
    <col min="6" max="6" width="6.109375" style="21" customWidth="1"/>
    <col min="7" max="7" width="5.6640625" style="21" customWidth="1"/>
    <col min="8" max="8" width="7.33203125" style="21" customWidth="1"/>
    <col min="9" max="9" width="6.886718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5.554687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137</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272</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17</v>
      </c>
      <c r="F6" s="128">
        <v>710</v>
      </c>
      <c r="G6" s="129">
        <v>76.017130620985014</v>
      </c>
      <c r="H6" s="129">
        <v>73.17579993255589</v>
      </c>
      <c r="I6" s="129">
        <v>78.645325634992545</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5</v>
      </c>
      <c r="N6" s="61">
        <f>MIN($G$6:$G$32)</f>
        <v>51.162790697674417</v>
      </c>
      <c r="O6" s="61">
        <f>VLOOKUP(7,$E$5:$G$39,3,FALSE)</f>
        <v>70.486111111111114</v>
      </c>
      <c r="P6" s="129">
        <f>$G$32</f>
        <v>73.192206309954074</v>
      </c>
      <c r="Q6" s="129">
        <f>$H$32</f>
        <v>72.737225084738483</v>
      </c>
      <c r="R6" s="129">
        <f>$I$32</f>
        <v>73.64234595761917</v>
      </c>
      <c r="S6" s="61">
        <f>VLOOKUP(19,$E$5:$G$39,3,FALSE)</f>
        <v>76.8664047151277</v>
      </c>
      <c r="T6" s="61">
        <f t="shared" ref="T6:T31" si="1">MAX($G$6:$G$31)</f>
        <v>89.495798319327733</v>
      </c>
      <c r="U6" s="61">
        <f>VLOOKUP(C6,$C$43:$I$46,5,FALSE)</f>
        <v>71.019486692015207</v>
      </c>
      <c r="V6" s="61"/>
      <c r="Y6" s="159" t="s">
        <v>33</v>
      </c>
      <c r="Z6" s="159" t="s">
        <v>58</v>
      </c>
      <c r="AA6" s="159" t="s">
        <v>163</v>
      </c>
      <c r="AB6" s="159">
        <f>RANK(AH6,$AH$6:$AH$13,1)</f>
        <v>6</v>
      </c>
      <c r="AC6" s="164">
        <f>MIN($AH$6:$AH$13)</f>
        <v>68.11926605504587</v>
      </c>
      <c r="AD6" s="164">
        <f>MAX($AH$6:$AH$13)</f>
        <v>77.795091546552385</v>
      </c>
      <c r="AE6" s="159"/>
      <c r="AF6" s="159">
        <f>VLOOKUP($Y6,$A$6:$I$31,5,FALSE)</f>
        <v>19</v>
      </c>
      <c r="AG6" s="160">
        <f>VLOOKUP($Y6,$A$6:$I$31,6,FALSE)</f>
        <v>1565</v>
      </c>
      <c r="AH6" s="161">
        <f>VLOOKUP($Y6,$A$6:$I$31,7,FALSE)</f>
        <v>76.8664047151277</v>
      </c>
      <c r="AI6" s="161">
        <f>VLOOKUP($Y6,$A$6:$I$31,8,FALSE)</f>
        <v>74.985158057373852</v>
      </c>
      <c r="AJ6" s="161">
        <f>VLOOKUP($Y6,$A$6:$I$31,9,FALSE)</f>
        <v>78.646460972101167</v>
      </c>
      <c r="AK6" s="160">
        <f>VLOOKUP($Y6,$A$6:$M$31,13,FALSE)</f>
        <v>2</v>
      </c>
    </row>
    <row r="7" spans="1:37" x14ac:dyDescent="0.2">
      <c r="A7" s="62" t="s">
        <v>30</v>
      </c>
      <c r="B7" s="62" t="s">
        <v>56</v>
      </c>
      <c r="C7" s="62" t="s">
        <v>200</v>
      </c>
      <c r="D7" s="62"/>
      <c r="E7" s="62">
        <f t="shared" ref="E7:E31" si="2">RANK(G7,$G$6:$G$31,1)</f>
        <v>13</v>
      </c>
      <c r="F7" s="128">
        <v>1517</v>
      </c>
      <c r="G7" s="129">
        <v>73.002887391722808</v>
      </c>
      <c r="H7" s="129">
        <v>71.052959782830371</v>
      </c>
      <c r="I7" s="129">
        <v>74.86792415141251</v>
      </c>
      <c r="J7" s="129"/>
      <c r="K7" s="129"/>
      <c r="L7" s="129"/>
      <c r="M7" s="60">
        <f t="shared" si="0"/>
        <v>5</v>
      </c>
      <c r="N7" s="61">
        <f t="shared" ref="N7:N31" si="3">MIN($G$6:$G$32)</f>
        <v>51.162790697674417</v>
      </c>
      <c r="O7" s="61">
        <f>VLOOKUP(7,$E$5:$G$39,3,FALSE)</f>
        <v>70.486111111111114</v>
      </c>
      <c r="P7" s="129">
        <f t="shared" ref="P7:P31" si="4">$G$32</f>
        <v>73.192206309954074</v>
      </c>
      <c r="Q7" s="129">
        <f t="shared" ref="Q7:Q31" si="5">$H$32</f>
        <v>72.737225084738483</v>
      </c>
      <c r="R7" s="129">
        <f t="shared" ref="R7:R31" si="6">$I$32</f>
        <v>73.64234595761917</v>
      </c>
      <c r="S7" s="61">
        <f t="shared" ref="S7:S31" si="7">VLOOKUP(19,$E$5:$G$39,3,FALSE)</f>
        <v>76.8664047151277</v>
      </c>
      <c r="T7" s="61">
        <f t="shared" si="1"/>
        <v>89.495798319327733</v>
      </c>
      <c r="U7" s="61">
        <f>VLOOKUP(C7,$C$43:$I$46,5,FALSE)</f>
        <v>72.321563873314147</v>
      </c>
      <c r="V7" s="61"/>
      <c r="Y7" s="159" t="s">
        <v>35</v>
      </c>
      <c r="Z7" s="159" t="s">
        <v>60</v>
      </c>
      <c r="AA7" s="159" t="s">
        <v>163</v>
      </c>
      <c r="AB7" s="159">
        <f t="shared" ref="AB7:AB12" si="8">RANK(AH7,$AH$6:$AH$13,1)</f>
        <v>7</v>
      </c>
      <c r="AC7" s="164">
        <f>MIN($AH$6:$AH$13)</f>
        <v>68.11926605504587</v>
      </c>
      <c r="AD7" s="164">
        <f t="shared" ref="AD7:AD13" si="9">MAX($AH$6:$AH$13)</f>
        <v>77.795091546552385</v>
      </c>
      <c r="AE7" s="159"/>
      <c r="AF7" s="159">
        <f t="shared" ref="AF7:AF31" si="10">VLOOKUP($Y7,$A$6:$I$31,5,FALSE)</f>
        <v>23</v>
      </c>
      <c r="AG7" s="160">
        <f t="shared" ref="AG7:AG31" si="11">VLOOKUP($Y7,$A$6:$I$31,6,FALSE)</f>
        <v>1997</v>
      </c>
      <c r="AH7" s="161">
        <f t="shared" ref="AH7:AH31" si="12">VLOOKUP($Y7,$A$6:$I$31,7,FALSE)</f>
        <v>77.795091546552385</v>
      </c>
      <c r="AI7" s="161">
        <f t="shared" ref="AI7:AI31" si="13">VLOOKUP($Y7,$A$6:$I$31,8,FALSE)</f>
        <v>76.146410111656778</v>
      </c>
      <c r="AJ7" s="161">
        <f t="shared" ref="AJ7:AJ31" si="14">VLOOKUP($Y7,$A$6:$I$31,9,FALSE)</f>
        <v>79.360707805081603</v>
      </c>
      <c r="AK7" s="160">
        <f t="shared" ref="AK7:AK31" si="15">VLOOKUP($Y7,$A$6:$M$31,13,FALSE)</f>
        <v>2</v>
      </c>
    </row>
    <row r="8" spans="1:37" x14ac:dyDescent="0.2">
      <c r="A8" s="62" t="s">
        <v>31</v>
      </c>
      <c r="B8" s="62" t="s">
        <v>57</v>
      </c>
      <c r="C8" s="62" t="s">
        <v>200</v>
      </c>
      <c r="D8" s="62"/>
      <c r="E8" s="62">
        <f t="shared" si="2"/>
        <v>11</v>
      </c>
      <c r="F8" s="128">
        <v>1757</v>
      </c>
      <c r="G8" s="129">
        <v>71.539087947882734</v>
      </c>
      <c r="H8" s="129">
        <v>69.72197245121896</v>
      </c>
      <c r="I8" s="129">
        <v>73.288929580948178</v>
      </c>
      <c r="J8" s="129"/>
      <c r="K8" s="129"/>
      <c r="L8" s="129"/>
      <c r="M8" s="60">
        <f t="shared" si="0"/>
        <v>5</v>
      </c>
      <c r="N8" s="61">
        <f t="shared" si="3"/>
        <v>51.162790697674417</v>
      </c>
      <c r="O8" s="61">
        <f t="shared" ref="O8:O31" si="16">VLOOKUP(7,$E$5:$G$39,3,FALSE)</f>
        <v>70.486111111111114</v>
      </c>
      <c r="P8" s="129">
        <f t="shared" si="4"/>
        <v>73.192206309954074</v>
      </c>
      <c r="Q8" s="129">
        <f t="shared" si="5"/>
        <v>72.737225084738483</v>
      </c>
      <c r="R8" s="129">
        <f t="shared" si="6"/>
        <v>73.64234595761917</v>
      </c>
      <c r="S8" s="61">
        <f t="shared" si="7"/>
        <v>76.8664047151277</v>
      </c>
      <c r="T8" s="61">
        <f t="shared" si="1"/>
        <v>89.495798319327733</v>
      </c>
      <c r="U8" s="61">
        <f t="shared" ref="U8:U31" si="17">VLOOKUP(C8,$C$43:$I$46,5,FALSE)</f>
        <v>72.321563873314147</v>
      </c>
      <c r="V8" s="61"/>
      <c r="Y8" s="159" t="s">
        <v>41</v>
      </c>
      <c r="Z8" s="159" t="s">
        <v>64</v>
      </c>
      <c r="AA8" s="159" t="s">
        <v>163</v>
      </c>
      <c r="AB8" s="159">
        <f t="shared" si="8"/>
        <v>5</v>
      </c>
      <c r="AC8" s="164">
        <f t="shared" ref="AC8:AC13" si="18">MIN($AH$6:$AH$13)</f>
        <v>68.11926605504587</v>
      </c>
      <c r="AD8" s="164">
        <f>MAX($AH$6:$AH$13)</f>
        <v>77.795091546552385</v>
      </c>
      <c r="AE8" s="159"/>
      <c r="AF8" s="159">
        <f t="shared" si="10"/>
        <v>18</v>
      </c>
      <c r="AG8" s="160">
        <f t="shared" si="11"/>
        <v>1435</v>
      </c>
      <c r="AH8" s="161">
        <f t="shared" si="12"/>
        <v>76.289207868155245</v>
      </c>
      <c r="AI8" s="161">
        <f t="shared" si="13"/>
        <v>74.314818874471072</v>
      </c>
      <c r="AJ8" s="161">
        <f t="shared" si="14"/>
        <v>78.156437812486388</v>
      </c>
      <c r="AK8" s="160">
        <f t="shared" si="15"/>
        <v>2</v>
      </c>
    </row>
    <row r="9" spans="1:37" x14ac:dyDescent="0.2">
      <c r="A9" s="62" t="s">
        <v>32</v>
      </c>
      <c r="B9" s="62" t="s">
        <v>156</v>
      </c>
      <c r="C9" s="62" t="s">
        <v>201</v>
      </c>
      <c r="D9" s="62"/>
      <c r="E9" s="62">
        <f t="shared" si="2"/>
        <v>6</v>
      </c>
      <c r="F9" s="128">
        <v>962</v>
      </c>
      <c r="G9" s="129">
        <v>69.109195402298852</v>
      </c>
      <c r="H9" s="129">
        <v>66.63214690787143</v>
      </c>
      <c r="I9" s="129">
        <v>71.481064061623016</v>
      </c>
      <c r="J9" s="129"/>
      <c r="K9" s="129"/>
      <c r="L9" s="129"/>
      <c r="M9" s="60">
        <f t="shared" si="0"/>
        <v>1</v>
      </c>
      <c r="N9" s="61">
        <f t="shared" si="3"/>
        <v>51.162790697674417</v>
      </c>
      <c r="O9" s="61">
        <f t="shared" si="16"/>
        <v>70.486111111111114</v>
      </c>
      <c r="P9" s="129">
        <f t="shared" si="4"/>
        <v>73.192206309954074</v>
      </c>
      <c r="Q9" s="129">
        <f t="shared" si="5"/>
        <v>72.737225084738483</v>
      </c>
      <c r="R9" s="129">
        <f t="shared" si="6"/>
        <v>73.64234595761917</v>
      </c>
      <c r="S9" s="61">
        <f t="shared" si="7"/>
        <v>76.8664047151277</v>
      </c>
      <c r="T9" s="61">
        <f t="shared" si="1"/>
        <v>89.495798319327733</v>
      </c>
      <c r="U9" s="61">
        <f t="shared" si="17"/>
        <v>71.019486692015207</v>
      </c>
      <c r="V9" s="61"/>
      <c r="X9" s="63"/>
      <c r="Y9" s="159" t="s">
        <v>45</v>
      </c>
      <c r="Z9" s="159" t="s">
        <v>67</v>
      </c>
      <c r="AA9" s="159" t="s">
        <v>163</v>
      </c>
      <c r="AB9" s="159">
        <f t="shared" si="8"/>
        <v>3</v>
      </c>
      <c r="AC9" s="164">
        <f t="shared" si="18"/>
        <v>68.11926605504587</v>
      </c>
      <c r="AD9" s="164">
        <f t="shared" si="9"/>
        <v>77.795091546552385</v>
      </c>
      <c r="AE9" s="159"/>
      <c r="AF9" s="159">
        <f t="shared" si="10"/>
        <v>15</v>
      </c>
      <c r="AG9" s="160">
        <f t="shared" si="11"/>
        <v>1137</v>
      </c>
      <c r="AH9" s="161">
        <f t="shared" si="12"/>
        <v>75.447909754479099</v>
      </c>
      <c r="AI9" s="161">
        <f t="shared" si="13"/>
        <v>73.212008065261273</v>
      </c>
      <c r="AJ9" s="161">
        <f t="shared" si="14"/>
        <v>77.554403957790555</v>
      </c>
      <c r="AK9" s="160">
        <f t="shared" si="15"/>
        <v>5</v>
      </c>
    </row>
    <row r="10" spans="1:37" x14ac:dyDescent="0.2">
      <c r="A10" s="62" t="s">
        <v>33</v>
      </c>
      <c r="B10" s="62" t="s">
        <v>58</v>
      </c>
      <c r="C10" s="62" t="s">
        <v>163</v>
      </c>
      <c r="D10" s="62"/>
      <c r="E10" s="62">
        <f t="shared" si="2"/>
        <v>19</v>
      </c>
      <c r="F10" s="128">
        <v>1565</v>
      </c>
      <c r="G10" s="129">
        <v>76.8664047151277</v>
      </c>
      <c r="H10" s="129">
        <v>74.985158057373852</v>
      </c>
      <c r="I10" s="129">
        <v>78.646460972101167</v>
      </c>
      <c r="J10" s="129"/>
      <c r="K10" s="129"/>
      <c r="L10" s="129"/>
      <c r="M10" s="60">
        <f t="shared" si="0"/>
        <v>2</v>
      </c>
      <c r="N10" s="61">
        <f t="shared" si="3"/>
        <v>51.162790697674417</v>
      </c>
      <c r="O10" s="61">
        <f t="shared" si="16"/>
        <v>70.486111111111114</v>
      </c>
      <c r="P10" s="129">
        <f t="shared" si="4"/>
        <v>73.192206309954074</v>
      </c>
      <c r="Q10" s="129">
        <f t="shared" si="5"/>
        <v>72.737225084738483</v>
      </c>
      <c r="R10" s="129">
        <f t="shared" si="6"/>
        <v>73.64234595761917</v>
      </c>
      <c r="S10" s="61">
        <f t="shared" si="7"/>
        <v>76.8664047151277</v>
      </c>
      <c r="T10" s="61">
        <f t="shared" si="1"/>
        <v>89.495798319327733</v>
      </c>
      <c r="U10" s="61">
        <f t="shared" si="17"/>
        <v>75.153111623312483</v>
      </c>
      <c r="V10" s="61"/>
      <c r="Y10" s="159" t="s">
        <v>46</v>
      </c>
      <c r="Z10" s="159" t="s">
        <v>68</v>
      </c>
      <c r="AA10" s="159" t="s">
        <v>163</v>
      </c>
      <c r="AB10" s="159">
        <f t="shared" si="8"/>
        <v>2</v>
      </c>
      <c r="AC10" s="164">
        <f t="shared" si="18"/>
        <v>68.11926605504587</v>
      </c>
      <c r="AD10" s="164">
        <f t="shared" si="9"/>
        <v>77.795091546552385</v>
      </c>
      <c r="AE10" s="159"/>
      <c r="AF10" s="159">
        <f t="shared" si="10"/>
        <v>9</v>
      </c>
      <c r="AG10" s="160">
        <f t="shared" si="11"/>
        <v>1547</v>
      </c>
      <c r="AH10" s="161">
        <f t="shared" si="12"/>
        <v>71.159153633854658</v>
      </c>
      <c r="AI10" s="161">
        <f t="shared" si="13"/>
        <v>69.218835291367867</v>
      </c>
      <c r="AJ10" s="161">
        <f t="shared" si="14"/>
        <v>73.024827408403766</v>
      </c>
      <c r="AK10" s="160">
        <f t="shared" si="15"/>
        <v>5</v>
      </c>
    </row>
    <row r="11" spans="1:37" x14ac:dyDescent="0.2">
      <c r="A11" s="62" t="s">
        <v>34</v>
      </c>
      <c r="B11" s="62" t="s">
        <v>59</v>
      </c>
      <c r="C11" s="62" t="s">
        <v>200</v>
      </c>
      <c r="D11" s="62"/>
      <c r="E11" s="62">
        <f t="shared" si="2"/>
        <v>21</v>
      </c>
      <c r="F11" s="128">
        <v>1561</v>
      </c>
      <c r="G11" s="129">
        <v>77.010360138135184</v>
      </c>
      <c r="H11" s="129">
        <v>75.128556806805904</v>
      </c>
      <c r="I11" s="129">
        <v>78.789980026486091</v>
      </c>
      <c r="J11" s="129"/>
      <c r="K11" s="129"/>
      <c r="L11" s="129"/>
      <c r="M11" s="60">
        <f t="shared" si="0"/>
        <v>2</v>
      </c>
      <c r="N11" s="61">
        <f t="shared" si="3"/>
        <v>51.162790697674417</v>
      </c>
      <c r="O11" s="61">
        <f t="shared" si="16"/>
        <v>70.486111111111114</v>
      </c>
      <c r="P11" s="129">
        <f t="shared" si="4"/>
        <v>73.192206309954074</v>
      </c>
      <c r="Q11" s="129">
        <f t="shared" si="5"/>
        <v>72.737225084738483</v>
      </c>
      <c r="R11" s="129">
        <f t="shared" si="6"/>
        <v>73.64234595761917</v>
      </c>
      <c r="S11" s="61">
        <f t="shared" si="7"/>
        <v>76.8664047151277</v>
      </c>
      <c r="T11" s="61">
        <f t="shared" si="1"/>
        <v>89.495798319327733</v>
      </c>
      <c r="U11" s="61">
        <f t="shared" si="17"/>
        <v>72.321563873314147</v>
      </c>
      <c r="V11" s="61"/>
      <c r="Y11" s="159" t="s">
        <v>47</v>
      </c>
      <c r="Z11" s="159" t="s">
        <v>69</v>
      </c>
      <c r="AA11" s="159" t="s">
        <v>163</v>
      </c>
      <c r="AB11" s="159" t="e">
        <f t="shared" si="8"/>
        <v>#VALUE!</v>
      </c>
      <c r="AC11" s="164">
        <f t="shared" si="18"/>
        <v>68.11926605504587</v>
      </c>
      <c r="AD11" s="164">
        <f t="shared" si="9"/>
        <v>77.795091546552385</v>
      </c>
      <c r="AE11" s="159"/>
      <c r="AF11" s="159" t="str">
        <f t="shared" si="10"/>
        <v>N/A</v>
      </c>
      <c r="AG11" s="160" t="str">
        <f t="shared" si="11"/>
        <v>N/A</v>
      </c>
      <c r="AH11" s="161" t="str">
        <f t="shared" si="12"/>
        <v>N/A</v>
      </c>
      <c r="AI11" s="161" t="str">
        <f t="shared" si="13"/>
        <v>N/A</v>
      </c>
      <c r="AJ11" s="161" t="str">
        <f t="shared" si="14"/>
        <v>N/A</v>
      </c>
      <c r="AK11" s="160">
        <f t="shared" si="15"/>
        <v>0</v>
      </c>
    </row>
    <row r="12" spans="1:37" x14ac:dyDescent="0.2">
      <c r="A12" s="62" t="s">
        <v>35</v>
      </c>
      <c r="B12" s="62" t="s">
        <v>60</v>
      </c>
      <c r="C12" s="62" t="s">
        <v>163</v>
      </c>
      <c r="D12" s="62"/>
      <c r="E12" s="62">
        <f t="shared" si="2"/>
        <v>23</v>
      </c>
      <c r="F12" s="128">
        <v>1997</v>
      </c>
      <c r="G12" s="129">
        <v>77.795091546552385</v>
      </c>
      <c r="H12" s="129">
        <v>76.146410111656778</v>
      </c>
      <c r="I12" s="129">
        <v>79.360707805081603</v>
      </c>
      <c r="J12" s="129"/>
      <c r="K12" s="129"/>
      <c r="L12" s="129"/>
      <c r="M12" s="60">
        <f t="shared" si="0"/>
        <v>2</v>
      </c>
      <c r="N12" s="61">
        <f t="shared" si="3"/>
        <v>51.162790697674417</v>
      </c>
      <c r="O12" s="61">
        <f t="shared" si="16"/>
        <v>70.486111111111114</v>
      </c>
      <c r="P12" s="129">
        <f t="shared" si="4"/>
        <v>73.192206309954074</v>
      </c>
      <c r="Q12" s="129">
        <f t="shared" si="5"/>
        <v>72.737225084738483</v>
      </c>
      <c r="R12" s="129">
        <f t="shared" si="6"/>
        <v>73.64234595761917</v>
      </c>
      <c r="S12" s="61">
        <f t="shared" si="7"/>
        <v>76.8664047151277</v>
      </c>
      <c r="T12" s="61">
        <f t="shared" si="1"/>
        <v>89.495798319327733</v>
      </c>
      <c r="U12" s="61">
        <f t="shared" si="17"/>
        <v>75.153111623312483</v>
      </c>
      <c r="V12" s="61"/>
      <c r="Y12" s="159" t="s">
        <v>50</v>
      </c>
      <c r="Z12" s="159" t="s">
        <v>161</v>
      </c>
      <c r="AA12" s="159" t="s">
        <v>163</v>
      </c>
      <c r="AB12" s="159">
        <f t="shared" si="8"/>
        <v>1</v>
      </c>
      <c r="AC12" s="164">
        <f t="shared" si="18"/>
        <v>68.11926605504587</v>
      </c>
      <c r="AD12" s="164">
        <f t="shared" si="9"/>
        <v>77.795091546552385</v>
      </c>
      <c r="AE12" s="159"/>
      <c r="AF12" s="159">
        <f t="shared" si="10"/>
        <v>5</v>
      </c>
      <c r="AG12" s="160">
        <f t="shared" si="11"/>
        <v>594</v>
      </c>
      <c r="AH12" s="161">
        <f t="shared" si="12"/>
        <v>68.11926605504587</v>
      </c>
      <c r="AI12" s="161">
        <f t="shared" si="13"/>
        <v>64.952497576003807</v>
      </c>
      <c r="AJ12" s="161">
        <f t="shared" si="14"/>
        <v>71.127091579947844</v>
      </c>
      <c r="AK12" s="160">
        <f t="shared" si="15"/>
        <v>1</v>
      </c>
    </row>
    <row r="13" spans="1:37" x14ac:dyDescent="0.2">
      <c r="A13" s="62" t="s">
        <v>36</v>
      </c>
      <c r="B13" s="62" t="s">
        <v>61</v>
      </c>
      <c r="C13" s="62" t="s">
        <v>201</v>
      </c>
      <c r="D13" s="62"/>
      <c r="E13" s="62">
        <f t="shared" si="2"/>
        <v>25</v>
      </c>
      <c r="F13" s="128">
        <v>213</v>
      </c>
      <c r="G13" s="129">
        <v>89.495798319327733</v>
      </c>
      <c r="H13" s="129">
        <v>84.953591456244638</v>
      </c>
      <c r="I13" s="129">
        <v>92.78328662775121</v>
      </c>
      <c r="J13" s="129"/>
      <c r="K13" s="129"/>
      <c r="L13" s="129"/>
      <c r="M13" s="60">
        <f t="shared" si="0"/>
        <v>2</v>
      </c>
      <c r="N13" s="61">
        <f t="shared" si="3"/>
        <v>51.162790697674417</v>
      </c>
      <c r="O13" s="61">
        <f t="shared" si="16"/>
        <v>70.486111111111114</v>
      </c>
      <c r="P13" s="129">
        <f t="shared" si="4"/>
        <v>73.192206309954074</v>
      </c>
      <c r="Q13" s="129">
        <f t="shared" si="5"/>
        <v>72.737225084738483</v>
      </c>
      <c r="R13" s="129">
        <f t="shared" si="6"/>
        <v>73.64234595761917</v>
      </c>
      <c r="S13" s="61">
        <f t="shared" si="7"/>
        <v>76.8664047151277</v>
      </c>
      <c r="T13" s="61">
        <f t="shared" si="1"/>
        <v>89.495798319327733</v>
      </c>
      <c r="U13" s="61">
        <f t="shared" si="17"/>
        <v>71.019486692015207</v>
      </c>
      <c r="V13" s="61"/>
      <c r="Y13" s="159" t="s">
        <v>53</v>
      </c>
      <c r="Z13" s="159" t="s">
        <v>162</v>
      </c>
      <c r="AA13" s="159" t="s">
        <v>163</v>
      </c>
      <c r="AB13" s="159">
        <f>RANK(AH13,$AH$6:$AH$13,1)</f>
        <v>4</v>
      </c>
      <c r="AC13" s="164">
        <f t="shared" si="18"/>
        <v>68.11926605504587</v>
      </c>
      <c r="AD13" s="164">
        <f t="shared" si="9"/>
        <v>77.795091546552385</v>
      </c>
      <c r="AE13" s="159"/>
      <c r="AF13" s="159">
        <f t="shared" si="10"/>
        <v>16</v>
      </c>
      <c r="AG13" s="160">
        <f t="shared" si="11"/>
        <v>3137</v>
      </c>
      <c r="AH13" s="161">
        <f t="shared" si="12"/>
        <v>75.626808100289296</v>
      </c>
      <c r="AI13" s="161">
        <f t="shared" si="13"/>
        <v>74.296946145170963</v>
      </c>
      <c r="AJ13" s="161">
        <f t="shared" si="14"/>
        <v>76.909248048088955</v>
      </c>
      <c r="AK13" s="160">
        <f t="shared" si="15"/>
        <v>2</v>
      </c>
    </row>
    <row r="14" spans="1:37" x14ac:dyDescent="0.2">
      <c r="A14" s="62" t="s">
        <v>37</v>
      </c>
      <c r="B14" s="62" t="s">
        <v>157</v>
      </c>
      <c r="C14" s="62" t="s">
        <v>201</v>
      </c>
      <c r="D14" s="62"/>
      <c r="E14" s="62">
        <f t="shared" si="2"/>
        <v>3</v>
      </c>
      <c r="F14" s="128">
        <v>962</v>
      </c>
      <c r="G14" s="129">
        <v>67.937853107344637</v>
      </c>
      <c r="H14" s="129">
        <v>65.461218061595829</v>
      </c>
      <c r="I14" s="129">
        <v>70.317424465291623</v>
      </c>
      <c r="J14" s="129"/>
      <c r="K14" s="129"/>
      <c r="L14" s="129"/>
      <c r="M14" s="60">
        <f t="shared" si="0"/>
        <v>1</v>
      </c>
      <c r="N14" s="61">
        <f t="shared" si="3"/>
        <v>51.162790697674417</v>
      </c>
      <c r="O14" s="61">
        <f t="shared" si="16"/>
        <v>70.486111111111114</v>
      </c>
      <c r="P14" s="129">
        <f t="shared" si="4"/>
        <v>73.192206309954074</v>
      </c>
      <c r="Q14" s="129">
        <f t="shared" si="5"/>
        <v>72.737225084738483</v>
      </c>
      <c r="R14" s="129">
        <f t="shared" si="6"/>
        <v>73.64234595761917</v>
      </c>
      <c r="S14" s="61">
        <f t="shared" si="7"/>
        <v>76.8664047151277</v>
      </c>
      <c r="T14" s="61">
        <f t="shared" si="1"/>
        <v>89.495798319327733</v>
      </c>
      <c r="U14" s="61">
        <f t="shared" si="17"/>
        <v>71.019486692015207</v>
      </c>
      <c r="V14" s="61"/>
      <c r="Y14" s="162" t="s">
        <v>29</v>
      </c>
      <c r="Z14" s="162" t="s">
        <v>55</v>
      </c>
      <c r="AA14" s="162" t="s">
        <v>201</v>
      </c>
      <c r="AB14" s="162">
        <f>RANK(AH14,$AH$14:$AH$22,1)</f>
        <v>7</v>
      </c>
      <c r="AC14" s="165">
        <f t="shared" ref="AC14:AC22" si="19">MIN($AH$14:$AH$22)</f>
        <v>67.937853107344637</v>
      </c>
      <c r="AD14" s="165">
        <f>MAX($AH$14:$AH$22)</f>
        <v>89.495798319327733</v>
      </c>
      <c r="AE14" s="162"/>
      <c r="AF14" s="162">
        <f t="shared" si="10"/>
        <v>17</v>
      </c>
      <c r="AG14" s="167">
        <f t="shared" si="11"/>
        <v>710</v>
      </c>
      <c r="AH14" s="165">
        <f t="shared" si="12"/>
        <v>76.017130620985014</v>
      </c>
      <c r="AI14" s="165">
        <f t="shared" si="13"/>
        <v>73.17579993255589</v>
      </c>
      <c r="AJ14" s="165">
        <f t="shared" si="14"/>
        <v>78.645325634992545</v>
      </c>
      <c r="AK14" s="167">
        <f t="shared" si="15"/>
        <v>5</v>
      </c>
    </row>
    <row r="15" spans="1:37" x14ac:dyDescent="0.2">
      <c r="A15" s="62" t="s">
        <v>38</v>
      </c>
      <c r="B15" s="62" t="s">
        <v>62</v>
      </c>
      <c r="C15" s="62" t="s">
        <v>201</v>
      </c>
      <c r="D15" s="62"/>
      <c r="E15" s="62">
        <f t="shared" si="2"/>
        <v>8</v>
      </c>
      <c r="F15" s="128">
        <v>940</v>
      </c>
      <c r="G15" s="129">
        <v>70.943396226415089</v>
      </c>
      <c r="H15" s="129">
        <v>68.440977241655034</v>
      </c>
      <c r="I15" s="129">
        <v>73.324727486774009</v>
      </c>
      <c r="J15" s="129"/>
      <c r="K15" s="129"/>
      <c r="L15" s="129"/>
      <c r="M15" s="60">
        <f t="shared" si="0"/>
        <v>5</v>
      </c>
      <c r="N15" s="61">
        <f t="shared" si="3"/>
        <v>51.162790697674417</v>
      </c>
      <c r="O15" s="61">
        <f t="shared" si="16"/>
        <v>70.486111111111114</v>
      </c>
      <c r="P15" s="129">
        <f t="shared" si="4"/>
        <v>73.192206309954074</v>
      </c>
      <c r="Q15" s="129">
        <f t="shared" si="5"/>
        <v>72.737225084738483</v>
      </c>
      <c r="R15" s="129">
        <f t="shared" si="6"/>
        <v>73.64234595761917</v>
      </c>
      <c r="S15" s="61">
        <f t="shared" si="7"/>
        <v>76.8664047151277</v>
      </c>
      <c r="T15" s="61">
        <f t="shared" si="1"/>
        <v>89.495798319327733</v>
      </c>
      <c r="U15" s="61">
        <f t="shared" si="17"/>
        <v>71.019486692015207</v>
      </c>
      <c r="V15" s="61"/>
      <c r="Y15" s="162" t="s">
        <v>32</v>
      </c>
      <c r="Z15" s="162" t="s">
        <v>156</v>
      </c>
      <c r="AA15" s="162" t="s">
        <v>201</v>
      </c>
      <c r="AB15" s="162">
        <f>RANK(AH15,$AH$14:$AH$22,1)</f>
        <v>3</v>
      </c>
      <c r="AC15" s="165">
        <f t="shared" si="19"/>
        <v>67.937853107344637</v>
      </c>
      <c r="AD15" s="165">
        <f t="shared" ref="AD15:AD22" si="20">MAX($AH$14:$AH$22)</f>
        <v>89.495798319327733</v>
      </c>
      <c r="AE15" s="162"/>
      <c r="AF15" s="162">
        <f t="shared" si="10"/>
        <v>6</v>
      </c>
      <c r="AG15" s="167">
        <f t="shared" si="11"/>
        <v>962</v>
      </c>
      <c r="AH15" s="165">
        <f t="shared" si="12"/>
        <v>69.109195402298852</v>
      </c>
      <c r="AI15" s="165">
        <f t="shared" si="13"/>
        <v>66.63214690787143</v>
      </c>
      <c r="AJ15" s="165">
        <f t="shared" si="14"/>
        <v>71.481064061623016</v>
      </c>
      <c r="AK15" s="167">
        <f t="shared" si="15"/>
        <v>1</v>
      </c>
    </row>
    <row r="16" spans="1:37" x14ac:dyDescent="0.2">
      <c r="A16" s="62" t="s">
        <v>39</v>
      </c>
      <c r="B16" s="62" t="s">
        <v>158</v>
      </c>
      <c r="C16" s="62" t="s">
        <v>200</v>
      </c>
      <c r="D16" s="62"/>
      <c r="E16" s="62">
        <f t="shared" si="2"/>
        <v>14</v>
      </c>
      <c r="F16" s="128">
        <v>1558</v>
      </c>
      <c r="G16" s="129">
        <v>75.048169556840065</v>
      </c>
      <c r="H16" s="129">
        <v>73.141581770232506</v>
      </c>
      <c r="I16" s="129">
        <v>76.862229606318181</v>
      </c>
      <c r="J16" s="129"/>
      <c r="K16" s="129"/>
      <c r="L16" s="129"/>
      <c r="M16" s="60">
        <f t="shared" si="0"/>
        <v>5</v>
      </c>
      <c r="N16" s="61">
        <f t="shared" si="3"/>
        <v>51.162790697674417</v>
      </c>
      <c r="O16" s="61">
        <f t="shared" si="16"/>
        <v>70.486111111111114</v>
      </c>
      <c r="P16" s="129">
        <f t="shared" si="4"/>
        <v>73.192206309954074</v>
      </c>
      <c r="Q16" s="129">
        <f t="shared" si="5"/>
        <v>72.737225084738483</v>
      </c>
      <c r="R16" s="129">
        <f t="shared" si="6"/>
        <v>73.64234595761917</v>
      </c>
      <c r="S16" s="61">
        <f t="shared" si="7"/>
        <v>76.8664047151277</v>
      </c>
      <c r="T16" s="61">
        <f t="shared" si="1"/>
        <v>89.495798319327733</v>
      </c>
      <c r="U16" s="61">
        <f t="shared" si="17"/>
        <v>72.321563873314147</v>
      </c>
      <c r="V16" s="61"/>
      <c r="Y16" s="162" t="s">
        <v>36</v>
      </c>
      <c r="Z16" s="162" t="s">
        <v>61</v>
      </c>
      <c r="AA16" s="162" t="s">
        <v>201</v>
      </c>
      <c r="AB16" s="162">
        <f>RANK(AH16,$AH$14:$AH$22,1)</f>
        <v>9</v>
      </c>
      <c r="AC16" s="165">
        <f t="shared" si="19"/>
        <v>67.937853107344637</v>
      </c>
      <c r="AD16" s="165">
        <f t="shared" si="20"/>
        <v>89.495798319327733</v>
      </c>
      <c r="AE16" s="162"/>
      <c r="AF16" s="162">
        <f t="shared" si="10"/>
        <v>25</v>
      </c>
      <c r="AG16" s="167">
        <f t="shared" si="11"/>
        <v>213</v>
      </c>
      <c r="AH16" s="165">
        <f t="shared" si="12"/>
        <v>89.495798319327733</v>
      </c>
      <c r="AI16" s="165">
        <f t="shared" si="13"/>
        <v>84.953591456244638</v>
      </c>
      <c r="AJ16" s="165">
        <f t="shared" si="14"/>
        <v>92.78328662775121</v>
      </c>
      <c r="AK16" s="167">
        <f t="shared" si="15"/>
        <v>2</v>
      </c>
    </row>
    <row r="17" spans="1:37" x14ac:dyDescent="0.2">
      <c r="A17" s="62" t="s">
        <v>40</v>
      </c>
      <c r="B17" s="62" t="s">
        <v>63</v>
      </c>
      <c r="C17" s="62" t="s">
        <v>200</v>
      </c>
      <c r="D17" s="62"/>
      <c r="E17" s="62">
        <f t="shared" si="2"/>
        <v>12</v>
      </c>
      <c r="F17" s="128">
        <v>990</v>
      </c>
      <c r="G17" s="129">
        <v>72.901325478645063</v>
      </c>
      <c r="H17" s="129">
        <v>70.475219526547917</v>
      </c>
      <c r="I17" s="129">
        <v>75.198232105526046</v>
      </c>
      <c r="J17" s="129"/>
      <c r="K17" s="129"/>
      <c r="L17" s="129"/>
      <c r="M17" s="60">
        <f t="shared" si="0"/>
        <v>5</v>
      </c>
      <c r="N17" s="61">
        <f t="shared" si="3"/>
        <v>51.162790697674417</v>
      </c>
      <c r="O17" s="61">
        <f t="shared" si="16"/>
        <v>70.486111111111114</v>
      </c>
      <c r="P17" s="129">
        <f t="shared" si="4"/>
        <v>73.192206309954074</v>
      </c>
      <c r="Q17" s="129">
        <f t="shared" si="5"/>
        <v>72.737225084738483</v>
      </c>
      <c r="R17" s="129">
        <f t="shared" si="6"/>
        <v>73.64234595761917</v>
      </c>
      <c r="S17" s="61">
        <f t="shared" si="7"/>
        <v>76.8664047151277</v>
      </c>
      <c r="T17" s="61">
        <f t="shared" si="1"/>
        <v>89.495798319327733</v>
      </c>
      <c r="U17" s="61">
        <f t="shared" si="17"/>
        <v>72.321563873314147</v>
      </c>
      <c r="V17" s="61"/>
      <c r="Y17" s="162" t="s">
        <v>37</v>
      </c>
      <c r="Z17" s="162" t="s">
        <v>157</v>
      </c>
      <c r="AA17" s="162" t="s">
        <v>201</v>
      </c>
      <c r="AB17" s="162">
        <f t="shared" ref="AB17:AB22" si="21">RANK(AH17,$AH$14:$AH$22,1)</f>
        <v>1</v>
      </c>
      <c r="AC17" s="165">
        <f t="shared" si="19"/>
        <v>67.937853107344637</v>
      </c>
      <c r="AD17" s="165">
        <f>MAX($AH$14:$AH$22)</f>
        <v>89.495798319327733</v>
      </c>
      <c r="AE17" s="162"/>
      <c r="AF17" s="162">
        <f t="shared" si="10"/>
        <v>3</v>
      </c>
      <c r="AG17" s="167">
        <f t="shared" si="11"/>
        <v>962</v>
      </c>
      <c r="AH17" s="165">
        <f t="shared" si="12"/>
        <v>67.937853107344637</v>
      </c>
      <c r="AI17" s="165">
        <f t="shared" si="13"/>
        <v>65.461218061595829</v>
      </c>
      <c r="AJ17" s="165">
        <f t="shared" si="14"/>
        <v>70.317424465291623</v>
      </c>
      <c r="AK17" s="167">
        <f t="shared" si="15"/>
        <v>1</v>
      </c>
    </row>
    <row r="18" spans="1:37" x14ac:dyDescent="0.2">
      <c r="A18" s="62" t="s">
        <v>41</v>
      </c>
      <c r="B18" s="62" t="s">
        <v>64</v>
      </c>
      <c r="C18" s="62" t="s">
        <v>163</v>
      </c>
      <c r="D18" s="62"/>
      <c r="E18" s="62">
        <f t="shared" si="2"/>
        <v>18</v>
      </c>
      <c r="F18" s="128">
        <v>1435</v>
      </c>
      <c r="G18" s="129">
        <v>76.289207868155245</v>
      </c>
      <c r="H18" s="129">
        <v>74.314818874471072</v>
      </c>
      <c r="I18" s="129">
        <v>78.156437812486388</v>
      </c>
      <c r="J18" s="129"/>
      <c r="K18" s="129"/>
      <c r="L18" s="129"/>
      <c r="M18" s="60">
        <f t="shared" si="0"/>
        <v>2</v>
      </c>
      <c r="N18" s="61">
        <f t="shared" si="3"/>
        <v>51.162790697674417</v>
      </c>
      <c r="O18" s="61">
        <f t="shared" si="16"/>
        <v>70.486111111111114</v>
      </c>
      <c r="P18" s="129">
        <f t="shared" si="4"/>
        <v>73.192206309954074</v>
      </c>
      <c r="Q18" s="129">
        <f t="shared" si="5"/>
        <v>72.737225084738483</v>
      </c>
      <c r="R18" s="129">
        <f t="shared" si="6"/>
        <v>73.64234595761917</v>
      </c>
      <c r="S18" s="61">
        <f t="shared" si="7"/>
        <v>76.8664047151277</v>
      </c>
      <c r="T18" s="61">
        <f t="shared" si="1"/>
        <v>89.495798319327733</v>
      </c>
      <c r="U18" s="61">
        <f t="shared" si="17"/>
        <v>75.153111623312483</v>
      </c>
      <c r="V18" s="61"/>
      <c r="Y18" s="162" t="s">
        <v>38</v>
      </c>
      <c r="Z18" s="162" t="s">
        <v>62</v>
      </c>
      <c r="AA18" s="162" t="s">
        <v>201</v>
      </c>
      <c r="AB18" s="162">
        <f t="shared" si="21"/>
        <v>5</v>
      </c>
      <c r="AC18" s="165">
        <f t="shared" si="19"/>
        <v>67.937853107344637</v>
      </c>
      <c r="AD18" s="165">
        <f t="shared" si="20"/>
        <v>89.495798319327733</v>
      </c>
      <c r="AE18" s="162"/>
      <c r="AF18" s="162">
        <f t="shared" si="10"/>
        <v>8</v>
      </c>
      <c r="AG18" s="167">
        <f t="shared" si="11"/>
        <v>940</v>
      </c>
      <c r="AH18" s="165">
        <f t="shared" si="12"/>
        <v>70.943396226415089</v>
      </c>
      <c r="AI18" s="165">
        <f t="shared" si="13"/>
        <v>68.440977241655034</v>
      </c>
      <c r="AJ18" s="165">
        <f t="shared" si="14"/>
        <v>73.324727486774009</v>
      </c>
      <c r="AK18" s="167">
        <f t="shared" si="15"/>
        <v>5</v>
      </c>
    </row>
    <row r="19" spans="1:37" x14ac:dyDescent="0.2">
      <c r="A19" s="62" t="s">
        <v>42</v>
      </c>
      <c r="B19" s="62" t="s">
        <v>65</v>
      </c>
      <c r="C19" s="62" t="s">
        <v>200</v>
      </c>
      <c r="D19" s="62"/>
      <c r="E19" s="62">
        <f t="shared" si="2"/>
        <v>20</v>
      </c>
      <c r="F19" s="128">
        <v>411</v>
      </c>
      <c r="G19" s="129">
        <v>76.966292134831463</v>
      </c>
      <c r="H19" s="129">
        <v>73.210093575229521</v>
      </c>
      <c r="I19" s="129">
        <v>80.337284611548313</v>
      </c>
      <c r="J19" s="129"/>
      <c r="K19" s="129"/>
      <c r="L19" s="129"/>
      <c r="M19" s="60">
        <f t="shared" si="0"/>
        <v>5</v>
      </c>
      <c r="N19" s="61">
        <f t="shared" si="3"/>
        <v>51.162790697674417</v>
      </c>
      <c r="O19" s="61">
        <f t="shared" si="16"/>
        <v>70.486111111111114</v>
      </c>
      <c r="P19" s="129">
        <f t="shared" si="4"/>
        <v>73.192206309954074</v>
      </c>
      <c r="Q19" s="129">
        <f t="shared" si="5"/>
        <v>72.737225084738483</v>
      </c>
      <c r="R19" s="129">
        <f t="shared" si="6"/>
        <v>73.64234595761917</v>
      </c>
      <c r="S19" s="61">
        <f t="shared" si="7"/>
        <v>76.8664047151277</v>
      </c>
      <c r="T19" s="61">
        <f t="shared" si="1"/>
        <v>89.495798319327733</v>
      </c>
      <c r="U19" s="61">
        <f t="shared" si="17"/>
        <v>72.321563873314147</v>
      </c>
      <c r="V19" s="61"/>
      <c r="Y19" s="162" t="s">
        <v>43</v>
      </c>
      <c r="Z19" s="162" t="s">
        <v>159</v>
      </c>
      <c r="AA19" s="162" t="s">
        <v>201</v>
      </c>
      <c r="AB19" s="162">
        <f t="shared" si="21"/>
        <v>2</v>
      </c>
      <c r="AC19" s="165">
        <f t="shared" si="19"/>
        <v>67.937853107344637</v>
      </c>
      <c r="AD19" s="165">
        <f t="shared" si="20"/>
        <v>89.495798319327733</v>
      </c>
      <c r="AE19" s="162"/>
      <c r="AF19" s="162">
        <f t="shared" si="10"/>
        <v>4</v>
      </c>
      <c r="AG19" s="167">
        <f t="shared" si="11"/>
        <v>940</v>
      </c>
      <c r="AH19" s="165">
        <f t="shared" si="12"/>
        <v>68.017366136034724</v>
      </c>
      <c r="AI19" s="165">
        <f t="shared" si="13"/>
        <v>65.5113113753101</v>
      </c>
      <c r="AJ19" s="165">
        <f t="shared" si="14"/>
        <v>70.423535055376277</v>
      </c>
      <c r="AK19" s="167">
        <f t="shared" si="15"/>
        <v>1</v>
      </c>
    </row>
    <row r="20" spans="1:37" x14ac:dyDescent="0.2">
      <c r="A20" s="62" t="s">
        <v>43</v>
      </c>
      <c r="B20" s="62" t="s">
        <v>159</v>
      </c>
      <c r="C20" s="62" t="s">
        <v>201</v>
      </c>
      <c r="D20" s="62"/>
      <c r="E20" s="62">
        <f t="shared" si="2"/>
        <v>4</v>
      </c>
      <c r="F20" s="128">
        <v>940</v>
      </c>
      <c r="G20" s="129">
        <v>68.017366136034724</v>
      </c>
      <c r="H20" s="129">
        <v>65.5113113753101</v>
      </c>
      <c r="I20" s="129">
        <v>70.423535055376277</v>
      </c>
      <c r="J20" s="129"/>
      <c r="K20" s="129"/>
      <c r="L20" s="129"/>
      <c r="M20" s="60">
        <f t="shared" si="0"/>
        <v>1</v>
      </c>
      <c r="N20" s="61">
        <f t="shared" si="3"/>
        <v>51.162790697674417</v>
      </c>
      <c r="O20" s="61">
        <f t="shared" si="16"/>
        <v>70.486111111111114</v>
      </c>
      <c r="P20" s="129">
        <f t="shared" si="4"/>
        <v>73.192206309954074</v>
      </c>
      <c r="Q20" s="129">
        <f t="shared" si="5"/>
        <v>72.737225084738483</v>
      </c>
      <c r="R20" s="129">
        <f t="shared" si="6"/>
        <v>73.64234595761917</v>
      </c>
      <c r="S20" s="61">
        <f t="shared" si="7"/>
        <v>76.8664047151277</v>
      </c>
      <c r="T20" s="61">
        <f t="shared" si="1"/>
        <v>89.495798319327733</v>
      </c>
      <c r="U20" s="61">
        <f t="shared" si="17"/>
        <v>71.019486692015207</v>
      </c>
      <c r="V20" s="61"/>
      <c r="Y20" s="162" t="s">
        <v>48</v>
      </c>
      <c r="Z20" s="162" t="s">
        <v>160</v>
      </c>
      <c r="AA20" s="162" t="s">
        <v>201</v>
      </c>
      <c r="AB20" s="162">
        <f t="shared" si="21"/>
        <v>6</v>
      </c>
      <c r="AC20" s="165">
        <f t="shared" si="19"/>
        <v>67.937853107344637</v>
      </c>
      <c r="AD20" s="165">
        <f t="shared" si="20"/>
        <v>89.495798319327733</v>
      </c>
      <c r="AE20" s="162"/>
      <c r="AF20" s="162">
        <f t="shared" si="10"/>
        <v>10</v>
      </c>
      <c r="AG20" s="167">
        <f t="shared" si="11"/>
        <v>804</v>
      </c>
      <c r="AH20" s="165">
        <f t="shared" si="12"/>
        <v>71.466666666666669</v>
      </c>
      <c r="AI20" s="165">
        <f t="shared" si="13"/>
        <v>68.758336638172892</v>
      </c>
      <c r="AJ20" s="165">
        <f t="shared" si="14"/>
        <v>74.028894130671517</v>
      </c>
      <c r="AK20" s="167">
        <f t="shared" si="15"/>
        <v>5</v>
      </c>
    </row>
    <row r="21" spans="1:37" x14ac:dyDescent="0.2">
      <c r="A21" s="62" t="s">
        <v>44</v>
      </c>
      <c r="B21" s="62" t="s">
        <v>66</v>
      </c>
      <c r="C21" s="62" t="s">
        <v>200</v>
      </c>
      <c r="D21" s="62"/>
      <c r="E21" s="62">
        <f t="shared" si="2"/>
        <v>2</v>
      </c>
      <c r="F21" s="128">
        <v>521</v>
      </c>
      <c r="G21" s="129">
        <v>60.864485981308405</v>
      </c>
      <c r="H21" s="129">
        <v>57.55341774005143</v>
      </c>
      <c r="I21" s="129">
        <v>64.078477081013148</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1</v>
      </c>
      <c r="N21" s="61">
        <f t="shared" si="3"/>
        <v>51.162790697674417</v>
      </c>
      <c r="O21" s="61">
        <f t="shared" si="16"/>
        <v>70.486111111111114</v>
      </c>
      <c r="P21" s="129">
        <f t="shared" si="4"/>
        <v>73.192206309954074</v>
      </c>
      <c r="Q21" s="129">
        <f t="shared" si="5"/>
        <v>72.737225084738483</v>
      </c>
      <c r="R21" s="129">
        <f t="shared" si="6"/>
        <v>73.64234595761917</v>
      </c>
      <c r="S21" s="61">
        <f t="shared" si="7"/>
        <v>76.8664047151277</v>
      </c>
      <c r="T21" s="61">
        <f t="shared" si="1"/>
        <v>89.495798319327733</v>
      </c>
      <c r="U21" s="61">
        <f t="shared" si="17"/>
        <v>72.321563873314147</v>
      </c>
      <c r="V21" s="61"/>
      <c r="Y21" s="162" t="s">
        <v>52</v>
      </c>
      <c r="Z21" s="162" t="s">
        <v>72</v>
      </c>
      <c r="AA21" s="162" t="s">
        <v>201</v>
      </c>
      <c r="AB21" s="162">
        <f t="shared" si="21"/>
        <v>4</v>
      </c>
      <c r="AC21" s="165">
        <f t="shared" si="19"/>
        <v>67.937853107344637</v>
      </c>
      <c r="AD21" s="165">
        <f t="shared" si="20"/>
        <v>89.495798319327733</v>
      </c>
      <c r="AE21" s="162"/>
      <c r="AF21" s="162">
        <f t="shared" si="10"/>
        <v>7</v>
      </c>
      <c r="AG21" s="167">
        <f t="shared" si="11"/>
        <v>203</v>
      </c>
      <c r="AH21" s="165">
        <f t="shared" si="12"/>
        <v>70.486111111111114</v>
      </c>
      <c r="AI21" s="165">
        <f t="shared" si="13"/>
        <v>64.976647029512492</v>
      </c>
      <c r="AJ21" s="165">
        <f t="shared" si="14"/>
        <v>75.456264893566455</v>
      </c>
      <c r="AK21" s="167">
        <f t="shared" si="15"/>
        <v>5</v>
      </c>
    </row>
    <row r="22" spans="1:37" x14ac:dyDescent="0.2">
      <c r="A22" s="62" t="s">
        <v>45</v>
      </c>
      <c r="B22" s="62" t="s">
        <v>67</v>
      </c>
      <c r="C22" s="62" t="s">
        <v>163</v>
      </c>
      <c r="D22" s="62"/>
      <c r="E22" s="62">
        <f t="shared" si="2"/>
        <v>15</v>
      </c>
      <c r="F22" s="128">
        <v>1137</v>
      </c>
      <c r="G22" s="129">
        <v>75.447909754479099</v>
      </c>
      <c r="H22" s="129">
        <v>73.212008065261273</v>
      </c>
      <c r="I22" s="129">
        <v>77.554403957790555</v>
      </c>
      <c r="J22" s="129"/>
      <c r="K22" s="129"/>
      <c r="L22" s="129"/>
      <c r="M22" s="60">
        <f t="shared" si="0"/>
        <v>5</v>
      </c>
      <c r="N22" s="61">
        <f t="shared" si="3"/>
        <v>51.162790697674417</v>
      </c>
      <c r="O22" s="61">
        <f t="shared" si="16"/>
        <v>70.486111111111114</v>
      </c>
      <c r="P22" s="129">
        <f t="shared" si="4"/>
        <v>73.192206309954074</v>
      </c>
      <c r="Q22" s="129">
        <f t="shared" si="5"/>
        <v>72.737225084738483</v>
      </c>
      <c r="R22" s="129">
        <f t="shared" si="6"/>
        <v>73.64234595761917</v>
      </c>
      <c r="S22" s="61">
        <f t="shared" si="7"/>
        <v>76.8664047151277</v>
      </c>
      <c r="T22" s="61">
        <f t="shared" si="1"/>
        <v>89.495798319327733</v>
      </c>
      <c r="U22" s="61">
        <f>VLOOKUP(C22,$C$43:$I$46,5,FALSE)</f>
        <v>75.153111623312483</v>
      </c>
      <c r="V22" s="61"/>
      <c r="Y22" s="162" t="s">
        <v>54</v>
      </c>
      <c r="Z22" s="162" t="s">
        <v>73</v>
      </c>
      <c r="AA22" s="162" t="s">
        <v>201</v>
      </c>
      <c r="AB22" s="162">
        <f t="shared" si="21"/>
        <v>8</v>
      </c>
      <c r="AC22" s="165">
        <f t="shared" si="19"/>
        <v>67.937853107344637</v>
      </c>
      <c r="AD22" s="165">
        <f t="shared" si="20"/>
        <v>89.495798319327733</v>
      </c>
      <c r="AE22" s="162"/>
      <c r="AF22" s="162">
        <f t="shared" si="10"/>
        <v>24</v>
      </c>
      <c r="AG22" s="167">
        <f t="shared" si="11"/>
        <v>242</v>
      </c>
      <c r="AH22" s="165">
        <f t="shared" si="12"/>
        <v>78.064516129032256</v>
      </c>
      <c r="AI22" s="165">
        <f t="shared" si="13"/>
        <v>73.129948236086562</v>
      </c>
      <c r="AJ22" s="165">
        <f t="shared" si="14"/>
        <v>82.312057626947222</v>
      </c>
      <c r="AK22" s="167">
        <f t="shared" si="15"/>
        <v>5</v>
      </c>
    </row>
    <row r="23" spans="1:37" x14ac:dyDescent="0.2">
      <c r="A23" s="62" t="s">
        <v>46</v>
      </c>
      <c r="B23" s="62" t="s">
        <v>68</v>
      </c>
      <c r="C23" s="62" t="s">
        <v>163</v>
      </c>
      <c r="D23" s="62"/>
      <c r="E23" s="62">
        <f t="shared" si="2"/>
        <v>9</v>
      </c>
      <c r="F23" s="128">
        <v>1547</v>
      </c>
      <c r="G23" s="129">
        <v>71.159153633854658</v>
      </c>
      <c r="H23" s="129">
        <v>69.218835291367867</v>
      </c>
      <c r="I23" s="129">
        <v>73.024827408403766</v>
      </c>
      <c r="J23" s="129"/>
      <c r="K23" s="129"/>
      <c r="L23" s="129"/>
      <c r="M23" s="60">
        <f t="shared" si="0"/>
        <v>5</v>
      </c>
      <c r="N23" s="61">
        <f t="shared" si="3"/>
        <v>51.162790697674417</v>
      </c>
      <c r="O23" s="61">
        <f t="shared" si="16"/>
        <v>70.486111111111114</v>
      </c>
      <c r="P23" s="129">
        <f t="shared" si="4"/>
        <v>73.192206309954074</v>
      </c>
      <c r="Q23" s="129">
        <f t="shared" si="5"/>
        <v>72.737225084738483</v>
      </c>
      <c r="R23" s="129">
        <f t="shared" si="6"/>
        <v>73.64234595761917</v>
      </c>
      <c r="S23" s="61">
        <f t="shared" si="7"/>
        <v>76.8664047151277</v>
      </c>
      <c r="T23" s="61">
        <f t="shared" si="1"/>
        <v>89.495798319327733</v>
      </c>
      <c r="U23" s="61">
        <f t="shared" si="17"/>
        <v>75.153111623312483</v>
      </c>
      <c r="V23" s="61"/>
      <c r="Y23" s="163" t="s">
        <v>30</v>
      </c>
      <c r="Z23" s="163" t="s">
        <v>56</v>
      </c>
      <c r="AA23" s="163" t="s">
        <v>200</v>
      </c>
      <c r="AB23" s="163">
        <f>RANK(AH23,$AH$23:$AH$31,1)</f>
        <v>5</v>
      </c>
      <c r="AC23" s="166">
        <f>MIN($AH$23:$AH$31)</f>
        <v>51.162790697674417</v>
      </c>
      <c r="AD23" s="166">
        <f>MAX($AH$23:$AH$31)</f>
        <v>77.054794520547944</v>
      </c>
      <c r="AE23" s="163"/>
      <c r="AF23" s="163">
        <f t="shared" si="10"/>
        <v>13</v>
      </c>
      <c r="AG23" s="168">
        <f t="shared" si="11"/>
        <v>1517</v>
      </c>
      <c r="AH23" s="166">
        <f t="shared" si="12"/>
        <v>73.002887391722808</v>
      </c>
      <c r="AI23" s="166">
        <f t="shared" si="13"/>
        <v>71.052959782830371</v>
      </c>
      <c r="AJ23" s="166">
        <f t="shared" si="14"/>
        <v>74.86792415141251</v>
      </c>
      <c r="AK23" s="168">
        <f t="shared" si="15"/>
        <v>5</v>
      </c>
    </row>
    <row r="24" spans="1:37" x14ac:dyDescent="0.2">
      <c r="A24" s="62" t="s">
        <v>47</v>
      </c>
      <c r="B24" s="62" t="s">
        <v>69</v>
      </c>
      <c r="C24" s="62" t="s">
        <v>163</v>
      </c>
      <c r="D24" s="62"/>
      <c r="E24" s="62" t="s">
        <v>79</v>
      </c>
      <c r="F24" s="128" t="s">
        <v>79</v>
      </c>
      <c r="G24" s="129" t="s">
        <v>79</v>
      </c>
      <c r="H24" s="129" t="s">
        <v>79</v>
      </c>
      <c r="I24" s="129" t="s">
        <v>79</v>
      </c>
      <c r="J24" s="129"/>
      <c r="K24" s="129"/>
      <c r="L24" s="129"/>
      <c r="M24" s="60"/>
      <c r="N24" s="61">
        <f t="shared" si="3"/>
        <v>51.162790697674417</v>
      </c>
      <c r="O24" s="61">
        <f t="shared" si="16"/>
        <v>70.486111111111114</v>
      </c>
      <c r="P24" s="129">
        <f t="shared" si="4"/>
        <v>73.192206309954074</v>
      </c>
      <c r="Q24" s="129">
        <f t="shared" si="5"/>
        <v>72.737225084738483</v>
      </c>
      <c r="R24" s="129">
        <f t="shared" si="6"/>
        <v>73.64234595761917</v>
      </c>
      <c r="S24" s="61">
        <f t="shared" si="7"/>
        <v>76.8664047151277</v>
      </c>
      <c r="T24" s="61">
        <f t="shared" si="1"/>
        <v>89.495798319327733</v>
      </c>
      <c r="U24" s="61">
        <f t="shared" si="17"/>
        <v>75.153111623312483</v>
      </c>
      <c r="V24" s="61"/>
      <c r="Y24" s="163" t="s">
        <v>31</v>
      </c>
      <c r="Z24" s="163" t="s">
        <v>57</v>
      </c>
      <c r="AA24" s="163" t="s">
        <v>200</v>
      </c>
      <c r="AB24" s="163">
        <f t="shared" ref="AB24:AB31" si="22">RANK(AH24,$AH$23:$AH$31,1)</f>
        <v>3</v>
      </c>
      <c r="AC24" s="166">
        <f t="shared" ref="AC24:AC31" si="23">MIN($AH$23:$AH$31)</f>
        <v>51.162790697674417</v>
      </c>
      <c r="AD24" s="166">
        <f t="shared" ref="AD24:AD31" si="24">MAX($AH$23:$AH$31)</f>
        <v>77.054794520547944</v>
      </c>
      <c r="AE24" s="163"/>
      <c r="AF24" s="163">
        <f t="shared" si="10"/>
        <v>11</v>
      </c>
      <c r="AG24" s="168">
        <f t="shared" si="11"/>
        <v>1757</v>
      </c>
      <c r="AH24" s="166">
        <f t="shared" si="12"/>
        <v>71.539087947882734</v>
      </c>
      <c r="AI24" s="166">
        <f t="shared" si="13"/>
        <v>69.72197245121896</v>
      </c>
      <c r="AJ24" s="166">
        <f t="shared" si="14"/>
        <v>73.288929580948178</v>
      </c>
      <c r="AK24" s="168">
        <f t="shared" si="15"/>
        <v>5</v>
      </c>
    </row>
    <row r="25" spans="1:37" x14ac:dyDescent="0.2">
      <c r="A25" s="62" t="s">
        <v>48</v>
      </c>
      <c r="B25" s="62" t="s">
        <v>160</v>
      </c>
      <c r="C25" s="62" t="s">
        <v>201</v>
      </c>
      <c r="D25" s="62"/>
      <c r="E25" s="62">
        <f t="shared" si="2"/>
        <v>10</v>
      </c>
      <c r="F25" s="128">
        <v>804</v>
      </c>
      <c r="G25" s="129">
        <v>71.466666666666669</v>
      </c>
      <c r="H25" s="129">
        <v>68.758336638172892</v>
      </c>
      <c r="I25" s="129">
        <v>74.028894130671517</v>
      </c>
      <c r="J25" s="129"/>
      <c r="K25" s="129"/>
      <c r="L25" s="129"/>
      <c r="M25" s="60">
        <f t="shared" si="0"/>
        <v>5</v>
      </c>
      <c r="N25" s="61">
        <f t="shared" si="3"/>
        <v>51.162790697674417</v>
      </c>
      <c r="O25" s="61">
        <f t="shared" si="16"/>
        <v>70.486111111111114</v>
      </c>
      <c r="P25" s="129">
        <f t="shared" si="4"/>
        <v>73.192206309954074</v>
      </c>
      <c r="Q25" s="129">
        <f t="shared" si="5"/>
        <v>72.737225084738483</v>
      </c>
      <c r="R25" s="129">
        <f t="shared" si="6"/>
        <v>73.64234595761917</v>
      </c>
      <c r="S25" s="61">
        <f t="shared" si="7"/>
        <v>76.8664047151277</v>
      </c>
      <c r="T25" s="61">
        <f t="shared" si="1"/>
        <v>89.495798319327733</v>
      </c>
      <c r="U25" s="61">
        <f t="shared" si="17"/>
        <v>71.019486692015207</v>
      </c>
      <c r="V25" s="61"/>
      <c r="Y25" s="163" t="s">
        <v>34</v>
      </c>
      <c r="Z25" s="163" t="s">
        <v>59</v>
      </c>
      <c r="AA25" s="163" t="s">
        <v>200</v>
      </c>
      <c r="AB25" s="163">
        <f t="shared" si="22"/>
        <v>8</v>
      </c>
      <c r="AC25" s="166">
        <f t="shared" si="23"/>
        <v>51.162790697674417</v>
      </c>
      <c r="AD25" s="166">
        <f t="shared" si="24"/>
        <v>77.054794520547944</v>
      </c>
      <c r="AE25" s="163"/>
      <c r="AF25" s="163">
        <f t="shared" si="10"/>
        <v>21</v>
      </c>
      <c r="AG25" s="168">
        <f t="shared" si="11"/>
        <v>1561</v>
      </c>
      <c r="AH25" s="166">
        <f t="shared" si="12"/>
        <v>77.010360138135184</v>
      </c>
      <c r="AI25" s="166">
        <f t="shared" si="13"/>
        <v>75.128556806805904</v>
      </c>
      <c r="AJ25" s="166">
        <f t="shared" si="14"/>
        <v>78.789980026486091</v>
      </c>
      <c r="AK25" s="168">
        <f t="shared" si="15"/>
        <v>2</v>
      </c>
    </row>
    <row r="26" spans="1:37" x14ac:dyDescent="0.2">
      <c r="A26" s="62" t="s">
        <v>49</v>
      </c>
      <c r="B26" s="62" t="s">
        <v>70</v>
      </c>
      <c r="C26" s="62" t="s">
        <v>200</v>
      </c>
      <c r="D26" s="62"/>
      <c r="E26" s="62">
        <f t="shared" si="2"/>
        <v>22</v>
      </c>
      <c r="F26" s="128">
        <v>900</v>
      </c>
      <c r="G26" s="129">
        <v>77.054794520547944</v>
      </c>
      <c r="H26" s="129">
        <v>74.557009911518307</v>
      </c>
      <c r="I26" s="129">
        <v>79.375200392427232</v>
      </c>
      <c r="J26" s="129"/>
      <c r="K26" s="129"/>
      <c r="L26" s="129"/>
      <c r="M26" s="60">
        <f t="shared" si="0"/>
        <v>2</v>
      </c>
      <c r="N26" s="61">
        <f t="shared" si="3"/>
        <v>51.162790697674417</v>
      </c>
      <c r="O26" s="61">
        <f t="shared" si="16"/>
        <v>70.486111111111114</v>
      </c>
      <c r="P26" s="129">
        <f t="shared" si="4"/>
        <v>73.192206309954074</v>
      </c>
      <c r="Q26" s="129">
        <f t="shared" si="5"/>
        <v>72.737225084738483</v>
      </c>
      <c r="R26" s="129">
        <f t="shared" si="6"/>
        <v>73.64234595761917</v>
      </c>
      <c r="S26" s="61">
        <f t="shared" si="7"/>
        <v>76.8664047151277</v>
      </c>
      <c r="T26" s="61">
        <f t="shared" si="1"/>
        <v>89.495798319327733</v>
      </c>
      <c r="U26" s="61">
        <f t="shared" si="17"/>
        <v>72.321563873314147</v>
      </c>
      <c r="V26" s="61"/>
      <c r="Y26" s="163" t="s">
        <v>39</v>
      </c>
      <c r="Z26" s="163" t="s">
        <v>158</v>
      </c>
      <c r="AA26" s="163" t="s">
        <v>200</v>
      </c>
      <c r="AB26" s="163">
        <f t="shared" si="22"/>
        <v>6</v>
      </c>
      <c r="AC26" s="166">
        <f t="shared" si="23"/>
        <v>51.162790697674417</v>
      </c>
      <c r="AD26" s="166">
        <f t="shared" si="24"/>
        <v>77.054794520547944</v>
      </c>
      <c r="AE26" s="163"/>
      <c r="AF26" s="163">
        <f t="shared" si="10"/>
        <v>14</v>
      </c>
      <c r="AG26" s="168">
        <f t="shared" si="11"/>
        <v>1558</v>
      </c>
      <c r="AH26" s="166">
        <f t="shared" si="12"/>
        <v>75.048169556840065</v>
      </c>
      <c r="AI26" s="166">
        <f t="shared" si="13"/>
        <v>73.141581770232506</v>
      </c>
      <c r="AJ26" s="166">
        <f t="shared" si="14"/>
        <v>76.862229606318181</v>
      </c>
      <c r="AK26" s="168">
        <f t="shared" si="15"/>
        <v>5</v>
      </c>
    </row>
    <row r="27" spans="1:37" x14ac:dyDescent="0.2">
      <c r="A27" s="62" t="s">
        <v>50</v>
      </c>
      <c r="B27" s="62" t="s">
        <v>161</v>
      </c>
      <c r="C27" s="62" t="s">
        <v>163</v>
      </c>
      <c r="D27" s="62"/>
      <c r="E27" s="62">
        <f t="shared" si="2"/>
        <v>5</v>
      </c>
      <c r="F27" s="128">
        <v>594</v>
      </c>
      <c r="G27" s="129">
        <v>68.11926605504587</v>
      </c>
      <c r="H27" s="129">
        <v>64.952497576003807</v>
      </c>
      <c r="I27" s="129">
        <v>71.127091579947844</v>
      </c>
      <c r="J27" s="129"/>
      <c r="K27" s="129"/>
      <c r="L27" s="129"/>
      <c r="M27" s="60">
        <f t="shared" si="0"/>
        <v>1</v>
      </c>
      <c r="N27" s="61">
        <f t="shared" si="3"/>
        <v>51.162790697674417</v>
      </c>
      <c r="O27" s="61">
        <f t="shared" si="16"/>
        <v>70.486111111111114</v>
      </c>
      <c r="P27" s="129">
        <f t="shared" si="4"/>
        <v>73.192206309954074</v>
      </c>
      <c r="Q27" s="129">
        <f t="shared" si="5"/>
        <v>72.737225084738483</v>
      </c>
      <c r="R27" s="129">
        <f t="shared" si="6"/>
        <v>73.64234595761917</v>
      </c>
      <c r="S27" s="61">
        <f t="shared" si="7"/>
        <v>76.8664047151277</v>
      </c>
      <c r="T27" s="61">
        <f t="shared" si="1"/>
        <v>89.495798319327733</v>
      </c>
      <c r="U27" s="61">
        <f t="shared" si="17"/>
        <v>75.153111623312483</v>
      </c>
      <c r="V27" s="61"/>
      <c r="Y27" s="163" t="s">
        <v>40</v>
      </c>
      <c r="Z27" s="163" t="s">
        <v>63</v>
      </c>
      <c r="AA27" s="163" t="s">
        <v>200</v>
      </c>
      <c r="AB27" s="163">
        <f t="shared" si="22"/>
        <v>4</v>
      </c>
      <c r="AC27" s="166">
        <f t="shared" si="23"/>
        <v>51.162790697674417</v>
      </c>
      <c r="AD27" s="166">
        <f t="shared" si="24"/>
        <v>77.054794520547944</v>
      </c>
      <c r="AE27" s="163"/>
      <c r="AF27" s="163">
        <f t="shared" si="10"/>
        <v>12</v>
      </c>
      <c r="AG27" s="168">
        <f t="shared" si="11"/>
        <v>990</v>
      </c>
      <c r="AH27" s="166">
        <f t="shared" si="12"/>
        <v>72.901325478645063</v>
      </c>
      <c r="AI27" s="166">
        <f t="shared" si="13"/>
        <v>70.475219526547917</v>
      </c>
      <c r="AJ27" s="166">
        <f t="shared" si="14"/>
        <v>75.198232105526046</v>
      </c>
      <c r="AK27" s="168">
        <f t="shared" si="15"/>
        <v>5</v>
      </c>
    </row>
    <row r="28" spans="1:37" x14ac:dyDescent="0.2">
      <c r="A28" s="62" t="s">
        <v>51</v>
      </c>
      <c r="B28" s="62" t="s">
        <v>71</v>
      </c>
      <c r="C28" s="62" t="s">
        <v>200</v>
      </c>
      <c r="D28" s="62"/>
      <c r="E28" s="62">
        <f t="shared" si="2"/>
        <v>1</v>
      </c>
      <c r="F28" s="128">
        <v>330</v>
      </c>
      <c r="G28" s="129">
        <v>51.162790697674417</v>
      </c>
      <c r="H28" s="129">
        <v>47.309704996882012</v>
      </c>
      <c r="I28" s="129">
        <v>55.002107819035039</v>
      </c>
      <c r="J28" s="129"/>
      <c r="K28" s="129"/>
      <c r="L28" s="129"/>
      <c r="M28" s="60">
        <f t="shared" si="0"/>
        <v>1</v>
      </c>
      <c r="N28" s="61">
        <f t="shared" si="3"/>
        <v>51.162790697674417</v>
      </c>
      <c r="O28" s="61">
        <f t="shared" si="16"/>
        <v>70.486111111111114</v>
      </c>
      <c r="P28" s="129">
        <f t="shared" si="4"/>
        <v>73.192206309954074</v>
      </c>
      <c r="Q28" s="129">
        <f t="shared" si="5"/>
        <v>72.737225084738483</v>
      </c>
      <c r="R28" s="129">
        <f t="shared" si="6"/>
        <v>73.64234595761917</v>
      </c>
      <c r="S28" s="61">
        <f t="shared" si="7"/>
        <v>76.8664047151277</v>
      </c>
      <c r="T28" s="61">
        <f t="shared" si="1"/>
        <v>89.495798319327733</v>
      </c>
      <c r="U28" s="61">
        <f t="shared" si="17"/>
        <v>72.321563873314147</v>
      </c>
      <c r="V28" s="61"/>
      <c r="Y28" s="163" t="s">
        <v>42</v>
      </c>
      <c r="Z28" s="163" t="s">
        <v>65</v>
      </c>
      <c r="AA28" s="163" t="s">
        <v>200</v>
      </c>
      <c r="AB28" s="163">
        <f t="shared" si="22"/>
        <v>7</v>
      </c>
      <c r="AC28" s="166">
        <f t="shared" si="23"/>
        <v>51.162790697674417</v>
      </c>
      <c r="AD28" s="166">
        <f t="shared" si="24"/>
        <v>77.054794520547944</v>
      </c>
      <c r="AE28" s="163"/>
      <c r="AF28" s="163">
        <f t="shared" si="10"/>
        <v>20</v>
      </c>
      <c r="AG28" s="168">
        <f t="shared" si="11"/>
        <v>411</v>
      </c>
      <c r="AH28" s="166">
        <f t="shared" si="12"/>
        <v>76.966292134831463</v>
      </c>
      <c r="AI28" s="166">
        <f t="shared" si="13"/>
        <v>73.210093575229521</v>
      </c>
      <c r="AJ28" s="166">
        <f t="shared" si="14"/>
        <v>80.337284611548313</v>
      </c>
      <c r="AK28" s="168">
        <f t="shared" si="15"/>
        <v>5</v>
      </c>
    </row>
    <row r="29" spans="1:37" x14ac:dyDescent="0.2">
      <c r="A29" s="62" t="s">
        <v>52</v>
      </c>
      <c r="B29" s="62" t="s">
        <v>72</v>
      </c>
      <c r="C29" s="62" t="s">
        <v>201</v>
      </c>
      <c r="D29" s="62"/>
      <c r="E29" s="62">
        <f t="shared" si="2"/>
        <v>7</v>
      </c>
      <c r="F29" s="128">
        <v>203</v>
      </c>
      <c r="G29" s="129">
        <v>70.486111111111114</v>
      </c>
      <c r="H29" s="129">
        <v>64.976647029512492</v>
      </c>
      <c r="I29" s="129">
        <v>75.456264893566455</v>
      </c>
      <c r="J29" s="129"/>
      <c r="K29" s="129"/>
      <c r="L29" s="129"/>
      <c r="M29" s="60">
        <f t="shared" si="0"/>
        <v>5</v>
      </c>
      <c r="N29" s="61">
        <f t="shared" si="3"/>
        <v>51.162790697674417</v>
      </c>
      <c r="O29" s="61">
        <f t="shared" si="16"/>
        <v>70.486111111111114</v>
      </c>
      <c r="P29" s="129">
        <f t="shared" si="4"/>
        <v>73.192206309954074</v>
      </c>
      <c r="Q29" s="129">
        <f t="shared" si="5"/>
        <v>72.737225084738483</v>
      </c>
      <c r="R29" s="129">
        <f t="shared" si="6"/>
        <v>73.64234595761917</v>
      </c>
      <c r="S29" s="61">
        <f t="shared" si="7"/>
        <v>76.8664047151277</v>
      </c>
      <c r="T29" s="61">
        <f t="shared" si="1"/>
        <v>89.495798319327733</v>
      </c>
      <c r="U29" s="61">
        <f t="shared" si="17"/>
        <v>71.019486692015207</v>
      </c>
      <c r="V29" s="61"/>
      <c r="Y29" s="163" t="s">
        <v>44</v>
      </c>
      <c r="Z29" s="163" t="s">
        <v>66</v>
      </c>
      <c r="AA29" s="163" t="s">
        <v>200</v>
      </c>
      <c r="AB29" s="163">
        <f t="shared" si="22"/>
        <v>2</v>
      </c>
      <c r="AC29" s="166">
        <f t="shared" si="23"/>
        <v>51.162790697674417</v>
      </c>
      <c r="AD29" s="166">
        <f t="shared" si="24"/>
        <v>77.054794520547944</v>
      </c>
      <c r="AE29" s="163"/>
      <c r="AF29" s="163">
        <f t="shared" si="10"/>
        <v>2</v>
      </c>
      <c r="AG29" s="168">
        <f t="shared" si="11"/>
        <v>521</v>
      </c>
      <c r="AH29" s="166">
        <f t="shared" si="12"/>
        <v>60.864485981308405</v>
      </c>
      <c r="AI29" s="166">
        <f t="shared" si="13"/>
        <v>57.55341774005143</v>
      </c>
      <c r="AJ29" s="166">
        <f t="shared" si="14"/>
        <v>64.078477081013148</v>
      </c>
      <c r="AK29" s="168">
        <f t="shared" si="15"/>
        <v>1</v>
      </c>
    </row>
    <row r="30" spans="1:37" x14ac:dyDescent="0.2">
      <c r="A30" s="62" t="s">
        <v>53</v>
      </c>
      <c r="B30" s="62" t="s">
        <v>162</v>
      </c>
      <c r="C30" s="62" t="s">
        <v>163</v>
      </c>
      <c r="D30" s="62"/>
      <c r="E30" s="62">
        <f t="shared" si="2"/>
        <v>16</v>
      </c>
      <c r="F30" s="128">
        <v>3137</v>
      </c>
      <c r="G30" s="129">
        <v>75.626808100289296</v>
      </c>
      <c r="H30" s="129">
        <v>74.296946145170963</v>
      </c>
      <c r="I30" s="129">
        <v>76.909248048088955</v>
      </c>
      <c r="J30" s="129"/>
      <c r="K30" s="129"/>
      <c r="L30" s="129"/>
      <c r="M30" s="60">
        <f t="shared" si="0"/>
        <v>2</v>
      </c>
      <c r="N30" s="61">
        <f t="shared" si="3"/>
        <v>51.162790697674417</v>
      </c>
      <c r="O30" s="61">
        <f t="shared" si="16"/>
        <v>70.486111111111114</v>
      </c>
      <c r="P30" s="129">
        <f>$G$32</f>
        <v>73.192206309954074</v>
      </c>
      <c r="Q30" s="129">
        <f t="shared" si="5"/>
        <v>72.737225084738483</v>
      </c>
      <c r="R30" s="129">
        <f t="shared" si="6"/>
        <v>73.64234595761917</v>
      </c>
      <c r="S30" s="61">
        <f t="shared" si="7"/>
        <v>76.8664047151277</v>
      </c>
      <c r="T30" s="61">
        <f t="shared" si="1"/>
        <v>89.495798319327733</v>
      </c>
      <c r="U30" s="61">
        <f t="shared" si="17"/>
        <v>75.153111623312483</v>
      </c>
      <c r="V30" s="61"/>
      <c r="Y30" s="163" t="s">
        <v>49</v>
      </c>
      <c r="Z30" s="163" t="s">
        <v>70</v>
      </c>
      <c r="AA30" s="163" t="s">
        <v>200</v>
      </c>
      <c r="AB30" s="163">
        <f t="shared" si="22"/>
        <v>9</v>
      </c>
      <c r="AC30" s="166">
        <f t="shared" si="23"/>
        <v>51.162790697674417</v>
      </c>
      <c r="AD30" s="166">
        <f t="shared" si="24"/>
        <v>77.054794520547944</v>
      </c>
      <c r="AE30" s="163"/>
      <c r="AF30" s="163">
        <f t="shared" si="10"/>
        <v>22</v>
      </c>
      <c r="AG30" s="168">
        <f t="shared" si="11"/>
        <v>900</v>
      </c>
      <c r="AH30" s="166">
        <f t="shared" si="12"/>
        <v>77.054794520547944</v>
      </c>
      <c r="AI30" s="166">
        <f t="shared" si="13"/>
        <v>74.557009911518307</v>
      </c>
      <c r="AJ30" s="166">
        <f t="shared" si="14"/>
        <v>79.375200392427232</v>
      </c>
      <c r="AK30" s="168">
        <f t="shared" si="15"/>
        <v>2</v>
      </c>
    </row>
    <row r="31" spans="1:37" x14ac:dyDescent="0.2">
      <c r="A31" s="62" t="s">
        <v>54</v>
      </c>
      <c r="B31" s="62" t="s">
        <v>73</v>
      </c>
      <c r="C31" s="62" t="s">
        <v>201</v>
      </c>
      <c r="D31" s="62"/>
      <c r="E31" s="62">
        <f t="shared" si="2"/>
        <v>24</v>
      </c>
      <c r="F31" s="128">
        <v>242</v>
      </c>
      <c r="G31" s="129">
        <v>78.064516129032256</v>
      </c>
      <c r="H31" s="129">
        <v>73.129948236086562</v>
      </c>
      <c r="I31" s="129">
        <v>82.312057626947222</v>
      </c>
      <c r="J31" s="129"/>
      <c r="K31" s="129"/>
      <c r="L31" s="129"/>
      <c r="M31" s="60">
        <f t="shared" si="0"/>
        <v>5</v>
      </c>
      <c r="N31" s="61">
        <f t="shared" si="3"/>
        <v>51.162790697674417</v>
      </c>
      <c r="O31" s="61">
        <f t="shared" si="16"/>
        <v>70.486111111111114</v>
      </c>
      <c r="P31" s="129">
        <f t="shared" si="4"/>
        <v>73.192206309954074</v>
      </c>
      <c r="Q31" s="129">
        <f t="shared" si="5"/>
        <v>72.737225084738483</v>
      </c>
      <c r="R31" s="129">
        <f t="shared" si="6"/>
        <v>73.64234595761917</v>
      </c>
      <c r="S31" s="61">
        <f t="shared" si="7"/>
        <v>76.8664047151277</v>
      </c>
      <c r="T31" s="61">
        <f t="shared" si="1"/>
        <v>89.495798319327733</v>
      </c>
      <c r="U31" s="61">
        <f t="shared" si="17"/>
        <v>71.019486692015207</v>
      </c>
      <c r="V31" s="61"/>
      <c r="Y31" s="163" t="s">
        <v>51</v>
      </c>
      <c r="Z31" s="163" t="s">
        <v>71</v>
      </c>
      <c r="AA31" s="163" t="s">
        <v>200</v>
      </c>
      <c r="AB31" s="163">
        <f t="shared" si="22"/>
        <v>1</v>
      </c>
      <c r="AC31" s="166">
        <f t="shared" si="23"/>
        <v>51.162790697674417</v>
      </c>
      <c r="AD31" s="166">
        <f t="shared" si="24"/>
        <v>77.054794520547944</v>
      </c>
      <c r="AE31" s="163"/>
      <c r="AF31" s="163">
        <f t="shared" si="10"/>
        <v>1</v>
      </c>
      <c r="AG31" s="168">
        <f t="shared" si="11"/>
        <v>330</v>
      </c>
      <c r="AH31" s="166">
        <f t="shared" si="12"/>
        <v>51.162790697674417</v>
      </c>
      <c r="AI31" s="166">
        <f t="shared" si="13"/>
        <v>47.309704996882012</v>
      </c>
      <c r="AJ31" s="166">
        <f t="shared" si="14"/>
        <v>55.002107819035039</v>
      </c>
      <c r="AK31" s="168">
        <f t="shared" si="15"/>
        <v>1</v>
      </c>
    </row>
    <row r="32" spans="1:37" x14ac:dyDescent="0.2">
      <c r="A32" s="62"/>
      <c r="B32" s="62" t="s">
        <v>171</v>
      </c>
      <c r="C32" s="62"/>
      <c r="D32" s="62"/>
      <c r="E32" s="62"/>
      <c r="F32" s="128">
        <v>26934</v>
      </c>
      <c r="G32" s="129">
        <v>73.192206309954074</v>
      </c>
      <c r="H32" s="129">
        <v>72.737225084738483</v>
      </c>
      <c r="I32" s="129">
        <v>73.64234595761917</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11412</v>
      </c>
      <c r="G44" s="129">
        <v>75.153111623312483</v>
      </c>
      <c r="H44" s="129">
        <v>74.459501472994134</v>
      </c>
      <c r="I44" s="129">
        <v>75.833998664659646</v>
      </c>
      <c r="J44" s="129">
        <f>VLOOKUP($C44,$AA$6:$AD$13,3,FALSE)</f>
        <v>68.11926605504587</v>
      </c>
      <c r="K44" s="129">
        <f>VLOOKUP($C44,$AA$6:$AD$13,4,FALSE)</f>
        <v>77.795091546552385</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2</v>
      </c>
      <c r="N44" s="61">
        <f>MIN($G$6:$G$31)</f>
        <v>51.162790697674417</v>
      </c>
      <c r="O44" s="61">
        <f>VLOOKUP(7,$E$5:$G$39,3,FALSE)</f>
        <v>70.486111111111114</v>
      </c>
      <c r="P44" s="129">
        <f>$G$32</f>
        <v>73.192206309954074</v>
      </c>
      <c r="Q44" s="129">
        <f>$H$32</f>
        <v>72.737225084738483</v>
      </c>
      <c r="R44" s="129">
        <f>$I$32</f>
        <v>73.64234595761917</v>
      </c>
      <c r="S44" s="61">
        <f>VLOOKUP(20,$E$5:$G$39,3,FALSE)</f>
        <v>76.966292134831463</v>
      </c>
      <c r="T44" s="61">
        <f>MAX($G$6:$G$31)</f>
        <v>89.495798319327733</v>
      </c>
    </row>
    <row r="45" spans="1:22" x14ac:dyDescent="0.2">
      <c r="C45" s="62" t="s">
        <v>201</v>
      </c>
      <c r="D45" s="62"/>
      <c r="E45" s="62"/>
      <c r="F45" s="128">
        <v>5977</v>
      </c>
      <c r="G45" s="129">
        <v>71.019486692015207</v>
      </c>
      <c r="H45" s="129">
        <v>70.040817743571964</v>
      </c>
      <c r="I45" s="129">
        <v>71.978975827405094</v>
      </c>
      <c r="J45" s="129">
        <f>VLOOKUP($C45,$AA$14:$AD$22,3,FALSE)</f>
        <v>67.937853107344637</v>
      </c>
      <c r="K45" s="129">
        <f>VLOOKUP($C45,$AA$14:$AD$22,4,FALSE)</f>
        <v>89.495798319327733</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1</v>
      </c>
      <c r="N45" s="61">
        <f>MIN($G$6:$G$31)</f>
        <v>51.162790697674417</v>
      </c>
      <c r="O45" s="61">
        <f>VLOOKUP(7,$E$5:$G$39,3,FALSE)</f>
        <v>70.486111111111114</v>
      </c>
      <c r="P45" s="129">
        <f>$G$32</f>
        <v>73.192206309954074</v>
      </c>
      <c r="Q45" s="129">
        <f t="shared" ref="Q45:Q46" si="25">$H$32</f>
        <v>72.737225084738483</v>
      </c>
      <c r="R45" s="129">
        <f t="shared" ref="R45:R46" si="26">$I$32</f>
        <v>73.64234595761917</v>
      </c>
      <c r="S45" s="61">
        <f>VLOOKUP(20,$E$5:$G$39,3,FALSE)</f>
        <v>76.966292134831463</v>
      </c>
      <c r="T45" s="61">
        <f t="shared" ref="T45:T46" si="27">MAX($G$6:$G$31)</f>
        <v>89.495798319327733</v>
      </c>
    </row>
    <row r="46" spans="1:22" x14ac:dyDescent="0.2">
      <c r="C46" s="62" t="s">
        <v>200</v>
      </c>
      <c r="D46" s="62"/>
      <c r="E46" s="62"/>
      <c r="F46" s="128">
        <v>9545</v>
      </c>
      <c r="G46" s="129">
        <v>72.321563873314147</v>
      </c>
      <c r="H46" s="129">
        <v>71.551846135270949</v>
      </c>
      <c r="I46" s="129">
        <v>73.078291398029847</v>
      </c>
      <c r="J46" s="129">
        <f>VLOOKUP($C46,$AA$23:$AD$31,3,FALSE)</f>
        <v>51.162790697674417</v>
      </c>
      <c r="K46" s="129">
        <f>VLOOKUP($C46,$AA$23:$AD$31,4,FALSE)</f>
        <v>77.054794520547944</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5</v>
      </c>
      <c r="N46" s="61">
        <f>MIN($G$6:$G$31)</f>
        <v>51.162790697674417</v>
      </c>
      <c r="O46" s="61">
        <f>VLOOKUP(7,$E$5:$G$39,3,FALSE)</f>
        <v>70.486111111111114</v>
      </c>
      <c r="P46" s="129">
        <f t="shared" ref="P46" si="28">$G$32</f>
        <v>73.192206309954074</v>
      </c>
      <c r="Q46" s="129">
        <f t="shared" si="25"/>
        <v>72.737225084738483</v>
      </c>
      <c r="R46" s="129">
        <f t="shared" si="26"/>
        <v>73.64234595761917</v>
      </c>
      <c r="S46" s="61">
        <f>VLOOKUP(20,$E$5:$G$39,3,FALSE)</f>
        <v>76.966292134831463</v>
      </c>
      <c r="T46" s="61">
        <f t="shared" si="27"/>
        <v>89.495798319327733</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C2:D2" xr:uid="{00000000-0002-0000-3D00-000000000000}">
      <formula1>"Better / Worse,Higher / Lower,Significance not measured"</formula1>
    </dataValidation>
    <dataValidation type="list" allowBlank="1" showInputMessage="1" showErrorMessage="1" sqref="K2:N2" xr:uid="{00000000-0002-0000-3D00-000001000000}">
      <formula1>"High = Worst,Low = Worst"</formula1>
    </dataValidation>
  </dataValidations>
  <pageMargins left="0.75" right="0.75" top="1" bottom="1" header="0.5" footer="0.5"/>
  <pageSetup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1">
    <tabColor theme="6" tint="0.39997558519241921"/>
  </sheetPr>
  <dimension ref="A1:AK55"/>
  <sheetViews>
    <sheetView workbookViewId="0">
      <selection activeCell="F6" sqref="F6:F31"/>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9.44140625" style="21" customWidth="1"/>
    <col min="8" max="8" width="7.33203125" style="21" customWidth="1"/>
    <col min="9" max="9" width="6.88671875" style="21" customWidth="1"/>
    <col min="10" max="10" width="9.109375" style="21" customWidth="1"/>
    <col min="11" max="11" width="8.33203125" style="21" customWidth="1"/>
    <col min="12" max="12" width="6.109375" style="21" customWidth="1"/>
    <col min="13" max="13" width="4.88671875" style="21" bestFit="1" customWidth="1"/>
    <col min="14" max="14" width="7.88671875" style="21" customWidth="1"/>
    <col min="15" max="15" width="7" style="21" bestFit="1" customWidth="1"/>
    <col min="16" max="16" width="7.6640625" style="21" customWidth="1"/>
    <col min="17" max="17" width="8.33203125" style="21" customWidth="1"/>
    <col min="18" max="18" width="7.6640625" style="21" customWidth="1"/>
    <col min="19" max="19" width="7" style="21" bestFit="1" customWidth="1"/>
    <col min="20" max="20" width="8" style="21" customWidth="1"/>
    <col min="21" max="21" width="8.109375" style="21" customWidth="1"/>
    <col min="22" max="22" width="4" style="21" bestFit="1" customWidth="1"/>
    <col min="23" max="23" width="12.33203125" style="21" customWidth="1"/>
    <col min="24" max="25" width="9.109375" style="21"/>
    <col min="26" max="26" width="22.109375" style="21" bestFit="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4</v>
      </c>
      <c r="F6" s="128">
        <v>69</v>
      </c>
      <c r="G6" s="129">
        <v>2696.2909249908066</v>
      </c>
      <c r="H6" s="129">
        <v>2092.9645244688254</v>
      </c>
      <c r="I6" s="129">
        <v>3418.1442727777462</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5</v>
      </c>
      <c r="N6" s="61">
        <f>MIN($G$6:$G$32)</f>
        <v>1833.2618332618331</v>
      </c>
      <c r="O6" s="61">
        <f>VLOOKUP(7,$E$5:$G$39,3,FALSE)</f>
        <v>2943.3170365455744</v>
      </c>
      <c r="P6" s="129">
        <f>$G$32</f>
        <v>3071.5794179164795</v>
      </c>
      <c r="Q6" s="129">
        <f>$H$32</f>
        <v>2968.5358803535109</v>
      </c>
      <c r="R6" s="129">
        <f>$I$32</f>
        <v>3177.2728346237741</v>
      </c>
      <c r="S6" s="61">
        <f>VLOOKUP(20,$E$5:$G$39,3,FALSE)</f>
        <v>3249.9845448201913</v>
      </c>
      <c r="T6" s="61">
        <f t="shared" ref="T6:T31" si="1">MAX($G$6:$G$31)</f>
        <v>5339.3510967946149</v>
      </c>
      <c r="U6" s="61">
        <f>VLOOKUP(C6,$C$43:$I$46,5,FALSE)</f>
        <v>2946.4179882457047</v>
      </c>
      <c r="V6" s="61"/>
      <c r="Y6" s="159" t="s">
        <v>33</v>
      </c>
      <c r="Z6" s="159" t="s">
        <v>58</v>
      </c>
      <c r="AA6" s="159" t="s">
        <v>163</v>
      </c>
      <c r="AB6" s="159">
        <f>RANK(AH6,$AH$6:$AH$13,1)</f>
        <v>5</v>
      </c>
      <c r="AC6" s="164">
        <f>MIN($AH$6:$AH$13)</f>
        <v>2755.9409731781707</v>
      </c>
      <c r="AD6" s="164">
        <f>MAX($AH$6:$AH$13)</f>
        <v>3545.0739815281686</v>
      </c>
      <c r="AE6" s="159"/>
      <c r="AF6" s="159">
        <f>VLOOKUP($Y6,$A$6:$I$31,5,FALSE)</f>
        <v>16</v>
      </c>
      <c r="AG6" s="160">
        <f>VLOOKUP($Y6,$A$6:$I$31,6,FALSE)</f>
        <v>160</v>
      </c>
      <c r="AH6" s="161">
        <f>VLOOKUP($Y6,$A$6:$I$31,7,FALSE)</f>
        <v>3206.5668534762217</v>
      </c>
      <c r="AI6" s="161">
        <f>VLOOKUP($Y6,$A$6:$I$31,8,FALSE)</f>
        <v>2722.7806893899565</v>
      </c>
      <c r="AJ6" s="161">
        <f>VLOOKUP($Y6,$A$6:$I$31,9,FALSE)</f>
        <v>3750.6490806686652</v>
      </c>
      <c r="AK6" s="160">
        <f>VLOOKUP($Y6,$A$6:$M$31,13,FALSE)</f>
        <v>5</v>
      </c>
    </row>
    <row r="7" spans="1:37" x14ac:dyDescent="0.2">
      <c r="A7" s="62" t="s">
        <v>30</v>
      </c>
      <c r="B7" s="62" t="s">
        <v>56</v>
      </c>
      <c r="C7" s="62" t="s">
        <v>200</v>
      </c>
      <c r="D7" s="62"/>
      <c r="E7" s="62">
        <f t="shared" ref="E7:E31" si="2">RANK(G7,$G$6:$G$31,1)</f>
        <v>21</v>
      </c>
      <c r="F7" s="128">
        <v>169</v>
      </c>
      <c r="G7" s="129">
        <v>3263.8154898905063</v>
      </c>
      <c r="H7" s="129">
        <v>2783.6485750896845</v>
      </c>
      <c r="I7" s="129">
        <v>3802.1087504409556</v>
      </c>
      <c r="J7" s="129"/>
      <c r="K7" s="129"/>
      <c r="L7" s="129"/>
      <c r="M7" s="60">
        <f t="shared" si="0"/>
        <v>5</v>
      </c>
      <c r="N7" s="61">
        <f t="shared" ref="N7:N31" si="3">MIN($G$6:$G$32)</f>
        <v>1833.2618332618331</v>
      </c>
      <c r="O7" s="61">
        <f>VLOOKUP(7,$E$5:$G$39,3,FALSE)</f>
        <v>2943.3170365455744</v>
      </c>
      <c r="P7" s="129">
        <f t="shared" ref="P7:P31" si="4">$G$32</f>
        <v>3071.5794179164795</v>
      </c>
      <c r="Q7" s="129">
        <f t="shared" ref="Q7:Q31" si="5">$H$32</f>
        <v>2968.5358803535109</v>
      </c>
      <c r="R7" s="129">
        <f t="shared" ref="R7:R31" si="6">$I$32</f>
        <v>3177.2728346237741</v>
      </c>
      <c r="S7" s="61">
        <f t="shared" ref="S7:S31" si="7">VLOOKUP(20,$E$5:$G$39,3,FALSE)</f>
        <v>3249.9845448201913</v>
      </c>
      <c r="T7" s="61">
        <f t="shared" si="1"/>
        <v>5339.3510967946149</v>
      </c>
      <c r="U7" s="61">
        <f>VLOOKUP(C7,$C$43:$I$46,5,FALSE)</f>
        <v>3183.7797495473205</v>
      </c>
      <c r="V7" s="61"/>
      <c r="Y7" s="159" t="s">
        <v>35</v>
      </c>
      <c r="Z7" s="159" t="s">
        <v>60</v>
      </c>
      <c r="AA7" s="159" t="s">
        <v>163</v>
      </c>
      <c r="AB7" s="159">
        <f t="shared" ref="AB7:AB12" si="8">RANK(AH7,$AH$6:$AH$13,1)</f>
        <v>3</v>
      </c>
      <c r="AC7" s="164">
        <f>MIN($AH$6:$AH$13)</f>
        <v>2755.9409731781707</v>
      </c>
      <c r="AD7" s="164">
        <f t="shared" ref="AD7:AD13" si="9">MAX($AH$6:$AH$13)</f>
        <v>3545.0739815281686</v>
      </c>
      <c r="AE7" s="159"/>
      <c r="AF7" s="159">
        <f t="shared" ref="AF7:AF31" si="10">VLOOKUP($Y7,$A$6:$I$31,5,FALSE)</f>
        <v>10</v>
      </c>
      <c r="AG7" s="160">
        <f t="shared" ref="AG7:AG31" si="11">VLOOKUP($Y7,$A$6:$I$31,6,FALSE)</f>
        <v>218</v>
      </c>
      <c r="AH7" s="161">
        <f t="shared" ref="AH7:AH31" si="12">VLOOKUP($Y7,$A$6:$I$31,7,FALSE)</f>
        <v>3011.3787457200415</v>
      </c>
      <c r="AI7" s="161">
        <f t="shared" ref="AI7:AI31" si="13">VLOOKUP($Y7,$A$6:$I$31,8,FALSE)</f>
        <v>2624.0982503686023</v>
      </c>
      <c r="AJ7" s="161">
        <f t="shared" ref="AJ7:AJ31" si="14">VLOOKUP($Y7,$A$6:$I$31,9,FALSE)</f>
        <v>3439.623104953856</v>
      </c>
      <c r="AK7" s="160">
        <f t="shared" ref="AK7:AK31" si="15">VLOOKUP($Y7,$A$6:$M$31,13,FALSE)</f>
        <v>5</v>
      </c>
    </row>
    <row r="8" spans="1:37" x14ac:dyDescent="0.2">
      <c r="A8" s="62" t="s">
        <v>31</v>
      </c>
      <c r="B8" s="62" t="s">
        <v>57</v>
      </c>
      <c r="C8" s="62" t="s">
        <v>200</v>
      </c>
      <c r="D8" s="62"/>
      <c r="E8" s="62">
        <f t="shared" si="2"/>
        <v>23</v>
      </c>
      <c r="F8" s="128">
        <v>259</v>
      </c>
      <c r="G8" s="129">
        <v>3388.009885230671</v>
      </c>
      <c r="H8" s="129">
        <v>2986.154849039513</v>
      </c>
      <c r="I8" s="129">
        <v>3828.6805053158046</v>
      </c>
      <c r="J8" s="129"/>
      <c r="K8" s="129"/>
      <c r="L8" s="129"/>
      <c r="M8" s="60">
        <f t="shared" si="0"/>
        <v>5</v>
      </c>
      <c r="N8" s="61">
        <f t="shared" si="3"/>
        <v>1833.2618332618331</v>
      </c>
      <c r="O8" s="61">
        <f t="shared" ref="O8:O31" si="16">VLOOKUP(7,$E$5:$G$39,3,FALSE)</f>
        <v>2943.3170365455744</v>
      </c>
      <c r="P8" s="129">
        <f t="shared" si="4"/>
        <v>3071.5794179164795</v>
      </c>
      <c r="Q8" s="129">
        <f t="shared" si="5"/>
        <v>2968.5358803535109</v>
      </c>
      <c r="R8" s="129">
        <f t="shared" si="6"/>
        <v>3177.2728346237741</v>
      </c>
      <c r="S8" s="61">
        <f t="shared" si="7"/>
        <v>3249.9845448201913</v>
      </c>
      <c r="T8" s="61">
        <f t="shared" si="1"/>
        <v>5339.3510967946149</v>
      </c>
      <c r="U8" s="61">
        <f t="shared" ref="U8:U31" si="17">VLOOKUP(C8,$C$43:$I$46,5,FALSE)</f>
        <v>3183.7797495473205</v>
      </c>
      <c r="V8" s="61"/>
      <c r="Y8" s="159" t="s">
        <v>41</v>
      </c>
      <c r="Z8" s="159" t="s">
        <v>64</v>
      </c>
      <c r="AA8" s="159" t="s">
        <v>163</v>
      </c>
      <c r="AB8" s="159">
        <f t="shared" si="8"/>
        <v>2</v>
      </c>
      <c r="AC8" s="164">
        <f t="shared" ref="AC8:AC13" si="18">MIN($AH$6:$AH$13)</f>
        <v>2755.9409731781707</v>
      </c>
      <c r="AD8" s="164">
        <f>MAX($AH$6:$AH$13)</f>
        <v>3545.0739815281686</v>
      </c>
      <c r="AE8" s="159"/>
      <c r="AF8" s="159">
        <f t="shared" si="10"/>
        <v>6</v>
      </c>
      <c r="AG8" s="160">
        <f t="shared" si="11"/>
        <v>193</v>
      </c>
      <c r="AH8" s="161">
        <f t="shared" si="12"/>
        <v>2803.5133411869479</v>
      </c>
      <c r="AI8" s="161">
        <f t="shared" si="13"/>
        <v>2420.8768128409811</v>
      </c>
      <c r="AJ8" s="161">
        <f t="shared" si="14"/>
        <v>3229.3163526222529</v>
      </c>
      <c r="AK8" s="160">
        <f t="shared" si="15"/>
        <v>5</v>
      </c>
    </row>
    <row r="9" spans="1:37" x14ac:dyDescent="0.2">
      <c r="A9" s="62" t="s">
        <v>32</v>
      </c>
      <c r="B9" s="62" t="s">
        <v>156</v>
      </c>
      <c r="C9" s="62" t="s">
        <v>201</v>
      </c>
      <c r="D9" s="62"/>
      <c r="E9" s="62">
        <f t="shared" si="2"/>
        <v>15</v>
      </c>
      <c r="F9" s="128">
        <v>127</v>
      </c>
      <c r="G9" s="129">
        <v>3131.2031897193801</v>
      </c>
      <c r="H9" s="129">
        <v>2608.0750688608705</v>
      </c>
      <c r="I9" s="129">
        <v>3728.1053979754638</v>
      </c>
      <c r="J9" s="129"/>
      <c r="K9" s="129"/>
      <c r="L9" s="129"/>
      <c r="M9" s="60">
        <f t="shared" si="0"/>
        <v>5</v>
      </c>
      <c r="N9" s="61">
        <f t="shared" si="3"/>
        <v>1833.2618332618331</v>
      </c>
      <c r="O9" s="61">
        <f t="shared" si="16"/>
        <v>2943.3170365455744</v>
      </c>
      <c r="P9" s="129">
        <f t="shared" si="4"/>
        <v>3071.5794179164795</v>
      </c>
      <c r="Q9" s="129">
        <f t="shared" si="5"/>
        <v>2968.5358803535109</v>
      </c>
      <c r="R9" s="129">
        <f t="shared" si="6"/>
        <v>3177.2728346237741</v>
      </c>
      <c r="S9" s="61">
        <f t="shared" si="7"/>
        <v>3249.9845448201913</v>
      </c>
      <c r="T9" s="61">
        <f t="shared" si="1"/>
        <v>5339.3510967946149</v>
      </c>
      <c r="U9" s="61">
        <f t="shared" si="17"/>
        <v>2946.4179882457047</v>
      </c>
      <c r="V9" s="61"/>
      <c r="X9" s="63"/>
      <c r="Y9" s="159" t="s">
        <v>45</v>
      </c>
      <c r="Z9" s="159" t="s">
        <v>67</v>
      </c>
      <c r="AA9" s="159" t="s">
        <v>163</v>
      </c>
      <c r="AB9" s="159">
        <f t="shared" si="8"/>
        <v>1</v>
      </c>
      <c r="AC9" s="164">
        <f t="shared" si="18"/>
        <v>2755.9409731781707</v>
      </c>
      <c r="AD9" s="164">
        <f t="shared" si="9"/>
        <v>3545.0739815281686</v>
      </c>
      <c r="AE9" s="159"/>
      <c r="AF9" s="159">
        <f t="shared" si="10"/>
        <v>5</v>
      </c>
      <c r="AG9" s="160">
        <f t="shared" si="11"/>
        <v>119</v>
      </c>
      <c r="AH9" s="161">
        <f t="shared" si="12"/>
        <v>2755.9409731781707</v>
      </c>
      <c r="AI9" s="161">
        <f t="shared" si="13"/>
        <v>2280.7140644337596</v>
      </c>
      <c r="AJ9" s="161">
        <f t="shared" si="14"/>
        <v>3300.5724408510164</v>
      </c>
      <c r="AK9" s="160">
        <f t="shared" si="15"/>
        <v>5</v>
      </c>
    </row>
    <row r="10" spans="1:37" x14ac:dyDescent="0.2">
      <c r="A10" s="62" t="s">
        <v>33</v>
      </c>
      <c r="B10" s="62" t="s">
        <v>58</v>
      </c>
      <c r="C10" s="62" t="s">
        <v>163</v>
      </c>
      <c r="D10" s="62"/>
      <c r="E10" s="62">
        <f t="shared" si="2"/>
        <v>16</v>
      </c>
      <c r="F10" s="128">
        <v>160</v>
      </c>
      <c r="G10" s="129">
        <v>3206.5668534762217</v>
      </c>
      <c r="H10" s="129">
        <v>2722.7806893899565</v>
      </c>
      <c r="I10" s="129">
        <v>3750.6490806686652</v>
      </c>
      <c r="J10" s="129"/>
      <c r="K10" s="129"/>
      <c r="L10" s="129"/>
      <c r="M10" s="60">
        <f t="shared" si="0"/>
        <v>5</v>
      </c>
      <c r="N10" s="61">
        <f t="shared" si="3"/>
        <v>1833.2618332618331</v>
      </c>
      <c r="O10" s="61">
        <f t="shared" si="16"/>
        <v>2943.3170365455744</v>
      </c>
      <c r="P10" s="129">
        <f t="shared" si="4"/>
        <v>3071.5794179164795</v>
      </c>
      <c r="Q10" s="129">
        <f t="shared" si="5"/>
        <v>2968.5358803535109</v>
      </c>
      <c r="R10" s="129">
        <f t="shared" si="6"/>
        <v>3177.2728346237741</v>
      </c>
      <c r="S10" s="61">
        <f t="shared" si="7"/>
        <v>3249.9845448201913</v>
      </c>
      <c r="T10" s="61">
        <f t="shared" si="1"/>
        <v>5339.3510967946149</v>
      </c>
      <c r="U10" s="61">
        <f t="shared" si="17"/>
        <v>3068.3957813556617</v>
      </c>
      <c r="V10" s="61"/>
      <c r="Y10" s="159" t="s">
        <v>46</v>
      </c>
      <c r="Z10" s="159" t="s">
        <v>68</v>
      </c>
      <c r="AA10" s="159" t="s">
        <v>163</v>
      </c>
      <c r="AB10" s="159">
        <f t="shared" si="8"/>
        <v>4</v>
      </c>
      <c r="AC10" s="164">
        <f t="shared" si="18"/>
        <v>2755.9409731781707</v>
      </c>
      <c r="AD10" s="164">
        <f t="shared" si="9"/>
        <v>3545.0739815281686</v>
      </c>
      <c r="AE10" s="159"/>
      <c r="AF10" s="159">
        <f t="shared" si="10"/>
        <v>14</v>
      </c>
      <c r="AG10" s="160">
        <f t="shared" si="11"/>
        <v>236</v>
      </c>
      <c r="AH10" s="161">
        <f t="shared" si="12"/>
        <v>3128.5452986346891</v>
      </c>
      <c r="AI10" s="161">
        <f t="shared" si="13"/>
        <v>2736.7554445700525</v>
      </c>
      <c r="AJ10" s="161">
        <f t="shared" si="14"/>
        <v>3560.0772096575943</v>
      </c>
      <c r="AK10" s="160">
        <f t="shared" si="15"/>
        <v>5</v>
      </c>
    </row>
    <row r="11" spans="1:37" x14ac:dyDescent="0.2">
      <c r="A11" s="62" t="s">
        <v>34</v>
      </c>
      <c r="B11" s="62" t="s">
        <v>59</v>
      </c>
      <c r="C11" s="62" t="s">
        <v>200</v>
      </c>
      <c r="D11" s="62"/>
      <c r="E11" s="62">
        <f t="shared" si="2"/>
        <v>7</v>
      </c>
      <c r="F11" s="128">
        <v>177</v>
      </c>
      <c r="G11" s="129">
        <v>2943.3170365455744</v>
      </c>
      <c r="H11" s="129">
        <v>2521.3209853114809</v>
      </c>
      <c r="I11" s="129">
        <v>3415.1568061589956</v>
      </c>
      <c r="J11" s="129"/>
      <c r="K11" s="129"/>
      <c r="L11" s="129"/>
      <c r="M11" s="60">
        <f t="shared" si="0"/>
        <v>5</v>
      </c>
      <c r="N11" s="61">
        <f t="shared" si="3"/>
        <v>1833.2618332618331</v>
      </c>
      <c r="O11" s="61">
        <f t="shared" si="16"/>
        <v>2943.3170365455744</v>
      </c>
      <c r="P11" s="129">
        <f t="shared" si="4"/>
        <v>3071.5794179164795</v>
      </c>
      <c r="Q11" s="129">
        <f t="shared" si="5"/>
        <v>2968.5358803535109</v>
      </c>
      <c r="R11" s="129">
        <f t="shared" si="6"/>
        <v>3177.2728346237741</v>
      </c>
      <c r="S11" s="61">
        <f t="shared" si="7"/>
        <v>3249.9845448201913</v>
      </c>
      <c r="T11" s="61">
        <f t="shared" si="1"/>
        <v>5339.3510967946149</v>
      </c>
      <c r="U11" s="61">
        <f t="shared" si="17"/>
        <v>3183.7797495473205</v>
      </c>
      <c r="V11" s="61"/>
      <c r="Y11" s="159" t="s">
        <v>47</v>
      </c>
      <c r="Z11" s="159" t="s">
        <v>69</v>
      </c>
      <c r="AA11" s="159" t="s">
        <v>163</v>
      </c>
      <c r="AB11" s="159">
        <f t="shared" si="8"/>
        <v>7</v>
      </c>
      <c r="AC11" s="164">
        <f t="shared" si="18"/>
        <v>2755.9409731781707</v>
      </c>
      <c r="AD11" s="164">
        <f t="shared" si="9"/>
        <v>3545.0739815281686</v>
      </c>
      <c r="AE11" s="159"/>
      <c r="AF11" s="159">
        <f t="shared" si="10"/>
        <v>20</v>
      </c>
      <c r="AG11" s="160">
        <f t="shared" si="11"/>
        <v>70</v>
      </c>
      <c r="AH11" s="161">
        <f t="shared" si="12"/>
        <v>3249.9845448201913</v>
      </c>
      <c r="AI11" s="161">
        <f t="shared" si="13"/>
        <v>2498.3445279371767</v>
      </c>
      <c r="AJ11" s="161">
        <f t="shared" si="14"/>
        <v>4148.1240279270223</v>
      </c>
      <c r="AK11" s="160">
        <f t="shared" si="15"/>
        <v>5</v>
      </c>
    </row>
    <row r="12" spans="1:37" x14ac:dyDescent="0.2">
      <c r="A12" s="62" t="s">
        <v>35</v>
      </c>
      <c r="B12" s="62" t="s">
        <v>60</v>
      </c>
      <c r="C12" s="62" t="s">
        <v>163</v>
      </c>
      <c r="D12" s="62"/>
      <c r="E12" s="62">
        <f t="shared" si="2"/>
        <v>10</v>
      </c>
      <c r="F12" s="128">
        <v>218</v>
      </c>
      <c r="G12" s="129">
        <v>3011.3787457200415</v>
      </c>
      <c r="H12" s="129">
        <v>2624.0982503686023</v>
      </c>
      <c r="I12" s="129">
        <v>3439.623104953856</v>
      </c>
      <c r="J12" s="129"/>
      <c r="K12" s="129"/>
      <c r="L12" s="129"/>
      <c r="M12" s="60">
        <f t="shared" si="0"/>
        <v>5</v>
      </c>
      <c r="N12" s="61">
        <f t="shared" si="3"/>
        <v>1833.2618332618331</v>
      </c>
      <c r="O12" s="61">
        <f t="shared" si="16"/>
        <v>2943.3170365455744</v>
      </c>
      <c r="P12" s="129">
        <f t="shared" si="4"/>
        <v>3071.5794179164795</v>
      </c>
      <c r="Q12" s="129">
        <f t="shared" si="5"/>
        <v>2968.5358803535109</v>
      </c>
      <c r="R12" s="129">
        <f t="shared" si="6"/>
        <v>3177.2728346237741</v>
      </c>
      <c r="S12" s="61">
        <f t="shared" si="7"/>
        <v>3249.9845448201913</v>
      </c>
      <c r="T12" s="61">
        <f t="shared" si="1"/>
        <v>5339.3510967946149</v>
      </c>
      <c r="U12" s="61">
        <f t="shared" si="17"/>
        <v>3068.3957813556617</v>
      </c>
      <c r="V12" s="61"/>
      <c r="Y12" s="159" t="s">
        <v>50</v>
      </c>
      <c r="Z12" s="159" t="s">
        <v>161</v>
      </c>
      <c r="AA12" s="159" t="s">
        <v>163</v>
      </c>
      <c r="AB12" s="159">
        <f t="shared" si="8"/>
        <v>8</v>
      </c>
      <c r="AC12" s="164">
        <f t="shared" si="18"/>
        <v>2755.9409731781707</v>
      </c>
      <c r="AD12" s="164">
        <f t="shared" si="9"/>
        <v>3545.0739815281686</v>
      </c>
      <c r="AE12" s="159"/>
      <c r="AF12" s="159">
        <f t="shared" si="10"/>
        <v>24</v>
      </c>
      <c r="AG12" s="160">
        <f t="shared" si="11"/>
        <v>94</v>
      </c>
      <c r="AH12" s="161">
        <f t="shared" si="12"/>
        <v>3545.0739815281686</v>
      </c>
      <c r="AI12" s="161">
        <f t="shared" si="13"/>
        <v>2863.2614287794877</v>
      </c>
      <c r="AJ12" s="161">
        <f t="shared" si="14"/>
        <v>4340.0019878547673</v>
      </c>
      <c r="AK12" s="160">
        <f t="shared" si="15"/>
        <v>5</v>
      </c>
    </row>
    <row r="13" spans="1:37" x14ac:dyDescent="0.2">
      <c r="A13" s="62" t="s">
        <v>36</v>
      </c>
      <c r="B13" s="62" t="s">
        <v>61</v>
      </c>
      <c r="C13" s="62" t="s">
        <v>201</v>
      </c>
      <c r="D13" s="62"/>
      <c r="E13" s="62">
        <f t="shared" si="2"/>
        <v>1</v>
      </c>
      <c r="F13" s="128">
        <v>10</v>
      </c>
      <c r="G13" s="129">
        <v>1833.2618332618331</v>
      </c>
      <c r="H13" s="129">
        <v>849.17147046906939</v>
      </c>
      <c r="I13" s="129">
        <v>3417.5062831765463</v>
      </c>
      <c r="J13" s="129"/>
      <c r="K13" s="129"/>
      <c r="L13" s="129"/>
      <c r="M13" s="60">
        <f t="shared" si="0"/>
        <v>5</v>
      </c>
      <c r="N13" s="61">
        <f t="shared" si="3"/>
        <v>1833.2618332618331</v>
      </c>
      <c r="O13" s="61">
        <f t="shared" si="16"/>
        <v>2943.3170365455744</v>
      </c>
      <c r="P13" s="129">
        <f t="shared" si="4"/>
        <v>3071.5794179164795</v>
      </c>
      <c r="Q13" s="129">
        <f t="shared" si="5"/>
        <v>2968.5358803535109</v>
      </c>
      <c r="R13" s="129">
        <f t="shared" si="6"/>
        <v>3177.2728346237741</v>
      </c>
      <c r="S13" s="61">
        <f t="shared" si="7"/>
        <v>3249.9845448201913</v>
      </c>
      <c r="T13" s="61">
        <f t="shared" si="1"/>
        <v>5339.3510967946149</v>
      </c>
      <c r="U13" s="61">
        <f t="shared" si="17"/>
        <v>2946.4179882457047</v>
      </c>
      <c r="V13" s="61"/>
      <c r="Y13" s="159" t="s">
        <v>53</v>
      </c>
      <c r="Z13" s="159" t="s">
        <v>162</v>
      </c>
      <c r="AA13" s="159" t="s">
        <v>163</v>
      </c>
      <c r="AB13" s="159">
        <f>RANK(AH13,$AH$6:$AH$13,1)</f>
        <v>6</v>
      </c>
      <c r="AC13" s="164">
        <f t="shared" si="18"/>
        <v>2755.9409731781707</v>
      </c>
      <c r="AD13" s="164">
        <f t="shared" si="9"/>
        <v>3545.0739815281686</v>
      </c>
      <c r="AE13" s="159"/>
      <c r="AF13" s="159">
        <f t="shared" si="10"/>
        <v>17</v>
      </c>
      <c r="AG13" s="160">
        <f t="shared" si="11"/>
        <v>393</v>
      </c>
      <c r="AH13" s="161">
        <f t="shared" si="12"/>
        <v>3216.0457202536845</v>
      </c>
      <c r="AI13" s="161">
        <f t="shared" si="13"/>
        <v>2904.5461033549477</v>
      </c>
      <c r="AJ13" s="161">
        <f t="shared" si="14"/>
        <v>3551.7353308063998</v>
      </c>
      <c r="AK13" s="160">
        <f t="shared" si="15"/>
        <v>5</v>
      </c>
    </row>
    <row r="14" spans="1:37" x14ac:dyDescent="0.2">
      <c r="A14" s="62" t="s">
        <v>37</v>
      </c>
      <c r="B14" s="62" t="s">
        <v>157</v>
      </c>
      <c r="C14" s="62" t="s">
        <v>201</v>
      </c>
      <c r="D14" s="62"/>
      <c r="E14" s="62">
        <f t="shared" si="2"/>
        <v>9</v>
      </c>
      <c r="F14" s="128">
        <v>99</v>
      </c>
      <c r="G14" s="129">
        <v>3006.222070526343</v>
      </c>
      <c r="H14" s="129">
        <v>2435.3683345434533</v>
      </c>
      <c r="I14" s="129">
        <v>3669.1569338986678</v>
      </c>
      <c r="J14" s="129"/>
      <c r="K14" s="129"/>
      <c r="L14" s="129"/>
      <c r="M14" s="60">
        <f t="shared" si="0"/>
        <v>5</v>
      </c>
      <c r="N14" s="61">
        <f t="shared" si="3"/>
        <v>1833.2618332618331</v>
      </c>
      <c r="O14" s="61">
        <f t="shared" si="16"/>
        <v>2943.3170365455744</v>
      </c>
      <c r="P14" s="129">
        <f t="shared" si="4"/>
        <v>3071.5794179164795</v>
      </c>
      <c r="Q14" s="129">
        <f t="shared" si="5"/>
        <v>2968.5358803535109</v>
      </c>
      <c r="R14" s="129">
        <f t="shared" si="6"/>
        <v>3177.2728346237741</v>
      </c>
      <c r="S14" s="61">
        <f t="shared" si="7"/>
        <v>3249.9845448201913</v>
      </c>
      <c r="T14" s="61">
        <f t="shared" si="1"/>
        <v>5339.3510967946149</v>
      </c>
      <c r="U14" s="61">
        <f t="shared" si="17"/>
        <v>2946.4179882457047</v>
      </c>
      <c r="V14" s="61"/>
      <c r="Y14" s="162" t="s">
        <v>29</v>
      </c>
      <c r="Z14" s="162" t="s">
        <v>55</v>
      </c>
      <c r="AA14" s="162" t="s">
        <v>201</v>
      </c>
      <c r="AB14" s="162">
        <f>RANK(AH14,$AH$14:$AH$22,1)</f>
        <v>4</v>
      </c>
      <c r="AC14" s="165">
        <f t="shared" ref="AC14:AC22" si="19">MIN($AH$14:$AH$22)</f>
        <v>1833.2618332618331</v>
      </c>
      <c r="AD14" s="165">
        <f>MAX($AH$14:$AH$22)</f>
        <v>5339.3510967946149</v>
      </c>
      <c r="AE14" s="162"/>
      <c r="AF14" s="162">
        <f t="shared" si="10"/>
        <v>4</v>
      </c>
      <c r="AG14" s="167">
        <f t="shared" si="11"/>
        <v>69</v>
      </c>
      <c r="AH14" s="165">
        <f t="shared" si="12"/>
        <v>2696.2909249908066</v>
      </c>
      <c r="AI14" s="165">
        <f t="shared" si="13"/>
        <v>2092.9645244688254</v>
      </c>
      <c r="AJ14" s="165">
        <f t="shared" si="14"/>
        <v>3418.1442727777462</v>
      </c>
      <c r="AK14" s="167">
        <f t="shared" si="15"/>
        <v>5</v>
      </c>
    </row>
    <row r="15" spans="1:37" x14ac:dyDescent="0.2">
      <c r="A15" s="62" t="s">
        <v>38</v>
      </c>
      <c r="B15" s="62" t="s">
        <v>62</v>
      </c>
      <c r="C15" s="62" t="s">
        <v>201</v>
      </c>
      <c r="D15" s="62"/>
      <c r="E15" s="62">
        <f t="shared" si="2"/>
        <v>11</v>
      </c>
      <c r="F15" s="128">
        <v>127</v>
      </c>
      <c r="G15" s="129">
        <v>3035.7417015867413</v>
      </c>
      <c r="H15" s="129">
        <v>2522.2643344258831</v>
      </c>
      <c r="I15" s="129">
        <v>3621.6321596352277</v>
      </c>
      <c r="J15" s="129"/>
      <c r="K15" s="129"/>
      <c r="L15" s="129"/>
      <c r="M15" s="60">
        <f t="shared" si="0"/>
        <v>5</v>
      </c>
      <c r="N15" s="61">
        <f t="shared" si="3"/>
        <v>1833.2618332618331</v>
      </c>
      <c r="O15" s="61">
        <f t="shared" si="16"/>
        <v>2943.3170365455744</v>
      </c>
      <c r="P15" s="129">
        <f t="shared" si="4"/>
        <v>3071.5794179164795</v>
      </c>
      <c r="Q15" s="129">
        <f t="shared" si="5"/>
        <v>2968.5358803535109</v>
      </c>
      <c r="R15" s="129">
        <f t="shared" si="6"/>
        <v>3177.2728346237741</v>
      </c>
      <c r="S15" s="61">
        <f t="shared" si="7"/>
        <v>3249.9845448201913</v>
      </c>
      <c r="T15" s="61">
        <f t="shared" si="1"/>
        <v>5339.3510967946149</v>
      </c>
      <c r="U15" s="61">
        <f t="shared" si="17"/>
        <v>2946.4179882457047</v>
      </c>
      <c r="V15" s="61"/>
      <c r="Y15" s="162" t="s">
        <v>32</v>
      </c>
      <c r="Z15" s="162" t="s">
        <v>156</v>
      </c>
      <c r="AA15" s="162" t="s">
        <v>201</v>
      </c>
      <c r="AB15" s="162">
        <f>RANK(AH15,$AH$14:$AH$22,1)</f>
        <v>7</v>
      </c>
      <c r="AC15" s="165">
        <f t="shared" si="19"/>
        <v>1833.2618332618331</v>
      </c>
      <c r="AD15" s="165">
        <f t="shared" ref="AD15:AD22" si="20">MAX($AH$14:$AH$22)</f>
        <v>5339.3510967946149</v>
      </c>
      <c r="AE15" s="162"/>
      <c r="AF15" s="162">
        <f t="shared" si="10"/>
        <v>15</v>
      </c>
      <c r="AG15" s="167">
        <f t="shared" si="11"/>
        <v>127</v>
      </c>
      <c r="AH15" s="165">
        <f t="shared" si="12"/>
        <v>3131.2031897193801</v>
      </c>
      <c r="AI15" s="165">
        <f t="shared" si="13"/>
        <v>2608.0750688608705</v>
      </c>
      <c r="AJ15" s="165">
        <f t="shared" si="14"/>
        <v>3728.1053979754638</v>
      </c>
      <c r="AK15" s="167">
        <f t="shared" si="15"/>
        <v>5</v>
      </c>
    </row>
    <row r="16" spans="1:37" x14ac:dyDescent="0.2">
      <c r="A16" s="62" t="s">
        <v>39</v>
      </c>
      <c r="B16" s="62" t="s">
        <v>158</v>
      </c>
      <c r="C16" s="62" t="s">
        <v>200</v>
      </c>
      <c r="D16" s="62"/>
      <c r="E16" s="62">
        <f t="shared" si="2"/>
        <v>12</v>
      </c>
      <c r="F16" s="128">
        <v>146</v>
      </c>
      <c r="G16" s="129">
        <v>3038.3141713446116</v>
      </c>
      <c r="H16" s="129">
        <v>2563.8246578601793</v>
      </c>
      <c r="I16" s="129">
        <v>3574.9027637570339</v>
      </c>
      <c r="J16" s="129"/>
      <c r="K16" s="129"/>
      <c r="L16" s="129"/>
      <c r="M16" s="60">
        <f t="shared" si="0"/>
        <v>5</v>
      </c>
      <c r="N16" s="61">
        <f t="shared" si="3"/>
        <v>1833.2618332618331</v>
      </c>
      <c r="O16" s="61">
        <f t="shared" si="16"/>
        <v>2943.3170365455744</v>
      </c>
      <c r="P16" s="129">
        <f t="shared" si="4"/>
        <v>3071.5794179164795</v>
      </c>
      <c r="Q16" s="129">
        <f t="shared" si="5"/>
        <v>2968.5358803535109</v>
      </c>
      <c r="R16" s="129">
        <f t="shared" si="6"/>
        <v>3177.2728346237741</v>
      </c>
      <c r="S16" s="61">
        <f t="shared" si="7"/>
        <v>3249.9845448201913</v>
      </c>
      <c r="T16" s="61">
        <f t="shared" si="1"/>
        <v>5339.3510967946149</v>
      </c>
      <c r="U16" s="61">
        <f t="shared" si="17"/>
        <v>3183.7797495473205</v>
      </c>
      <c r="V16" s="61"/>
      <c r="Y16" s="162" t="s">
        <v>36</v>
      </c>
      <c r="Z16" s="162" t="s">
        <v>61</v>
      </c>
      <c r="AA16" s="162" t="s">
        <v>201</v>
      </c>
      <c r="AB16" s="162">
        <f>RANK(AH16,$AH$14:$AH$22,1)</f>
        <v>1</v>
      </c>
      <c r="AC16" s="165">
        <f t="shared" si="19"/>
        <v>1833.2618332618331</v>
      </c>
      <c r="AD16" s="165">
        <f t="shared" si="20"/>
        <v>5339.3510967946149</v>
      </c>
      <c r="AE16" s="162"/>
      <c r="AF16" s="162">
        <f t="shared" si="10"/>
        <v>1</v>
      </c>
      <c r="AG16" s="167">
        <f t="shared" si="11"/>
        <v>10</v>
      </c>
      <c r="AH16" s="165">
        <f t="shared" si="12"/>
        <v>1833.2618332618331</v>
      </c>
      <c r="AI16" s="165">
        <f t="shared" si="13"/>
        <v>849.17147046906939</v>
      </c>
      <c r="AJ16" s="165">
        <f t="shared" si="14"/>
        <v>3417.5062831765463</v>
      </c>
      <c r="AK16" s="167">
        <f t="shared" si="15"/>
        <v>5</v>
      </c>
    </row>
    <row r="17" spans="1:37" x14ac:dyDescent="0.2">
      <c r="A17" s="62" t="s">
        <v>40</v>
      </c>
      <c r="B17" s="62" t="s">
        <v>63</v>
      </c>
      <c r="C17" s="62" t="s">
        <v>200</v>
      </c>
      <c r="D17" s="62"/>
      <c r="E17" s="62">
        <f t="shared" si="2"/>
        <v>13</v>
      </c>
      <c r="F17" s="128">
        <v>92</v>
      </c>
      <c r="G17" s="129">
        <v>3085.1662295789001</v>
      </c>
      <c r="H17" s="129">
        <v>2469.788235120242</v>
      </c>
      <c r="I17" s="129">
        <v>3803.8378997384143</v>
      </c>
      <c r="J17" s="129"/>
      <c r="K17" s="129"/>
      <c r="L17" s="129"/>
      <c r="M17" s="60">
        <f t="shared" si="0"/>
        <v>5</v>
      </c>
      <c r="N17" s="61">
        <f t="shared" si="3"/>
        <v>1833.2618332618331</v>
      </c>
      <c r="O17" s="61">
        <f t="shared" si="16"/>
        <v>2943.3170365455744</v>
      </c>
      <c r="P17" s="129">
        <f t="shared" si="4"/>
        <v>3071.5794179164795</v>
      </c>
      <c r="Q17" s="129">
        <f t="shared" si="5"/>
        <v>2968.5358803535109</v>
      </c>
      <c r="R17" s="129">
        <f t="shared" si="6"/>
        <v>3177.2728346237741</v>
      </c>
      <c r="S17" s="61">
        <f t="shared" si="7"/>
        <v>3249.9845448201913</v>
      </c>
      <c r="T17" s="61">
        <f t="shared" si="1"/>
        <v>5339.3510967946149</v>
      </c>
      <c r="U17" s="61">
        <f t="shared" si="17"/>
        <v>3183.7797495473205</v>
      </c>
      <c r="V17" s="61"/>
      <c r="Y17" s="162" t="s">
        <v>37</v>
      </c>
      <c r="Z17" s="162" t="s">
        <v>157</v>
      </c>
      <c r="AA17" s="162" t="s">
        <v>201</v>
      </c>
      <c r="AB17" s="162">
        <f t="shared" ref="AB17:AB22" si="21">RANK(AH17,$AH$14:$AH$22,1)</f>
        <v>5</v>
      </c>
      <c r="AC17" s="165">
        <f t="shared" si="19"/>
        <v>1833.2618332618331</v>
      </c>
      <c r="AD17" s="165">
        <f>MAX($AH$14:$AH$22)</f>
        <v>5339.3510967946149</v>
      </c>
      <c r="AE17" s="162"/>
      <c r="AF17" s="162">
        <f t="shared" si="10"/>
        <v>9</v>
      </c>
      <c r="AG17" s="167">
        <f t="shared" si="11"/>
        <v>99</v>
      </c>
      <c r="AH17" s="165">
        <f t="shared" si="12"/>
        <v>3006.222070526343</v>
      </c>
      <c r="AI17" s="165">
        <f t="shared" si="13"/>
        <v>2435.3683345434533</v>
      </c>
      <c r="AJ17" s="165">
        <f t="shared" si="14"/>
        <v>3669.1569338986678</v>
      </c>
      <c r="AK17" s="167">
        <f t="shared" si="15"/>
        <v>5</v>
      </c>
    </row>
    <row r="18" spans="1:37" x14ac:dyDescent="0.2">
      <c r="A18" s="62" t="s">
        <v>41</v>
      </c>
      <c r="B18" s="62" t="s">
        <v>64</v>
      </c>
      <c r="C18" s="62" t="s">
        <v>163</v>
      </c>
      <c r="D18" s="62"/>
      <c r="E18" s="62">
        <f t="shared" si="2"/>
        <v>6</v>
      </c>
      <c r="F18" s="128">
        <v>193</v>
      </c>
      <c r="G18" s="129">
        <v>2803.5133411869479</v>
      </c>
      <c r="H18" s="129">
        <v>2420.8768128409811</v>
      </c>
      <c r="I18" s="129">
        <v>3229.3163526222529</v>
      </c>
      <c r="J18" s="129"/>
      <c r="K18" s="129"/>
      <c r="L18" s="129"/>
      <c r="M18" s="60">
        <f t="shared" si="0"/>
        <v>5</v>
      </c>
      <c r="N18" s="61">
        <f t="shared" si="3"/>
        <v>1833.2618332618331</v>
      </c>
      <c r="O18" s="61">
        <f t="shared" si="16"/>
        <v>2943.3170365455744</v>
      </c>
      <c r="P18" s="129">
        <f t="shared" si="4"/>
        <v>3071.5794179164795</v>
      </c>
      <c r="Q18" s="129">
        <f t="shared" si="5"/>
        <v>2968.5358803535109</v>
      </c>
      <c r="R18" s="129">
        <f t="shared" si="6"/>
        <v>3177.2728346237741</v>
      </c>
      <c r="S18" s="61">
        <f t="shared" si="7"/>
        <v>3249.9845448201913</v>
      </c>
      <c r="T18" s="61">
        <f t="shared" si="1"/>
        <v>5339.3510967946149</v>
      </c>
      <c r="U18" s="61">
        <f t="shared" si="17"/>
        <v>3068.3957813556617</v>
      </c>
      <c r="V18" s="61"/>
      <c r="Y18" s="162" t="s">
        <v>38</v>
      </c>
      <c r="Z18" s="162" t="s">
        <v>62</v>
      </c>
      <c r="AA18" s="162" t="s">
        <v>201</v>
      </c>
      <c r="AB18" s="162">
        <f t="shared" si="21"/>
        <v>6</v>
      </c>
      <c r="AC18" s="165">
        <f t="shared" si="19"/>
        <v>1833.2618332618331</v>
      </c>
      <c r="AD18" s="165">
        <f t="shared" si="20"/>
        <v>5339.3510967946149</v>
      </c>
      <c r="AE18" s="162"/>
      <c r="AF18" s="162">
        <f t="shared" si="10"/>
        <v>11</v>
      </c>
      <c r="AG18" s="167">
        <f t="shared" si="11"/>
        <v>127</v>
      </c>
      <c r="AH18" s="165">
        <f t="shared" si="12"/>
        <v>3035.7417015867413</v>
      </c>
      <c r="AI18" s="165">
        <f t="shared" si="13"/>
        <v>2522.2643344258831</v>
      </c>
      <c r="AJ18" s="165">
        <f t="shared" si="14"/>
        <v>3621.6321596352277</v>
      </c>
      <c r="AK18" s="167">
        <f t="shared" si="15"/>
        <v>5</v>
      </c>
    </row>
    <row r="19" spans="1:37" x14ac:dyDescent="0.2">
      <c r="A19" s="62" t="s">
        <v>42</v>
      </c>
      <c r="B19" s="62" t="s">
        <v>65</v>
      </c>
      <c r="C19" s="62" t="s">
        <v>200</v>
      </c>
      <c r="D19" s="62"/>
      <c r="E19" s="62">
        <f t="shared" si="2"/>
        <v>25</v>
      </c>
      <c r="F19" s="128">
        <v>58</v>
      </c>
      <c r="G19" s="129">
        <v>3914.4776323729798</v>
      </c>
      <c r="H19" s="129">
        <v>2969.7236958220269</v>
      </c>
      <c r="I19" s="129">
        <v>5063.5338822566446</v>
      </c>
      <c r="J19" s="129"/>
      <c r="K19" s="129"/>
      <c r="L19" s="129"/>
      <c r="M19" s="60">
        <f t="shared" si="0"/>
        <v>5</v>
      </c>
      <c r="N19" s="61">
        <f t="shared" si="3"/>
        <v>1833.2618332618331</v>
      </c>
      <c r="O19" s="61">
        <f t="shared" si="16"/>
        <v>2943.3170365455744</v>
      </c>
      <c r="P19" s="129">
        <f t="shared" si="4"/>
        <v>3071.5794179164795</v>
      </c>
      <c r="Q19" s="129">
        <f t="shared" si="5"/>
        <v>2968.5358803535109</v>
      </c>
      <c r="R19" s="129">
        <f t="shared" si="6"/>
        <v>3177.2728346237741</v>
      </c>
      <c r="S19" s="61">
        <f t="shared" si="7"/>
        <v>3249.9845448201913</v>
      </c>
      <c r="T19" s="61">
        <f t="shared" si="1"/>
        <v>5339.3510967946149</v>
      </c>
      <c r="U19" s="61">
        <f t="shared" si="17"/>
        <v>3183.7797495473205</v>
      </c>
      <c r="V19" s="61"/>
      <c r="Y19" s="162" t="s">
        <v>43</v>
      </c>
      <c r="Z19" s="162" t="s">
        <v>159</v>
      </c>
      <c r="AA19" s="162" t="s">
        <v>201</v>
      </c>
      <c r="AB19" s="162">
        <f t="shared" si="21"/>
        <v>8</v>
      </c>
      <c r="AC19" s="165">
        <f t="shared" si="19"/>
        <v>1833.2618332618331</v>
      </c>
      <c r="AD19" s="165">
        <f t="shared" si="20"/>
        <v>5339.3510967946149</v>
      </c>
      <c r="AE19" s="162"/>
      <c r="AF19" s="162">
        <f t="shared" si="10"/>
        <v>18</v>
      </c>
      <c r="AG19" s="167">
        <f t="shared" si="11"/>
        <v>165</v>
      </c>
      <c r="AH19" s="165">
        <f t="shared" si="12"/>
        <v>3238.5052817620044</v>
      </c>
      <c r="AI19" s="165">
        <f t="shared" si="13"/>
        <v>2743.1236072749984</v>
      </c>
      <c r="AJ19" s="165">
        <f t="shared" si="14"/>
        <v>3794.6244831466602</v>
      </c>
      <c r="AK19" s="167">
        <f t="shared" si="15"/>
        <v>5</v>
      </c>
    </row>
    <row r="20" spans="1:37" x14ac:dyDescent="0.2">
      <c r="A20" s="62" t="s">
        <v>43</v>
      </c>
      <c r="B20" s="62" t="s">
        <v>159</v>
      </c>
      <c r="C20" s="62" t="s">
        <v>201</v>
      </c>
      <c r="D20" s="62"/>
      <c r="E20" s="62">
        <f t="shared" si="2"/>
        <v>18</v>
      </c>
      <c r="F20" s="128">
        <v>165</v>
      </c>
      <c r="G20" s="129">
        <v>3238.5052817620044</v>
      </c>
      <c r="H20" s="129">
        <v>2743.1236072749984</v>
      </c>
      <c r="I20" s="129">
        <v>3794.6244831466602</v>
      </c>
      <c r="J20" s="129"/>
      <c r="K20" s="129"/>
      <c r="L20" s="129"/>
      <c r="M20" s="60">
        <f t="shared" si="0"/>
        <v>5</v>
      </c>
      <c r="N20" s="61">
        <f t="shared" si="3"/>
        <v>1833.2618332618331</v>
      </c>
      <c r="O20" s="61">
        <f t="shared" si="16"/>
        <v>2943.3170365455744</v>
      </c>
      <c r="P20" s="129">
        <f t="shared" si="4"/>
        <v>3071.5794179164795</v>
      </c>
      <c r="Q20" s="129">
        <f t="shared" si="5"/>
        <v>2968.5358803535109</v>
      </c>
      <c r="R20" s="129">
        <f t="shared" si="6"/>
        <v>3177.2728346237741</v>
      </c>
      <c r="S20" s="61">
        <f t="shared" si="7"/>
        <v>3249.9845448201913</v>
      </c>
      <c r="T20" s="61">
        <f t="shared" si="1"/>
        <v>5339.3510967946149</v>
      </c>
      <c r="U20" s="61">
        <f t="shared" si="17"/>
        <v>2946.4179882457047</v>
      </c>
      <c r="V20" s="61"/>
      <c r="Y20" s="162" t="s">
        <v>48</v>
      </c>
      <c r="Z20" s="162" t="s">
        <v>160</v>
      </c>
      <c r="AA20" s="162" t="s">
        <v>201</v>
      </c>
      <c r="AB20" s="162">
        <f t="shared" si="21"/>
        <v>2</v>
      </c>
      <c r="AC20" s="165">
        <f t="shared" si="19"/>
        <v>1833.2618332618331</v>
      </c>
      <c r="AD20" s="165">
        <f t="shared" si="20"/>
        <v>5339.3510967946149</v>
      </c>
      <c r="AE20" s="162"/>
      <c r="AF20" s="162">
        <f t="shared" si="10"/>
        <v>2</v>
      </c>
      <c r="AG20" s="167">
        <f t="shared" si="11"/>
        <v>70</v>
      </c>
      <c r="AH20" s="165">
        <f t="shared" si="12"/>
        <v>2064.9569776771527</v>
      </c>
      <c r="AI20" s="165">
        <f t="shared" si="13"/>
        <v>1602.1510850486163</v>
      </c>
      <c r="AJ20" s="165">
        <f t="shared" si="14"/>
        <v>2617.966710857555</v>
      </c>
      <c r="AK20" s="167">
        <f t="shared" si="15"/>
        <v>2</v>
      </c>
    </row>
    <row r="21" spans="1:37" x14ac:dyDescent="0.2">
      <c r="A21" s="62" t="s">
        <v>44</v>
      </c>
      <c r="B21" s="62" t="s">
        <v>66</v>
      </c>
      <c r="C21" s="62" t="s">
        <v>200</v>
      </c>
      <c r="D21" s="62"/>
      <c r="E21" s="62">
        <f t="shared" si="2"/>
        <v>8</v>
      </c>
      <c r="F21" s="128">
        <v>79</v>
      </c>
      <c r="G21" s="129">
        <v>3003.6248644032953</v>
      </c>
      <c r="H21" s="129">
        <v>2340.1063939292367</v>
      </c>
      <c r="I21" s="129">
        <v>3788.1649849719574</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5</v>
      </c>
      <c r="N21" s="61">
        <f t="shared" si="3"/>
        <v>1833.2618332618331</v>
      </c>
      <c r="O21" s="61">
        <f t="shared" si="16"/>
        <v>2943.3170365455744</v>
      </c>
      <c r="P21" s="129">
        <f t="shared" si="4"/>
        <v>3071.5794179164795</v>
      </c>
      <c r="Q21" s="129">
        <f t="shared" si="5"/>
        <v>2968.5358803535109</v>
      </c>
      <c r="R21" s="129">
        <f t="shared" si="6"/>
        <v>3177.2728346237741</v>
      </c>
      <c r="S21" s="61">
        <f t="shared" si="7"/>
        <v>3249.9845448201913</v>
      </c>
      <c r="T21" s="61">
        <f t="shared" si="1"/>
        <v>5339.3510967946149</v>
      </c>
      <c r="U21" s="61">
        <f t="shared" si="17"/>
        <v>3183.7797495473205</v>
      </c>
      <c r="V21" s="61"/>
      <c r="Y21" s="162" t="s">
        <v>52</v>
      </c>
      <c r="Z21" s="162" t="s">
        <v>72</v>
      </c>
      <c r="AA21" s="162" t="s">
        <v>201</v>
      </c>
      <c r="AB21" s="162">
        <f t="shared" si="21"/>
        <v>3</v>
      </c>
      <c r="AC21" s="165">
        <f t="shared" si="19"/>
        <v>1833.2618332618331</v>
      </c>
      <c r="AD21" s="165">
        <f t="shared" si="20"/>
        <v>5339.3510967946149</v>
      </c>
      <c r="AE21" s="162"/>
      <c r="AF21" s="162">
        <f t="shared" si="10"/>
        <v>3</v>
      </c>
      <c r="AG21" s="167">
        <f t="shared" si="11"/>
        <v>35</v>
      </c>
      <c r="AH21" s="165">
        <f t="shared" si="12"/>
        <v>2338.3075744884663</v>
      </c>
      <c r="AI21" s="165">
        <f t="shared" si="13"/>
        <v>1489.5355369845097</v>
      </c>
      <c r="AJ21" s="165">
        <f t="shared" si="14"/>
        <v>3430.9891556965003</v>
      </c>
      <c r="AK21" s="167">
        <f t="shared" si="15"/>
        <v>5</v>
      </c>
    </row>
    <row r="22" spans="1:37" x14ac:dyDescent="0.2">
      <c r="A22" s="62" t="s">
        <v>45</v>
      </c>
      <c r="B22" s="62" t="s">
        <v>67</v>
      </c>
      <c r="C22" s="62" t="s">
        <v>163</v>
      </c>
      <c r="D22" s="62"/>
      <c r="E22" s="62">
        <f t="shared" si="2"/>
        <v>5</v>
      </c>
      <c r="F22" s="128">
        <v>119</v>
      </c>
      <c r="G22" s="129">
        <v>2755.9409731781707</v>
      </c>
      <c r="H22" s="129">
        <v>2280.7140644337596</v>
      </c>
      <c r="I22" s="129">
        <v>3300.5724408510164</v>
      </c>
      <c r="J22" s="129"/>
      <c r="K22" s="129"/>
      <c r="L22" s="129"/>
      <c r="M22" s="60">
        <f t="shared" si="0"/>
        <v>5</v>
      </c>
      <c r="N22" s="61">
        <f t="shared" si="3"/>
        <v>1833.2618332618331</v>
      </c>
      <c r="O22" s="61">
        <f t="shared" si="16"/>
        <v>2943.3170365455744</v>
      </c>
      <c r="P22" s="129">
        <f t="shared" si="4"/>
        <v>3071.5794179164795</v>
      </c>
      <c r="Q22" s="129">
        <f t="shared" si="5"/>
        <v>2968.5358803535109</v>
      </c>
      <c r="R22" s="129">
        <f t="shared" si="6"/>
        <v>3177.2728346237741</v>
      </c>
      <c r="S22" s="61">
        <f t="shared" si="7"/>
        <v>3249.9845448201913</v>
      </c>
      <c r="T22" s="61">
        <f t="shared" si="1"/>
        <v>5339.3510967946149</v>
      </c>
      <c r="U22" s="61">
        <f>VLOOKUP(C22,$C$43:$I$46,5,FALSE)</f>
        <v>3068.3957813556617</v>
      </c>
      <c r="V22" s="61"/>
      <c r="Y22" s="162" t="s">
        <v>54</v>
      </c>
      <c r="Z22" s="162" t="s">
        <v>73</v>
      </c>
      <c r="AA22" s="162" t="s">
        <v>201</v>
      </c>
      <c r="AB22" s="162">
        <f t="shared" si="21"/>
        <v>9</v>
      </c>
      <c r="AC22" s="165">
        <f t="shared" si="19"/>
        <v>1833.2618332618331</v>
      </c>
      <c r="AD22" s="165">
        <f t="shared" si="20"/>
        <v>5339.3510967946149</v>
      </c>
      <c r="AE22" s="162"/>
      <c r="AF22" s="162">
        <f t="shared" si="10"/>
        <v>26</v>
      </c>
      <c r="AG22" s="167">
        <f t="shared" si="11"/>
        <v>63</v>
      </c>
      <c r="AH22" s="165">
        <f t="shared" si="12"/>
        <v>5339.3510967946149</v>
      </c>
      <c r="AI22" s="165">
        <f t="shared" si="13"/>
        <v>3979.7598278567007</v>
      </c>
      <c r="AJ22" s="165">
        <f t="shared" si="14"/>
        <v>6979.7881220752752</v>
      </c>
      <c r="AK22" s="167">
        <f t="shared" si="15"/>
        <v>1</v>
      </c>
    </row>
    <row r="23" spans="1:37" x14ac:dyDescent="0.2">
      <c r="A23" s="62" t="s">
        <v>46</v>
      </c>
      <c r="B23" s="62" t="s">
        <v>68</v>
      </c>
      <c r="C23" s="62" t="s">
        <v>163</v>
      </c>
      <c r="D23" s="62"/>
      <c r="E23" s="62">
        <f t="shared" si="2"/>
        <v>14</v>
      </c>
      <c r="F23" s="128">
        <v>236</v>
      </c>
      <c r="G23" s="129">
        <v>3128.5452986346891</v>
      </c>
      <c r="H23" s="129">
        <v>2736.7554445700525</v>
      </c>
      <c r="I23" s="129">
        <v>3560.0772096575943</v>
      </c>
      <c r="J23" s="129"/>
      <c r="K23" s="129"/>
      <c r="L23" s="129"/>
      <c r="M23" s="60">
        <f t="shared" si="0"/>
        <v>5</v>
      </c>
      <c r="N23" s="61">
        <f t="shared" si="3"/>
        <v>1833.2618332618331</v>
      </c>
      <c r="O23" s="61">
        <f t="shared" si="16"/>
        <v>2943.3170365455744</v>
      </c>
      <c r="P23" s="129">
        <f t="shared" si="4"/>
        <v>3071.5794179164795</v>
      </c>
      <c r="Q23" s="129">
        <f t="shared" si="5"/>
        <v>2968.5358803535109</v>
      </c>
      <c r="R23" s="129">
        <f t="shared" si="6"/>
        <v>3177.2728346237741</v>
      </c>
      <c r="S23" s="61">
        <f t="shared" si="7"/>
        <v>3249.9845448201913</v>
      </c>
      <c r="T23" s="61">
        <f t="shared" si="1"/>
        <v>5339.3510967946149</v>
      </c>
      <c r="U23" s="61">
        <f t="shared" si="17"/>
        <v>3068.3957813556617</v>
      </c>
      <c r="V23" s="61"/>
      <c r="Y23" s="163" t="s">
        <v>30</v>
      </c>
      <c r="Z23" s="163" t="s">
        <v>56</v>
      </c>
      <c r="AA23" s="163" t="s">
        <v>200</v>
      </c>
      <c r="AB23" s="163">
        <f>RANK(AH23,$AH$23:$AH$31,1)</f>
        <v>6</v>
      </c>
      <c r="AC23" s="166">
        <f>MIN($AH$23:$AH$31)</f>
        <v>2943.3170365455744</v>
      </c>
      <c r="AD23" s="166">
        <f>MAX($AH$23:$AH$31)</f>
        <v>3914.4776323729798</v>
      </c>
      <c r="AE23" s="163"/>
      <c r="AF23" s="163">
        <f t="shared" si="10"/>
        <v>21</v>
      </c>
      <c r="AG23" s="168">
        <f t="shared" si="11"/>
        <v>169</v>
      </c>
      <c r="AH23" s="166">
        <f t="shared" si="12"/>
        <v>3263.8154898905063</v>
      </c>
      <c r="AI23" s="166">
        <f t="shared" si="13"/>
        <v>2783.6485750896845</v>
      </c>
      <c r="AJ23" s="166">
        <f t="shared" si="14"/>
        <v>3802.1087504409556</v>
      </c>
      <c r="AK23" s="168">
        <f t="shared" si="15"/>
        <v>5</v>
      </c>
    </row>
    <row r="24" spans="1:37" x14ac:dyDescent="0.2">
      <c r="A24" s="62" t="s">
        <v>47</v>
      </c>
      <c r="B24" s="62" t="s">
        <v>69</v>
      </c>
      <c r="C24" s="62" t="s">
        <v>163</v>
      </c>
      <c r="D24" s="62"/>
      <c r="E24" s="62">
        <f t="shared" si="2"/>
        <v>20</v>
      </c>
      <c r="F24" s="128">
        <v>70</v>
      </c>
      <c r="G24" s="129">
        <v>3249.9845448201913</v>
      </c>
      <c r="H24" s="129">
        <v>2498.3445279371767</v>
      </c>
      <c r="I24" s="129">
        <v>4148.1240279270223</v>
      </c>
      <c r="J24" s="129"/>
      <c r="K24" s="129"/>
      <c r="L24" s="129"/>
      <c r="M24" s="60">
        <f t="shared" si="0"/>
        <v>5</v>
      </c>
      <c r="N24" s="61">
        <f t="shared" si="3"/>
        <v>1833.2618332618331</v>
      </c>
      <c r="O24" s="61">
        <f t="shared" si="16"/>
        <v>2943.3170365455744</v>
      </c>
      <c r="P24" s="129">
        <f t="shared" si="4"/>
        <v>3071.5794179164795</v>
      </c>
      <c r="Q24" s="129">
        <f t="shared" si="5"/>
        <v>2968.5358803535109</v>
      </c>
      <c r="R24" s="129">
        <f t="shared" si="6"/>
        <v>3177.2728346237741</v>
      </c>
      <c r="S24" s="61">
        <f t="shared" si="7"/>
        <v>3249.9845448201913</v>
      </c>
      <c r="T24" s="61">
        <f t="shared" si="1"/>
        <v>5339.3510967946149</v>
      </c>
      <c r="U24" s="61">
        <f t="shared" si="17"/>
        <v>3068.3957813556617</v>
      </c>
      <c r="V24" s="61"/>
      <c r="Y24" s="163" t="s">
        <v>31</v>
      </c>
      <c r="Z24" s="163" t="s">
        <v>57</v>
      </c>
      <c r="AA24" s="163" t="s">
        <v>200</v>
      </c>
      <c r="AB24" s="163">
        <f t="shared" ref="AB24:AB31" si="22">RANK(AH24,$AH$23:$AH$31,1)</f>
        <v>8</v>
      </c>
      <c r="AC24" s="166">
        <f t="shared" ref="AC24:AC31" si="23">MIN($AH$23:$AH$31)</f>
        <v>2943.3170365455744</v>
      </c>
      <c r="AD24" s="166">
        <f t="shared" ref="AD24:AD31" si="24">MAX($AH$23:$AH$31)</f>
        <v>3914.4776323729798</v>
      </c>
      <c r="AE24" s="163"/>
      <c r="AF24" s="163">
        <f t="shared" si="10"/>
        <v>23</v>
      </c>
      <c r="AG24" s="168">
        <f t="shared" si="11"/>
        <v>259</v>
      </c>
      <c r="AH24" s="166">
        <f t="shared" si="12"/>
        <v>3388.009885230671</v>
      </c>
      <c r="AI24" s="166">
        <f t="shared" si="13"/>
        <v>2986.154849039513</v>
      </c>
      <c r="AJ24" s="166">
        <f t="shared" si="14"/>
        <v>3828.6805053158046</v>
      </c>
      <c r="AK24" s="168">
        <f t="shared" si="15"/>
        <v>5</v>
      </c>
    </row>
    <row r="25" spans="1:37" x14ac:dyDescent="0.2">
      <c r="A25" s="62" t="s">
        <v>48</v>
      </c>
      <c r="B25" s="62" t="s">
        <v>160</v>
      </c>
      <c r="C25" s="62" t="s">
        <v>201</v>
      </c>
      <c r="D25" s="62"/>
      <c r="E25" s="62">
        <f t="shared" si="2"/>
        <v>2</v>
      </c>
      <c r="F25" s="128">
        <v>70</v>
      </c>
      <c r="G25" s="129">
        <v>2064.9569776771527</v>
      </c>
      <c r="H25" s="129">
        <v>1602.1510850486163</v>
      </c>
      <c r="I25" s="129">
        <v>2617.966710857555</v>
      </c>
      <c r="J25" s="129"/>
      <c r="K25" s="129"/>
      <c r="L25" s="129"/>
      <c r="M25" s="60">
        <f t="shared" si="0"/>
        <v>2</v>
      </c>
      <c r="N25" s="61">
        <f t="shared" si="3"/>
        <v>1833.2618332618331</v>
      </c>
      <c r="O25" s="61">
        <f t="shared" si="16"/>
        <v>2943.3170365455744</v>
      </c>
      <c r="P25" s="129">
        <f t="shared" si="4"/>
        <v>3071.5794179164795</v>
      </c>
      <c r="Q25" s="129">
        <f t="shared" si="5"/>
        <v>2968.5358803535109</v>
      </c>
      <c r="R25" s="129">
        <f t="shared" si="6"/>
        <v>3177.2728346237741</v>
      </c>
      <c r="S25" s="61">
        <f t="shared" si="7"/>
        <v>3249.9845448201913</v>
      </c>
      <c r="T25" s="61">
        <f t="shared" si="1"/>
        <v>5339.3510967946149</v>
      </c>
      <c r="U25" s="61">
        <f t="shared" si="17"/>
        <v>2946.4179882457047</v>
      </c>
      <c r="V25" s="61"/>
      <c r="Y25" s="163" t="s">
        <v>34</v>
      </c>
      <c r="Z25" s="163" t="s">
        <v>59</v>
      </c>
      <c r="AA25" s="163" t="s">
        <v>200</v>
      </c>
      <c r="AB25" s="163">
        <f t="shared" si="22"/>
        <v>1</v>
      </c>
      <c r="AC25" s="166">
        <f t="shared" si="23"/>
        <v>2943.3170365455744</v>
      </c>
      <c r="AD25" s="166">
        <f t="shared" si="24"/>
        <v>3914.4776323729798</v>
      </c>
      <c r="AE25" s="163"/>
      <c r="AF25" s="163">
        <f t="shared" si="10"/>
        <v>7</v>
      </c>
      <c r="AG25" s="168">
        <f t="shared" si="11"/>
        <v>177</v>
      </c>
      <c r="AH25" s="166">
        <f t="shared" si="12"/>
        <v>2943.3170365455744</v>
      </c>
      <c r="AI25" s="166">
        <f t="shared" si="13"/>
        <v>2521.3209853114809</v>
      </c>
      <c r="AJ25" s="166">
        <f t="shared" si="14"/>
        <v>3415.1568061589956</v>
      </c>
      <c r="AK25" s="168">
        <f t="shared" si="15"/>
        <v>5</v>
      </c>
    </row>
    <row r="26" spans="1:37" x14ac:dyDescent="0.2">
      <c r="A26" s="62" t="s">
        <v>49</v>
      </c>
      <c r="B26" s="62" t="s">
        <v>70</v>
      </c>
      <c r="C26" s="62" t="s">
        <v>200</v>
      </c>
      <c r="D26" s="62"/>
      <c r="E26" s="62">
        <f t="shared" si="2"/>
        <v>22</v>
      </c>
      <c r="F26" s="128">
        <v>114</v>
      </c>
      <c r="G26" s="129">
        <v>3294.3653065071812</v>
      </c>
      <c r="H26" s="129">
        <v>2706.4218243567429</v>
      </c>
      <c r="I26" s="129">
        <v>3970.1835696280232</v>
      </c>
      <c r="J26" s="129"/>
      <c r="K26" s="129"/>
      <c r="L26" s="129"/>
      <c r="M26" s="60">
        <f t="shared" si="0"/>
        <v>5</v>
      </c>
      <c r="N26" s="61">
        <f t="shared" si="3"/>
        <v>1833.2618332618331</v>
      </c>
      <c r="O26" s="61">
        <f t="shared" si="16"/>
        <v>2943.3170365455744</v>
      </c>
      <c r="P26" s="129">
        <f t="shared" si="4"/>
        <v>3071.5794179164795</v>
      </c>
      <c r="Q26" s="129">
        <f t="shared" si="5"/>
        <v>2968.5358803535109</v>
      </c>
      <c r="R26" s="129">
        <f t="shared" si="6"/>
        <v>3177.2728346237741</v>
      </c>
      <c r="S26" s="61">
        <f t="shared" si="7"/>
        <v>3249.9845448201913</v>
      </c>
      <c r="T26" s="61">
        <f t="shared" si="1"/>
        <v>5339.3510967946149</v>
      </c>
      <c r="U26" s="61">
        <f t="shared" si="17"/>
        <v>3183.7797495473205</v>
      </c>
      <c r="V26" s="61"/>
      <c r="Y26" s="163" t="s">
        <v>39</v>
      </c>
      <c r="Z26" s="163" t="s">
        <v>158</v>
      </c>
      <c r="AA26" s="163" t="s">
        <v>200</v>
      </c>
      <c r="AB26" s="163">
        <f t="shared" si="22"/>
        <v>3</v>
      </c>
      <c r="AC26" s="166">
        <f t="shared" si="23"/>
        <v>2943.3170365455744</v>
      </c>
      <c r="AD26" s="166">
        <f t="shared" si="24"/>
        <v>3914.4776323729798</v>
      </c>
      <c r="AE26" s="163"/>
      <c r="AF26" s="163">
        <f t="shared" si="10"/>
        <v>12</v>
      </c>
      <c r="AG26" s="168">
        <f t="shared" si="11"/>
        <v>146</v>
      </c>
      <c r="AH26" s="166">
        <f t="shared" si="12"/>
        <v>3038.3141713446116</v>
      </c>
      <c r="AI26" s="166">
        <f t="shared" si="13"/>
        <v>2563.8246578601793</v>
      </c>
      <c r="AJ26" s="166">
        <f t="shared" si="14"/>
        <v>3574.9027637570339</v>
      </c>
      <c r="AK26" s="168">
        <f t="shared" si="15"/>
        <v>5</v>
      </c>
    </row>
    <row r="27" spans="1:37" x14ac:dyDescent="0.2">
      <c r="A27" s="62" t="s">
        <v>50</v>
      </c>
      <c r="B27" s="62" t="s">
        <v>161</v>
      </c>
      <c r="C27" s="62" t="s">
        <v>163</v>
      </c>
      <c r="D27" s="62"/>
      <c r="E27" s="62">
        <f t="shared" si="2"/>
        <v>24</v>
      </c>
      <c r="F27" s="128">
        <v>94</v>
      </c>
      <c r="G27" s="129">
        <v>3545.0739815281686</v>
      </c>
      <c r="H27" s="129">
        <v>2863.2614287794877</v>
      </c>
      <c r="I27" s="129">
        <v>4340.0019878547673</v>
      </c>
      <c r="J27" s="129"/>
      <c r="K27" s="129"/>
      <c r="L27" s="129"/>
      <c r="M27" s="60">
        <f t="shared" si="0"/>
        <v>5</v>
      </c>
      <c r="N27" s="61">
        <f t="shared" si="3"/>
        <v>1833.2618332618331</v>
      </c>
      <c r="O27" s="61">
        <f t="shared" si="16"/>
        <v>2943.3170365455744</v>
      </c>
      <c r="P27" s="129">
        <f t="shared" si="4"/>
        <v>3071.5794179164795</v>
      </c>
      <c r="Q27" s="129">
        <f t="shared" si="5"/>
        <v>2968.5358803535109</v>
      </c>
      <c r="R27" s="129">
        <f t="shared" si="6"/>
        <v>3177.2728346237741</v>
      </c>
      <c r="S27" s="61">
        <f t="shared" si="7"/>
        <v>3249.9845448201913</v>
      </c>
      <c r="T27" s="61">
        <f t="shared" si="1"/>
        <v>5339.3510967946149</v>
      </c>
      <c r="U27" s="61">
        <f t="shared" si="17"/>
        <v>3068.3957813556617</v>
      </c>
      <c r="V27" s="61"/>
      <c r="Y27" s="163" t="s">
        <v>40</v>
      </c>
      <c r="Z27" s="163" t="s">
        <v>63</v>
      </c>
      <c r="AA27" s="163" t="s">
        <v>200</v>
      </c>
      <c r="AB27" s="163">
        <f t="shared" si="22"/>
        <v>4</v>
      </c>
      <c r="AC27" s="166">
        <f t="shared" si="23"/>
        <v>2943.3170365455744</v>
      </c>
      <c r="AD27" s="166">
        <f t="shared" si="24"/>
        <v>3914.4776323729798</v>
      </c>
      <c r="AE27" s="163"/>
      <c r="AF27" s="163">
        <f t="shared" si="10"/>
        <v>13</v>
      </c>
      <c r="AG27" s="168">
        <f t="shared" si="11"/>
        <v>92</v>
      </c>
      <c r="AH27" s="166">
        <f t="shared" si="12"/>
        <v>3085.1662295789001</v>
      </c>
      <c r="AI27" s="166">
        <f t="shared" si="13"/>
        <v>2469.788235120242</v>
      </c>
      <c r="AJ27" s="166">
        <f t="shared" si="14"/>
        <v>3803.8378997384143</v>
      </c>
      <c r="AK27" s="168">
        <f t="shared" si="15"/>
        <v>5</v>
      </c>
    </row>
    <row r="28" spans="1:37" x14ac:dyDescent="0.2">
      <c r="A28" s="62" t="s">
        <v>51</v>
      </c>
      <c r="B28" s="62" t="s">
        <v>71</v>
      </c>
      <c r="C28" s="62" t="s">
        <v>200</v>
      </c>
      <c r="D28" s="62"/>
      <c r="E28" s="62">
        <f t="shared" si="2"/>
        <v>19</v>
      </c>
      <c r="F28" s="128">
        <v>50</v>
      </c>
      <c r="G28" s="129">
        <v>3246.8385125637919</v>
      </c>
      <c r="H28" s="129">
        <v>2383.4058815042572</v>
      </c>
      <c r="I28" s="129">
        <v>4313.0881124890566</v>
      </c>
      <c r="J28" s="129"/>
      <c r="K28" s="129"/>
      <c r="L28" s="129"/>
      <c r="M28" s="60">
        <f t="shared" si="0"/>
        <v>5</v>
      </c>
      <c r="N28" s="61">
        <f t="shared" si="3"/>
        <v>1833.2618332618331</v>
      </c>
      <c r="O28" s="61">
        <f t="shared" si="16"/>
        <v>2943.3170365455744</v>
      </c>
      <c r="P28" s="129">
        <f t="shared" si="4"/>
        <v>3071.5794179164795</v>
      </c>
      <c r="Q28" s="129">
        <f t="shared" si="5"/>
        <v>2968.5358803535109</v>
      </c>
      <c r="R28" s="129">
        <f t="shared" si="6"/>
        <v>3177.2728346237741</v>
      </c>
      <c r="S28" s="61">
        <f t="shared" si="7"/>
        <v>3249.9845448201913</v>
      </c>
      <c r="T28" s="61">
        <f t="shared" si="1"/>
        <v>5339.3510967946149</v>
      </c>
      <c r="U28" s="61">
        <f t="shared" si="17"/>
        <v>3183.7797495473205</v>
      </c>
      <c r="V28" s="61"/>
      <c r="Y28" s="163" t="s">
        <v>42</v>
      </c>
      <c r="Z28" s="163" t="s">
        <v>65</v>
      </c>
      <c r="AA28" s="163" t="s">
        <v>200</v>
      </c>
      <c r="AB28" s="163">
        <f t="shared" si="22"/>
        <v>9</v>
      </c>
      <c r="AC28" s="166">
        <f t="shared" si="23"/>
        <v>2943.3170365455744</v>
      </c>
      <c r="AD28" s="166">
        <f t="shared" si="24"/>
        <v>3914.4776323729798</v>
      </c>
      <c r="AE28" s="163"/>
      <c r="AF28" s="163">
        <f t="shared" si="10"/>
        <v>25</v>
      </c>
      <c r="AG28" s="168">
        <f t="shared" si="11"/>
        <v>58</v>
      </c>
      <c r="AH28" s="166">
        <f t="shared" si="12"/>
        <v>3914.4776323729798</v>
      </c>
      <c r="AI28" s="166">
        <f t="shared" si="13"/>
        <v>2969.7236958220269</v>
      </c>
      <c r="AJ28" s="166">
        <f t="shared" si="14"/>
        <v>5063.5338822566446</v>
      </c>
      <c r="AK28" s="168">
        <f t="shared" si="15"/>
        <v>5</v>
      </c>
    </row>
    <row r="29" spans="1:37" x14ac:dyDescent="0.2">
      <c r="A29" s="62" t="s">
        <v>52</v>
      </c>
      <c r="B29" s="62" t="s">
        <v>72</v>
      </c>
      <c r="C29" s="62" t="s">
        <v>201</v>
      </c>
      <c r="D29" s="62"/>
      <c r="E29" s="62">
        <f t="shared" si="2"/>
        <v>3</v>
      </c>
      <c r="F29" s="128">
        <v>35</v>
      </c>
      <c r="G29" s="129">
        <v>2338.3075744884663</v>
      </c>
      <c r="H29" s="129">
        <v>1489.5355369845097</v>
      </c>
      <c r="I29" s="129">
        <v>3430.9891556965003</v>
      </c>
      <c r="J29" s="129"/>
      <c r="K29" s="129"/>
      <c r="L29" s="129"/>
      <c r="M29" s="60">
        <f t="shared" si="0"/>
        <v>5</v>
      </c>
      <c r="N29" s="61">
        <f t="shared" si="3"/>
        <v>1833.2618332618331</v>
      </c>
      <c r="O29" s="61">
        <f t="shared" si="16"/>
        <v>2943.3170365455744</v>
      </c>
      <c r="P29" s="129">
        <f t="shared" si="4"/>
        <v>3071.5794179164795</v>
      </c>
      <c r="Q29" s="129">
        <f t="shared" si="5"/>
        <v>2968.5358803535109</v>
      </c>
      <c r="R29" s="129">
        <f t="shared" si="6"/>
        <v>3177.2728346237741</v>
      </c>
      <c r="S29" s="61">
        <f t="shared" si="7"/>
        <v>3249.9845448201913</v>
      </c>
      <c r="T29" s="61">
        <f t="shared" si="1"/>
        <v>5339.3510967946149</v>
      </c>
      <c r="U29" s="61">
        <f t="shared" si="17"/>
        <v>2946.4179882457047</v>
      </c>
      <c r="V29" s="61"/>
      <c r="Y29" s="163" t="s">
        <v>44</v>
      </c>
      <c r="Z29" s="163" t="s">
        <v>66</v>
      </c>
      <c r="AA29" s="163" t="s">
        <v>200</v>
      </c>
      <c r="AB29" s="163">
        <f t="shared" si="22"/>
        <v>2</v>
      </c>
      <c r="AC29" s="166">
        <f t="shared" si="23"/>
        <v>2943.3170365455744</v>
      </c>
      <c r="AD29" s="166">
        <f t="shared" si="24"/>
        <v>3914.4776323729798</v>
      </c>
      <c r="AE29" s="163"/>
      <c r="AF29" s="163">
        <f t="shared" si="10"/>
        <v>8</v>
      </c>
      <c r="AG29" s="168">
        <f t="shared" si="11"/>
        <v>79</v>
      </c>
      <c r="AH29" s="166">
        <f t="shared" si="12"/>
        <v>3003.6248644032953</v>
      </c>
      <c r="AI29" s="166">
        <f t="shared" si="13"/>
        <v>2340.1063939292367</v>
      </c>
      <c r="AJ29" s="166">
        <f t="shared" si="14"/>
        <v>3788.1649849719574</v>
      </c>
      <c r="AK29" s="168">
        <f t="shared" si="15"/>
        <v>5</v>
      </c>
    </row>
    <row r="30" spans="1:37" x14ac:dyDescent="0.2">
      <c r="A30" s="62" t="s">
        <v>53</v>
      </c>
      <c r="B30" s="62" t="s">
        <v>162</v>
      </c>
      <c r="C30" s="62" t="s">
        <v>163</v>
      </c>
      <c r="D30" s="62"/>
      <c r="E30" s="62">
        <f t="shared" si="2"/>
        <v>17</v>
      </c>
      <c r="F30" s="128">
        <v>393</v>
      </c>
      <c r="G30" s="129">
        <v>3216.0457202536845</v>
      </c>
      <c r="H30" s="129">
        <v>2904.5461033549477</v>
      </c>
      <c r="I30" s="129">
        <v>3551.7353308063998</v>
      </c>
      <c r="J30" s="129"/>
      <c r="K30" s="129"/>
      <c r="L30" s="129"/>
      <c r="M30" s="60">
        <f t="shared" si="0"/>
        <v>5</v>
      </c>
      <c r="N30" s="61">
        <f t="shared" si="3"/>
        <v>1833.2618332618331</v>
      </c>
      <c r="O30" s="61">
        <f t="shared" si="16"/>
        <v>2943.3170365455744</v>
      </c>
      <c r="P30" s="129">
        <f>$G$32</f>
        <v>3071.5794179164795</v>
      </c>
      <c r="Q30" s="129">
        <f t="shared" si="5"/>
        <v>2968.5358803535109</v>
      </c>
      <c r="R30" s="129">
        <f t="shared" si="6"/>
        <v>3177.2728346237741</v>
      </c>
      <c r="S30" s="61">
        <f t="shared" si="7"/>
        <v>3249.9845448201913</v>
      </c>
      <c r="T30" s="61">
        <f t="shared" si="1"/>
        <v>5339.3510967946149</v>
      </c>
      <c r="U30" s="61">
        <f t="shared" si="17"/>
        <v>3068.3957813556617</v>
      </c>
      <c r="V30" s="61"/>
      <c r="Y30" s="163" t="s">
        <v>49</v>
      </c>
      <c r="Z30" s="163" t="s">
        <v>70</v>
      </c>
      <c r="AA30" s="163" t="s">
        <v>200</v>
      </c>
      <c r="AB30" s="163">
        <f t="shared" si="22"/>
        <v>7</v>
      </c>
      <c r="AC30" s="166">
        <f t="shared" si="23"/>
        <v>2943.3170365455744</v>
      </c>
      <c r="AD30" s="166">
        <f t="shared" si="24"/>
        <v>3914.4776323729798</v>
      </c>
      <c r="AE30" s="163"/>
      <c r="AF30" s="163">
        <f t="shared" si="10"/>
        <v>22</v>
      </c>
      <c r="AG30" s="168">
        <f t="shared" si="11"/>
        <v>114</v>
      </c>
      <c r="AH30" s="166">
        <f t="shared" si="12"/>
        <v>3294.3653065071812</v>
      </c>
      <c r="AI30" s="166">
        <f t="shared" si="13"/>
        <v>2706.4218243567429</v>
      </c>
      <c r="AJ30" s="166">
        <f t="shared" si="14"/>
        <v>3970.1835696280232</v>
      </c>
      <c r="AK30" s="168">
        <f t="shared" si="15"/>
        <v>5</v>
      </c>
    </row>
    <row r="31" spans="1:37" x14ac:dyDescent="0.2">
      <c r="A31" s="62" t="s">
        <v>54</v>
      </c>
      <c r="B31" s="62" t="s">
        <v>73</v>
      </c>
      <c r="C31" s="62" t="s">
        <v>201</v>
      </c>
      <c r="D31" s="62"/>
      <c r="E31" s="62">
        <f t="shared" si="2"/>
        <v>26</v>
      </c>
      <c r="F31" s="128">
        <v>63</v>
      </c>
      <c r="G31" s="129">
        <v>5339.3510967946149</v>
      </c>
      <c r="H31" s="129">
        <v>3979.7598278567007</v>
      </c>
      <c r="I31" s="129">
        <v>6979.7881220752752</v>
      </c>
      <c r="J31" s="129"/>
      <c r="K31" s="129"/>
      <c r="L31" s="129"/>
      <c r="M31" s="60">
        <f t="shared" si="0"/>
        <v>1</v>
      </c>
      <c r="N31" s="61">
        <f t="shared" si="3"/>
        <v>1833.2618332618331</v>
      </c>
      <c r="O31" s="61">
        <f t="shared" si="16"/>
        <v>2943.3170365455744</v>
      </c>
      <c r="P31" s="129">
        <f t="shared" si="4"/>
        <v>3071.5794179164795</v>
      </c>
      <c r="Q31" s="129">
        <f t="shared" si="5"/>
        <v>2968.5358803535109</v>
      </c>
      <c r="R31" s="129">
        <f t="shared" si="6"/>
        <v>3177.2728346237741</v>
      </c>
      <c r="S31" s="61">
        <f t="shared" si="7"/>
        <v>3249.9845448201913</v>
      </c>
      <c r="T31" s="61">
        <f t="shared" si="1"/>
        <v>5339.3510967946149</v>
      </c>
      <c r="U31" s="61">
        <f t="shared" si="17"/>
        <v>2946.4179882457047</v>
      </c>
      <c r="V31" s="61"/>
      <c r="Y31" s="163" t="s">
        <v>51</v>
      </c>
      <c r="Z31" s="163" t="s">
        <v>71</v>
      </c>
      <c r="AA31" s="163" t="s">
        <v>200</v>
      </c>
      <c r="AB31" s="163">
        <f t="shared" si="22"/>
        <v>5</v>
      </c>
      <c r="AC31" s="166">
        <f t="shared" si="23"/>
        <v>2943.3170365455744</v>
      </c>
      <c r="AD31" s="166">
        <f t="shared" si="24"/>
        <v>3914.4776323729798</v>
      </c>
      <c r="AE31" s="163"/>
      <c r="AF31" s="163">
        <f t="shared" si="10"/>
        <v>19</v>
      </c>
      <c r="AG31" s="168">
        <f t="shared" si="11"/>
        <v>50</v>
      </c>
      <c r="AH31" s="166">
        <f t="shared" si="12"/>
        <v>3246.8385125637919</v>
      </c>
      <c r="AI31" s="166">
        <f t="shared" si="13"/>
        <v>2383.4058815042572</v>
      </c>
      <c r="AJ31" s="166">
        <f t="shared" si="14"/>
        <v>4313.0881124890566</v>
      </c>
      <c r="AK31" s="168">
        <f t="shared" si="15"/>
        <v>5</v>
      </c>
    </row>
    <row r="32" spans="1:37" x14ac:dyDescent="0.2">
      <c r="A32" s="62"/>
      <c r="B32" s="62" t="s">
        <v>171</v>
      </c>
      <c r="C32" s="62"/>
      <c r="D32" s="62"/>
      <c r="E32" s="62"/>
      <c r="F32" s="128">
        <v>3392</v>
      </c>
      <c r="G32" s="129">
        <v>3071.5794179164795</v>
      </c>
      <c r="H32" s="129">
        <v>2968.5358803535109</v>
      </c>
      <c r="I32" s="129">
        <v>3177.2728346237741</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1483</v>
      </c>
      <c r="G44" s="129">
        <v>3068.3957813556617</v>
      </c>
      <c r="H44" s="129">
        <v>2913.586077160187</v>
      </c>
      <c r="I44" s="129">
        <v>3229.2702202778341</v>
      </c>
      <c r="J44" s="129">
        <f>VLOOKUP($C44,$AA$6:$AD$13,3,FALSE)</f>
        <v>2755.9409731781707</v>
      </c>
      <c r="K44" s="129">
        <f>VLOOKUP($C44,$AA$6:$AD$13,4,FALSE)</f>
        <v>3545.0739815281686</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5</v>
      </c>
      <c r="N44" s="61">
        <f>MIN($G$6:$G$31)</f>
        <v>1833.2618332618331</v>
      </c>
      <c r="O44" s="61">
        <f>VLOOKUP(7,$E$5:$G$39,3,FALSE)</f>
        <v>2943.3170365455744</v>
      </c>
      <c r="P44" s="129">
        <f>$G$32</f>
        <v>3071.5794179164795</v>
      </c>
      <c r="Q44" s="129">
        <f>$H$32</f>
        <v>2968.5358803535109</v>
      </c>
      <c r="R44" s="129">
        <f>$I$32</f>
        <v>3177.2728346237741</v>
      </c>
      <c r="S44" s="61">
        <f>VLOOKUP(20,$E$5:$G$39,3,FALSE)</f>
        <v>3249.9845448201913</v>
      </c>
      <c r="T44" s="61">
        <f>MAX($G$6:$G$31)</f>
        <v>5339.3510967946149</v>
      </c>
    </row>
    <row r="45" spans="1:22" x14ac:dyDescent="0.2">
      <c r="C45" s="62" t="s">
        <v>201</v>
      </c>
      <c r="D45" s="62"/>
      <c r="E45" s="62"/>
      <c r="F45" s="128">
        <v>765</v>
      </c>
      <c r="G45" s="129">
        <v>2946.4179882457047</v>
      </c>
      <c r="H45" s="129">
        <v>2738.4240738885751</v>
      </c>
      <c r="I45" s="129">
        <v>3165.8527623653581</v>
      </c>
      <c r="J45" s="129">
        <f>VLOOKUP($C45,$AA$14:$AD$22,3,FALSE)</f>
        <v>1833.2618332618331</v>
      </c>
      <c r="K45" s="129">
        <f>VLOOKUP($C45,$AA$14:$AD$22,4,FALSE)</f>
        <v>5339.3510967946149</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5</v>
      </c>
      <c r="N45" s="61">
        <f>MIN($G$6:$G$31)</f>
        <v>1833.2618332618331</v>
      </c>
      <c r="O45" s="61">
        <f>VLOOKUP(7,$E$5:$G$39,3,FALSE)</f>
        <v>2943.3170365455744</v>
      </c>
      <c r="P45" s="129">
        <f>$G$32</f>
        <v>3071.5794179164795</v>
      </c>
      <c r="Q45" s="129">
        <f t="shared" ref="Q45:Q46" si="25">$H$32</f>
        <v>2968.5358803535109</v>
      </c>
      <c r="R45" s="129">
        <f t="shared" ref="R45:R46" si="26">$I$32</f>
        <v>3177.2728346237741</v>
      </c>
      <c r="S45" s="61">
        <f>VLOOKUP(20,$E$5:$G$39,3,FALSE)</f>
        <v>3249.9845448201913</v>
      </c>
      <c r="T45" s="61">
        <f t="shared" ref="T45:T46" si="27">MAX($G$6:$G$31)</f>
        <v>5339.3510967946149</v>
      </c>
    </row>
    <row r="46" spans="1:22" x14ac:dyDescent="0.2">
      <c r="C46" s="62" t="s">
        <v>200</v>
      </c>
      <c r="D46" s="62"/>
      <c r="E46" s="62"/>
      <c r="F46" s="128">
        <v>1144</v>
      </c>
      <c r="G46" s="129">
        <v>3183.7797495473205</v>
      </c>
      <c r="H46" s="129">
        <v>3000.8544277192477</v>
      </c>
      <c r="I46" s="129">
        <v>3374.8884958255976</v>
      </c>
      <c r="J46" s="129">
        <f>VLOOKUP($C46,$AA$23:$AD$31,3,FALSE)</f>
        <v>2943.3170365455744</v>
      </c>
      <c r="K46" s="129">
        <f>VLOOKUP($C46,$AA$23:$AD$31,4,FALSE)</f>
        <v>3914.4776323729798</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5</v>
      </c>
      <c r="N46" s="61">
        <f>MIN($G$6:$G$31)</f>
        <v>1833.2618332618331</v>
      </c>
      <c r="O46" s="61">
        <f>VLOOKUP(7,$E$5:$G$39,3,FALSE)</f>
        <v>2943.3170365455744</v>
      </c>
      <c r="P46" s="129">
        <f t="shared" ref="P46" si="28">$G$32</f>
        <v>3071.5794179164795</v>
      </c>
      <c r="Q46" s="129">
        <f t="shared" si="25"/>
        <v>2968.5358803535109</v>
      </c>
      <c r="R46" s="129">
        <f t="shared" si="26"/>
        <v>3177.2728346237741</v>
      </c>
      <c r="S46" s="61">
        <f>VLOOKUP(20,$E$5:$G$39,3,FALSE)</f>
        <v>3249.9845448201913</v>
      </c>
      <c r="T46" s="61">
        <f t="shared" si="27"/>
        <v>5339.3510967946149</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C2:D2" xr:uid="{00000000-0002-0000-3E00-000000000000}">
      <formula1>"Better / Worse,Higher / Lower,Significance not measured"</formula1>
    </dataValidation>
    <dataValidation type="list" allowBlank="1" showInputMessage="1" showErrorMessage="1" sqref="K2:N2" xr:uid="{00000000-0002-0000-3E00-000001000000}">
      <formula1>"High = Worst,Low = Worst"</formula1>
    </dataValidation>
  </dataValidations>
  <pageMargins left="0.75" right="0.75" top="1" bottom="1" header="0.5" footer="0.5"/>
  <pageSetup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2">
    <tabColor theme="6" tint="0.39997558519241921"/>
  </sheetPr>
  <dimension ref="A1:AK55"/>
  <sheetViews>
    <sheetView workbookViewId="0">
      <selection activeCell="A25" activeCellId="1" sqref="A13:XFD13 A25:XFD25"/>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8" width="7.33203125" style="21" customWidth="1"/>
    <col min="9" max="9" width="6.88671875" style="21" customWidth="1"/>
    <col min="10" max="10" width="9.109375" style="21" customWidth="1"/>
    <col min="11" max="11" width="13.109375" style="21" customWidth="1"/>
    <col min="12"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9.4414062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2</v>
      </c>
      <c r="F6" s="128">
        <v>10</v>
      </c>
      <c r="G6" s="129">
        <v>373.71208105549363</v>
      </c>
      <c r="H6" s="129">
        <v>177.26071379710464</v>
      </c>
      <c r="I6" s="129">
        <v>689.97062805927112</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5</v>
      </c>
      <c r="N6" s="61">
        <f>MIN($G$6:$G$32)</f>
        <v>328.32159121953197</v>
      </c>
      <c r="O6" s="61">
        <f>VLOOKUP(7,$E$5:$G$39,3,FALSE)</f>
        <v>573.60950105341669</v>
      </c>
      <c r="P6" s="129">
        <f>$G$32</f>
        <v>612.57115474457419</v>
      </c>
      <c r="Q6" s="129">
        <f>$H$32</f>
        <v>567.14087041507992</v>
      </c>
      <c r="R6" s="129">
        <f>$I$32</f>
        <v>660.65676164408023</v>
      </c>
      <c r="S6" s="61">
        <f>VLOOKUP(20,$E$5:$G$39,3,FALSE)</f>
        <v>728.96252116359653</v>
      </c>
      <c r="T6" s="61">
        <f t="shared" ref="T6:T31" si="1">MAX($G$6:$G$31)</f>
        <v>1737.0940750698362</v>
      </c>
      <c r="U6" s="61">
        <f>VLOOKUP(C6,$C$43:$I$46,5,FALSE)</f>
        <v>589.81424599227716</v>
      </c>
      <c r="V6" s="61"/>
      <c r="Y6" s="159" t="s">
        <v>33</v>
      </c>
      <c r="Z6" s="159" t="s">
        <v>58</v>
      </c>
      <c r="AA6" s="159" t="s">
        <v>163</v>
      </c>
      <c r="AB6" s="159">
        <f>RANK(AH6,$AH$6:$AH$13,1)</f>
        <v>7</v>
      </c>
      <c r="AC6" s="164">
        <f>MIN($AH$6:$AH$13)</f>
        <v>529.30124867377856</v>
      </c>
      <c r="AD6" s="164">
        <f>MAX($AH$6:$AH$13)</f>
        <v>793.68027546247527</v>
      </c>
      <c r="AE6" s="159"/>
      <c r="AF6" s="159">
        <f>VLOOKUP($Y6,$A$6:$I$31,5,FALSE)</f>
        <v>22</v>
      </c>
      <c r="AG6" s="160">
        <f>VLOOKUP($Y6,$A$6:$I$31,6,FALSE)</f>
        <v>39</v>
      </c>
      <c r="AH6" s="161">
        <f>VLOOKUP($Y6,$A$6:$I$31,7,FALSE)</f>
        <v>763.91766277073168</v>
      </c>
      <c r="AI6" s="161">
        <f>VLOOKUP($Y6,$A$6:$I$31,8,FALSE)</f>
        <v>540.3797313793965</v>
      </c>
      <c r="AJ6" s="161">
        <f>VLOOKUP($Y6,$A$6:$I$31,9,FALSE)</f>
        <v>1047.8539547746714</v>
      </c>
      <c r="AK6" s="160">
        <f>VLOOKUP($Y6,$A$6:$M$31,13,FALSE)</f>
        <v>5</v>
      </c>
    </row>
    <row r="7" spans="1:37" x14ac:dyDescent="0.2">
      <c r="A7" s="62" t="s">
        <v>30</v>
      </c>
      <c r="B7" s="62" t="s">
        <v>56</v>
      </c>
      <c r="C7" s="62" t="s">
        <v>200</v>
      </c>
      <c r="D7" s="62"/>
      <c r="E7" s="62">
        <f t="shared" ref="E7:E31" si="2">RANK(G7,$G$6:$G$31,1)</f>
        <v>6</v>
      </c>
      <c r="F7" s="128">
        <v>28</v>
      </c>
      <c r="G7" s="129">
        <v>540.05996967526005</v>
      </c>
      <c r="H7" s="129">
        <v>356.69547193272541</v>
      </c>
      <c r="I7" s="129">
        <v>783.34071514533753</v>
      </c>
      <c r="J7" s="129"/>
      <c r="K7" s="129"/>
      <c r="L7" s="129"/>
      <c r="M7" s="60">
        <f t="shared" si="0"/>
        <v>5</v>
      </c>
      <c r="N7" s="61">
        <f t="shared" ref="N7:N31" si="3">MIN($G$6:$G$32)</f>
        <v>328.32159121953197</v>
      </c>
      <c r="O7" s="61">
        <f>VLOOKUP(7,$E$5:$G$39,3,FALSE)</f>
        <v>573.60950105341669</v>
      </c>
      <c r="P7" s="129">
        <f t="shared" ref="P7:P31" si="4">$G$32</f>
        <v>612.57115474457419</v>
      </c>
      <c r="Q7" s="129">
        <f t="shared" ref="Q7:Q31" si="5">$H$32</f>
        <v>567.14087041507992</v>
      </c>
      <c r="R7" s="129">
        <f t="shared" ref="R7:R31" si="6">$I$32</f>
        <v>660.65676164408023</v>
      </c>
      <c r="S7" s="61">
        <f t="shared" ref="S7:S31" si="7">VLOOKUP(20,$E$5:$G$39,3,FALSE)</f>
        <v>728.96252116359653</v>
      </c>
      <c r="T7" s="61">
        <f t="shared" si="1"/>
        <v>1737.0940750698362</v>
      </c>
      <c r="U7" s="61">
        <f>VLOOKUP(C7,$C$43:$I$46,5,FALSE)</f>
        <v>622.40654899707647</v>
      </c>
      <c r="V7" s="61"/>
      <c r="Y7" s="159" t="s">
        <v>35</v>
      </c>
      <c r="Z7" s="159" t="s">
        <v>60</v>
      </c>
      <c r="AA7" s="159" t="s">
        <v>163</v>
      </c>
      <c r="AB7" s="159">
        <f t="shared" ref="AB7:AB12" si="8">RANK(AH7,$AH$6:$AH$13,1)</f>
        <v>4</v>
      </c>
      <c r="AC7" s="164">
        <f>MIN($AH$6:$AH$13)</f>
        <v>529.30124867377856</v>
      </c>
      <c r="AD7" s="164">
        <f t="shared" ref="AD7:AD13" si="9">MAX($AH$6:$AH$13)</f>
        <v>793.68027546247527</v>
      </c>
      <c r="AE7" s="159"/>
      <c r="AF7" s="159">
        <f t="shared" ref="AF7:AF31" si="10">VLOOKUP($Y7,$A$6:$I$31,5,FALSE)</f>
        <v>13</v>
      </c>
      <c r="AG7" s="160">
        <f t="shared" ref="AG7:AG31" si="11">VLOOKUP($Y7,$A$6:$I$31,6,FALSE)</f>
        <v>44</v>
      </c>
      <c r="AH7" s="161">
        <f t="shared" ref="AH7:AH31" si="12">VLOOKUP($Y7,$A$6:$I$31,7,FALSE)</f>
        <v>605.51860022030417</v>
      </c>
      <c r="AI7" s="161">
        <f t="shared" ref="AI7:AI31" si="13">VLOOKUP($Y7,$A$6:$I$31,8,FALSE)</f>
        <v>439.68992822185317</v>
      </c>
      <c r="AJ7" s="161">
        <f t="shared" ref="AJ7:AJ31" si="14">VLOOKUP($Y7,$A$6:$I$31,9,FALSE)</f>
        <v>813.1983922659108</v>
      </c>
      <c r="AK7" s="160">
        <f t="shared" ref="AK7:AK31" si="15">VLOOKUP($Y7,$A$6:$M$31,13,FALSE)</f>
        <v>5</v>
      </c>
    </row>
    <row r="8" spans="1:37" x14ac:dyDescent="0.2">
      <c r="A8" s="62" t="s">
        <v>31</v>
      </c>
      <c r="B8" s="62" t="s">
        <v>57</v>
      </c>
      <c r="C8" s="62" t="s">
        <v>200</v>
      </c>
      <c r="D8" s="62"/>
      <c r="E8" s="62">
        <f t="shared" si="2"/>
        <v>8</v>
      </c>
      <c r="F8" s="128">
        <v>44</v>
      </c>
      <c r="G8" s="129">
        <v>573.89760971348255</v>
      </c>
      <c r="H8" s="129">
        <v>416.2105338392409</v>
      </c>
      <c r="I8" s="129">
        <v>771.38106496390037</v>
      </c>
      <c r="J8" s="129"/>
      <c r="K8" s="129"/>
      <c r="L8" s="129"/>
      <c r="M8" s="60">
        <f t="shared" si="0"/>
        <v>5</v>
      </c>
      <c r="N8" s="61">
        <f t="shared" si="3"/>
        <v>328.32159121953197</v>
      </c>
      <c r="O8" s="61">
        <f t="shared" ref="O8:O31" si="16">VLOOKUP(7,$E$5:$G$39,3,FALSE)</f>
        <v>573.60950105341669</v>
      </c>
      <c r="P8" s="129">
        <f t="shared" si="4"/>
        <v>612.57115474457419</v>
      </c>
      <c r="Q8" s="129">
        <f t="shared" si="5"/>
        <v>567.14087041507992</v>
      </c>
      <c r="R8" s="129">
        <f t="shared" si="6"/>
        <v>660.65676164408023</v>
      </c>
      <c r="S8" s="61">
        <f t="shared" si="7"/>
        <v>728.96252116359653</v>
      </c>
      <c r="T8" s="61">
        <f t="shared" si="1"/>
        <v>1737.0940750698362</v>
      </c>
      <c r="U8" s="61">
        <f t="shared" ref="U8:U31" si="17">VLOOKUP(C8,$C$43:$I$46,5,FALSE)</f>
        <v>622.40654899707647</v>
      </c>
      <c r="V8" s="61"/>
      <c r="Y8" s="159" t="s">
        <v>41</v>
      </c>
      <c r="Z8" s="159" t="s">
        <v>64</v>
      </c>
      <c r="AA8" s="159" t="s">
        <v>163</v>
      </c>
      <c r="AB8" s="159">
        <f t="shared" si="8"/>
        <v>1</v>
      </c>
      <c r="AC8" s="164">
        <f t="shared" ref="AC8:AC13" si="18">MIN($AH$6:$AH$13)</f>
        <v>529.30124867377856</v>
      </c>
      <c r="AD8" s="164">
        <f>MAX($AH$6:$AH$13)</f>
        <v>793.68027546247527</v>
      </c>
      <c r="AE8" s="159"/>
      <c r="AF8" s="159">
        <f t="shared" si="10"/>
        <v>5</v>
      </c>
      <c r="AG8" s="160">
        <f t="shared" si="11"/>
        <v>37</v>
      </c>
      <c r="AH8" s="161">
        <f t="shared" si="12"/>
        <v>529.30124867377856</v>
      </c>
      <c r="AI8" s="161">
        <f t="shared" si="13"/>
        <v>372.24800696522419</v>
      </c>
      <c r="AJ8" s="161">
        <f t="shared" si="14"/>
        <v>730.07831977981948</v>
      </c>
      <c r="AK8" s="160">
        <f t="shared" si="15"/>
        <v>5</v>
      </c>
    </row>
    <row r="9" spans="1:37" x14ac:dyDescent="0.2">
      <c r="A9" s="62" t="s">
        <v>32</v>
      </c>
      <c r="B9" s="62" t="s">
        <v>156</v>
      </c>
      <c r="C9" s="62" t="s">
        <v>201</v>
      </c>
      <c r="D9" s="62"/>
      <c r="E9" s="62">
        <f t="shared" si="2"/>
        <v>9</v>
      </c>
      <c r="F9" s="128">
        <v>24</v>
      </c>
      <c r="G9" s="129">
        <v>576.59059007547944</v>
      </c>
      <c r="H9" s="129">
        <v>368.38401999871758</v>
      </c>
      <c r="I9" s="129">
        <v>859.2330615966431</v>
      </c>
      <c r="J9" s="129"/>
      <c r="K9" s="129"/>
      <c r="L9" s="129"/>
      <c r="M9" s="60">
        <f t="shared" si="0"/>
        <v>5</v>
      </c>
      <c r="N9" s="61">
        <f t="shared" si="3"/>
        <v>328.32159121953197</v>
      </c>
      <c r="O9" s="61">
        <f t="shared" si="16"/>
        <v>573.60950105341669</v>
      </c>
      <c r="P9" s="129">
        <f t="shared" si="4"/>
        <v>612.57115474457419</v>
      </c>
      <c r="Q9" s="129">
        <f t="shared" si="5"/>
        <v>567.14087041507992</v>
      </c>
      <c r="R9" s="129">
        <f t="shared" si="6"/>
        <v>660.65676164408023</v>
      </c>
      <c r="S9" s="61">
        <f t="shared" si="7"/>
        <v>728.96252116359653</v>
      </c>
      <c r="T9" s="61">
        <f t="shared" si="1"/>
        <v>1737.0940750698362</v>
      </c>
      <c r="U9" s="61">
        <f t="shared" si="17"/>
        <v>589.81424599227716</v>
      </c>
      <c r="V9" s="61"/>
      <c r="X9" s="63"/>
      <c r="Y9" s="159" t="s">
        <v>45</v>
      </c>
      <c r="Z9" s="159" t="s">
        <v>67</v>
      </c>
      <c r="AA9" s="159" t="s">
        <v>163</v>
      </c>
      <c r="AB9" s="159">
        <f t="shared" si="8"/>
        <v>5</v>
      </c>
      <c r="AC9" s="164">
        <f t="shared" si="18"/>
        <v>529.30124867377856</v>
      </c>
      <c r="AD9" s="164">
        <f t="shared" si="9"/>
        <v>793.68027546247527</v>
      </c>
      <c r="AE9" s="159"/>
      <c r="AF9" s="159">
        <f t="shared" si="10"/>
        <v>15</v>
      </c>
      <c r="AG9" s="160">
        <f t="shared" si="11"/>
        <v>28</v>
      </c>
      <c r="AH9" s="161">
        <f t="shared" si="12"/>
        <v>647.18325471106448</v>
      </c>
      <c r="AI9" s="161">
        <f t="shared" si="13"/>
        <v>429.02668158640108</v>
      </c>
      <c r="AJ9" s="161">
        <f t="shared" si="14"/>
        <v>936.62474634314026</v>
      </c>
      <c r="AK9" s="160">
        <f t="shared" si="15"/>
        <v>5</v>
      </c>
    </row>
    <row r="10" spans="1:37" x14ac:dyDescent="0.2">
      <c r="A10" s="62" t="s">
        <v>33</v>
      </c>
      <c r="B10" s="62" t="s">
        <v>58</v>
      </c>
      <c r="C10" s="62" t="s">
        <v>163</v>
      </c>
      <c r="D10" s="62"/>
      <c r="E10" s="62">
        <f t="shared" si="2"/>
        <v>22</v>
      </c>
      <c r="F10" s="128">
        <v>39</v>
      </c>
      <c r="G10" s="129">
        <v>763.91766277073168</v>
      </c>
      <c r="H10" s="129">
        <v>540.3797313793965</v>
      </c>
      <c r="I10" s="129">
        <v>1047.8539547746714</v>
      </c>
      <c r="J10" s="129"/>
      <c r="K10" s="129"/>
      <c r="L10" s="129"/>
      <c r="M10" s="60">
        <f t="shared" si="0"/>
        <v>5</v>
      </c>
      <c r="N10" s="61">
        <f t="shared" si="3"/>
        <v>328.32159121953197</v>
      </c>
      <c r="O10" s="61">
        <f t="shared" si="16"/>
        <v>573.60950105341669</v>
      </c>
      <c r="P10" s="129">
        <f t="shared" si="4"/>
        <v>612.57115474457419</v>
      </c>
      <c r="Q10" s="129">
        <f t="shared" si="5"/>
        <v>567.14087041507992</v>
      </c>
      <c r="R10" s="129">
        <f t="shared" si="6"/>
        <v>660.65676164408023</v>
      </c>
      <c r="S10" s="61">
        <f t="shared" si="7"/>
        <v>728.96252116359653</v>
      </c>
      <c r="T10" s="61">
        <f t="shared" si="1"/>
        <v>1737.0940750698362</v>
      </c>
      <c r="U10" s="61">
        <f t="shared" si="17"/>
        <v>618.64289583767481</v>
      </c>
      <c r="V10" s="61"/>
      <c r="Y10" s="159" t="s">
        <v>46</v>
      </c>
      <c r="Z10" s="159" t="s">
        <v>68</v>
      </c>
      <c r="AA10" s="159" t="s">
        <v>163</v>
      </c>
      <c r="AB10" s="159">
        <f t="shared" si="8"/>
        <v>2</v>
      </c>
      <c r="AC10" s="164">
        <f t="shared" si="18"/>
        <v>529.30124867377856</v>
      </c>
      <c r="AD10" s="164">
        <f t="shared" si="9"/>
        <v>793.68027546247527</v>
      </c>
      <c r="AE10" s="159"/>
      <c r="AF10" s="159">
        <f t="shared" si="10"/>
        <v>7</v>
      </c>
      <c r="AG10" s="160">
        <f t="shared" si="11"/>
        <v>44</v>
      </c>
      <c r="AH10" s="161">
        <f t="shared" si="12"/>
        <v>573.60950105341669</v>
      </c>
      <c r="AI10" s="161">
        <f t="shared" si="13"/>
        <v>413.89446216132194</v>
      </c>
      <c r="AJ10" s="161">
        <f t="shared" si="14"/>
        <v>773.63272782071544</v>
      </c>
      <c r="AK10" s="160">
        <f t="shared" si="15"/>
        <v>5</v>
      </c>
    </row>
    <row r="11" spans="1:37" x14ac:dyDescent="0.2">
      <c r="A11" s="62" t="s">
        <v>34</v>
      </c>
      <c r="B11" s="62" t="s">
        <v>59</v>
      </c>
      <c r="C11" s="62" t="s">
        <v>200</v>
      </c>
      <c r="D11" s="62"/>
      <c r="E11" s="62">
        <f t="shared" si="2"/>
        <v>18</v>
      </c>
      <c r="F11" s="128">
        <v>43</v>
      </c>
      <c r="G11" s="129">
        <v>724.49694291590288</v>
      </c>
      <c r="H11" s="129">
        <v>522.35846223536407</v>
      </c>
      <c r="I11" s="129">
        <v>978.3158921219856</v>
      </c>
      <c r="J11" s="129"/>
      <c r="K11" s="129"/>
      <c r="L11" s="129"/>
      <c r="M11" s="60">
        <f t="shared" si="0"/>
        <v>5</v>
      </c>
      <c r="N11" s="61">
        <f t="shared" si="3"/>
        <v>328.32159121953197</v>
      </c>
      <c r="O11" s="61">
        <f t="shared" si="16"/>
        <v>573.60950105341669</v>
      </c>
      <c r="P11" s="129">
        <f t="shared" si="4"/>
        <v>612.57115474457419</v>
      </c>
      <c r="Q11" s="129">
        <f t="shared" si="5"/>
        <v>567.14087041507992</v>
      </c>
      <c r="R11" s="129">
        <f t="shared" si="6"/>
        <v>660.65676164408023</v>
      </c>
      <c r="S11" s="61">
        <f t="shared" si="7"/>
        <v>728.96252116359653</v>
      </c>
      <c r="T11" s="61">
        <f t="shared" si="1"/>
        <v>1737.0940750698362</v>
      </c>
      <c r="U11" s="61">
        <f t="shared" si="17"/>
        <v>622.40654899707647</v>
      </c>
      <c r="V11" s="61"/>
      <c r="Y11" s="159" t="s">
        <v>47</v>
      </c>
      <c r="Z11" s="159" t="s">
        <v>69</v>
      </c>
      <c r="AA11" s="159" t="s">
        <v>163</v>
      </c>
      <c r="AB11" s="159">
        <f t="shared" si="8"/>
        <v>8</v>
      </c>
      <c r="AC11" s="164">
        <f t="shared" si="18"/>
        <v>529.30124867377856</v>
      </c>
      <c r="AD11" s="164">
        <f t="shared" si="9"/>
        <v>793.68027546247527</v>
      </c>
      <c r="AE11" s="159"/>
      <c r="AF11" s="159">
        <f t="shared" si="10"/>
        <v>24</v>
      </c>
      <c r="AG11" s="160">
        <f t="shared" si="11"/>
        <v>17</v>
      </c>
      <c r="AH11" s="161">
        <f t="shared" si="12"/>
        <v>793.68027546247527</v>
      </c>
      <c r="AI11" s="161">
        <f t="shared" si="13"/>
        <v>444.45232069818161</v>
      </c>
      <c r="AJ11" s="161">
        <f t="shared" si="14"/>
        <v>1296.1986002623125</v>
      </c>
      <c r="AK11" s="160">
        <f t="shared" si="15"/>
        <v>5</v>
      </c>
    </row>
    <row r="12" spans="1:37" x14ac:dyDescent="0.2">
      <c r="A12" s="62" t="s">
        <v>35</v>
      </c>
      <c r="B12" s="62" t="s">
        <v>60</v>
      </c>
      <c r="C12" s="62" t="s">
        <v>163</v>
      </c>
      <c r="D12" s="62"/>
      <c r="E12" s="62">
        <f t="shared" si="2"/>
        <v>13</v>
      </c>
      <c r="F12" s="128">
        <v>44</v>
      </c>
      <c r="G12" s="129">
        <v>605.51860022030417</v>
      </c>
      <c r="H12" s="129">
        <v>439.68992822185317</v>
      </c>
      <c r="I12" s="129">
        <v>813.1983922659108</v>
      </c>
      <c r="J12" s="129"/>
      <c r="K12" s="129"/>
      <c r="L12" s="129"/>
      <c r="M12" s="60">
        <f t="shared" si="0"/>
        <v>5</v>
      </c>
      <c r="N12" s="61">
        <f t="shared" si="3"/>
        <v>328.32159121953197</v>
      </c>
      <c r="O12" s="61">
        <f t="shared" si="16"/>
        <v>573.60950105341669</v>
      </c>
      <c r="P12" s="129">
        <f t="shared" si="4"/>
        <v>612.57115474457419</v>
      </c>
      <c r="Q12" s="129">
        <f t="shared" si="5"/>
        <v>567.14087041507992</v>
      </c>
      <c r="R12" s="129">
        <f t="shared" si="6"/>
        <v>660.65676164408023</v>
      </c>
      <c r="S12" s="61">
        <f t="shared" si="7"/>
        <v>728.96252116359653</v>
      </c>
      <c r="T12" s="61">
        <f t="shared" si="1"/>
        <v>1737.0940750698362</v>
      </c>
      <c r="U12" s="61">
        <f t="shared" si="17"/>
        <v>618.64289583767481</v>
      </c>
      <c r="V12" s="61"/>
      <c r="Y12" s="159" t="s">
        <v>50</v>
      </c>
      <c r="Z12" s="159" t="s">
        <v>161</v>
      </c>
      <c r="AA12" s="159" t="s">
        <v>163</v>
      </c>
      <c r="AB12" s="159">
        <f t="shared" si="8"/>
        <v>6</v>
      </c>
      <c r="AC12" s="164">
        <f t="shared" si="18"/>
        <v>529.30124867377856</v>
      </c>
      <c r="AD12" s="164">
        <f t="shared" si="9"/>
        <v>793.68027546247527</v>
      </c>
      <c r="AE12" s="159"/>
      <c r="AF12" s="159">
        <f t="shared" si="10"/>
        <v>17</v>
      </c>
      <c r="AG12" s="160">
        <f t="shared" si="11"/>
        <v>18</v>
      </c>
      <c r="AH12" s="161">
        <f t="shared" si="12"/>
        <v>689.14772744057132</v>
      </c>
      <c r="AI12" s="161">
        <f t="shared" si="13"/>
        <v>407.59656686027694</v>
      </c>
      <c r="AJ12" s="161">
        <f t="shared" si="14"/>
        <v>1090.1008482948675</v>
      </c>
      <c r="AK12" s="160">
        <f t="shared" si="15"/>
        <v>5</v>
      </c>
    </row>
    <row r="13" spans="1:37" x14ac:dyDescent="0.2">
      <c r="A13" s="62" t="s">
        <v>36</v>
      </c>
      <c r="B13" s="62" t="s">
        <v>61</v>
      </c>
      <c r="C13" s="62" t="s">
        <v>201</v>
      </c>
      <c r="D13" s="62"/>
      <c r="E13" s="62">
        <f t="shared" si="2"/>
        <v>12</v>
      </c>
      <c r="F13" s="128" t="s">
        <v>79</v>
      </c>
      <c r="G13" s="129">
        <v>602.36060236060234</v>
      </c>
      <c r="H13" s="129">
        <v>112.35868261761988</v>
      </c>
      <c r="I13" s="129">
        <v>1780.9201750255756</v>
      </c>
      <c r="J13" s="129"/>
      <c r="K13" s="129"/>
      <c r="L13" s="129"/>
      <c r="M13" s="60">
        <f t="shared" si="0"/>
        <v>5</v>
      </c>
      <c r="N13" s="61">
        <f t="shared" si="3"/>
        <v>328.32159121953197</v>
      </c>
      <c r="O13" s="61">
        <f t="shared" si="16"/>
        <v>573.60950105341669</v>
      </c>
      <c r="P13" s="129">
        <f t="shared" si="4"/>
        <v>612.57115474457419</v>
      </c>
      <c r="Q13" s="129">
        <f t="shared" si="5"/>
        <v>567.14087041507992</v>
      </c>
      <c r="R13" s="129">
        <f t="shared" si="6"/>
        <v>660.65676164408023</v>
      </c>
      <c r="S13" s="61">
        <f t="shared" si="7"/>
        <v>728.96252116359653</v>
      </c>
      <c r="T13" s="61">
        <f t="shared" si="1"/>
        <v>1737.0940750698362</v>
      </c>
      <c r="U13" s="61">
        <f t="shared" si="17"/>
        <v>589.81424599227716</v>
      </c>
      <c r="V13" s="61"/>
      <c r="Y13" s="159" t="s">
        <v>53</v>
      </c>
      <c r="Z13" s="159" t="s">
        <v>162</v>
      </c>
      <c r="AA13" s="159" t="s">
        <v>163</v>
      </c>
      <c r="AB13" s="159">
        <f>RANK(AH13,$AH$6:$AH$13,1)</f>
        <v>3</v>
      </c>
      <c r="AC13" s="164">
        <f t="shared" si="18"/>
        <v>529.30124867377856</v>
      </c>
      <c r="AD13" s="164">
        <f t="shared" si="9"/>
        <v>793.68027546247527</v>
      </c>
      <c r="AE13" s="159"/>
      <c r="AF13" s="159">
        <f t="shared" si="10"/>
        <v>11</v>
      </c>
      <c r="AG13" s="160">
        <f t="shared" si="11"/>
        <v>73</v>
      </c>
      <c r="AH13" s="161">
        <f t="shared" si="12"/>
        <v>598.63030520437849</v>
      </c>
      <c r="AI13" s="161">
        <f t="shared" si="13"/>
        <v>468.65430952599331</v>
      </c>
      <c r="AJ13" s="161">
        <f t="shared" si="14"/>
        <v>753.36191779402338</v>
      </c>
      <c r="AK13" s="160">
        <f t="shared" si="15"/>
        <v>5</v>
      </c>
    </row>
    <row r="14" spans="1:37" x14ac:dyDescent="0.2">
      <c r="A14" s="62" t="s">
        <v>37</v>
      </c>
      <c r="B14" s="62" t="s">
        <v>157</v>
      </c>
      <c r="C14" s="62" t="s">
        <v>201</v>
      </c>
      <c r="D14" s="62"/>
      <c r="E14" s="62">
        <f t="shared" si="2"/>
        <v>14</v>
      </c>
      <c r="F14" s="128">
        <v>19</v>
      </c>
      <c r="G14" s="129">
        <v>606.37671391135598</v>
      </c>
      <c r="H14" s="129">
        <v>360.03189920535004</v>
      </c>
      <c r="I14" s="129">
        <v>953.86156809836859</v>
      </c>
      <c r="J14" s="129"/>
      <c r="K14" s="129"/>
      <c r="L14" s="129"/>
      <c r="M14" s="60">
        <f t="shared" si="0"/>
        <v>5</v>
      </c>
      <c r="N14" s="61">
        <f t="shared" si="3"/>
        <v>328.32159121953197</v>
      </c>
      <c r="O14" s="61">
        <f t="shared" si="16"/>
        <v>573.60950105341669</v>
      </c>
      <c r="P14" s="129">
        <f t="shared" si="4"/>
        <v>612.57115474457419</v>
      </c>
      <c r="Q14" s="129">
        <f t="shared" si="5"/>
        <v>567.14087041507992</v>
      </c>
      <c r="R14" s="129">
        <f t="shared" si="6"/>
        <v>660.65676164408023</v>
      </c>
      <c r="S14" s="61">
        <f t="shared" si="7"/>
        <v>728.96252116359653</v>
      </c>
      <c r="T14" s="61">
        <f t="shared" si="1"/>
        <v>1737.0940750698362</v>
      </c>
      <c r="U14" s="61">
        <f t="shared" si="17"/>
        <v>589.81424599227716</v>
      </c>
      <c r="V14" s="61"/>
      <c r="Y14" s="162" t="s">
        <v>29</v>
      </c>
      <c r="Z14" s="162" t="s">
        <v>55</v>
      </c>
      <c r="AA14" s="162" t="s">
        <v>201</v>
      </c>
      <c r="AB14" s="162">
        <f>RANK(AH14,$AH$14:$AH$22,1)</f>
        <v>2</v>
      </c>
      <c r="AC14" s="165">
        <f t="shared" ref="AC14:AC22" si="19">MIN($AH$14:$AH$22)</f>
        <v>328.32159121953197</v>
      </c>
      <c r="AD14" s="165">
        <f>MAX($AH$14:$AH$22)</f>
        <v>1737.0940750698362</v>
      </c>
      <c r="AE14" s="162"/>
      <c r="AF14" s="162">
        <f t="shared" si="10"/>
        <v>2</v>
      </c>
      <c r="AG14" s="167">
        <f t="shared" si="11"/>
        <v>10</v>
      </c>
      <c r="AH14" s="165">
        <f t="shared" si="12"/>
        <v>373.71208105549363</v>
      </c>
      <c r="AI14" s="165">
        <f t="shared" si="13"/>
        <v>177.26071379710464</v>
      </c>
      <c r="AJ14" s="165">
        <f t="shared" si="14"/>
        <v>689.97062805927112</v>
      </c>
      <c r="AK14" s="167">
        <f t="shared" si="15"/>
        <v>5</v>
      </c>
    </row>
    <row r="15" spans="1:37" x14ac:dyDescent="0.2">
      <c r="A15" s="62" t="s">
        <v>38</v>
      </c>
      <c r="B15" s="62" t="s">
        <v>62</v>
      </c>
      <c r="C15" s="62" t="s">
        <v>201</v>
      </c>
      <c r="D15" s="62"/>
      <c r="E15" s="62">
        <f t="shared" si="2"/>
        <v>16</v>
      </c>
      <c r="F15" s="128">
        <v>28</v>
      </c>
      <c r="G15" s="129">
        <v>676.95370472605589</v>
      </c>
      <c r="H15" s="129">
        <v>445.66474704957943</v>
      </c>
      <c r="I15" s="129">
        <v>983.81872350159597</v>
      </c>
      <c r="J15" s="129"/>
      <c r="K15" s="129"/>
      <c r="L15" s="129"/>
      <c r="M15" s="60">
        <f t="shared" si="0"/>
        <v>5</v>
      </c>
      <c r="N15" s="61">
        <f t="shared" si="3"/>
        <v>328.32159121953197</v>
      </c>
      <c r="O15" s="61">
        <f t="shared" si="16"/>
        <v>573.60950105341669</v>
      </c>
      <c r="P15" s="129">
        <f t="shared" si="4"/>
        <v>612.57115474457419</v>
      </c>
      <c r="Q15" s="129">
        <f t="shared" si="5"/>
        <v>567.14087041507992</v>
      </c>
      <c r="R15" s="129">
        <f t="shared" si="6"/>
        <v>660.65676164408023</v>
      </c>
      <c r="S15" s="61">
        <f t="shared" si="7"/>
        <v>728.96252116359653</v>
      </c>
      <c r="T15" s="61">
        <f t="shared" si="1"/>
        <v>1737.0940750698362</v>
      </c>
      <c r="U15" s="61">
        <f t="shared" si="17"/>
        <v>589.81424599227716</v>
      </c>
      <c r="V15" s="61"/>
      <c r="Y15" s="162" t="s">
        <v>32</v>
      </c>
      <c r="Z15" s="162" t="s">
        <v>156</v>
      </c>
      <c r="AA15" s="162" t="s">
        <v>201</v>
      </c>
      <c r="AB15" s="162">
        <f>RANK(AH15,$AH$14:$AH$22,1)</f>
        <v>3</v>
      </c>
      <c r="AC15" s="165">
        <f t="shared" si="19"/>
        <v>328.32159121953197</v>
      </c>
      <c r="AD15" s="165">
        <f t="shared" ref="AD15:AD22" si="20">MAX($AH$14:$AH$22)</f>
        <v>1737.0940750698362</v>
      </c>
      <c r="AE15" s="162"/>
      <c r="AF15" s="162">
        <f t="shared" si="10"/>
        <v>9</v>
      </c>
      <c r="AG15" s="167">
        <f t="shared" si="11"/>
        <v>24</v>
      </c>
      <c r="AH15" s="165">
        <f t="shared" si="12"/>
        <v>576.59059007547944</v>
      </c>
      <c r="AI15" s="165">
        <f t="shared" si="13"/>
        <v>368.38401999871758</v>
      </c>
      <c r="AJ15" s="165">
        <f t="shared" si="14"/>
        <v>859.2330615966431</v>
      </c>
      <c r="AK15" s="167">
        <f t="shared" si="15"/>
        <v>5</v>
      </c>
    </row>
    <row r="16" spans="1:37" x14ac:dyDescent="0.2">
      <c r="A16" s="62" t="s">
        <v>39</v>
      </c>
      <c r="B16" s="62" t="s">
        <v>158</v>
      </c>
      <c r="C16" s="62" t="s">
        <v>200</v>
      </c>
      <c r="D16" s="62"/>
      <c r="E16" s="62">
        <f t="shared" si="2"/>
        <v>3</v>
      </c>
      <c r="F16" s="128">
        <v>23</v>
      </c>
      <c r="G16" s="129">
        <v>476.9522025634941</v>
      </c>
      <c r="H16" s="129">
        <v>301.43369588728939</v>
      </c>
      <c r="I16" s="129">
        <v>716.80979052642442</v>
      </c>
      <c r="J16" s="129"/>
      <c r="K16" s="129"/>
      <c r="L16" s="129"/>
      <c r="M16" s="60">
        <f t="shared" si="0"/>
        <v>5</v>
      </c>
      <c r="N16" s="61">
        <f t="shared" si="3"/>
        <v>328.32159121953197</v>
      </c>
      <c r="O16" s="61">
        <f t="shared" si="16"/>
        <v>573.60950105341669</v>
      </c>
      <c r="P16" s="129">
        <f t="shared" si="4"/>
        <v>612.57115474457419</v>
      </c>
      <c r="Q16" s="129">
        <f t="shared" si="5"/>
        <v>567.14087041507992</v>
      </c>
      <c r="R16" s="129">
        <f t="shared" si="6"/>
        <v>660.65676164408023</v>
      </c>
      <c r="S16" s="61">
        <f t="shared" si="7"/>
        <v>728.96252116359653</v>
      </c>
      <c r="T16" s="61">
        <f t="shared" si="1"/>
        <v>1737.0940750698362</v>
      </c>
      <c r="U16" s="61">
        <f t="shared" si="17"/>
        <v>622.40654899707647</v>
      </c>
      <c r="V16" s="61"/>
      <c r="Y16" s="162" t="s">
        <v>36</v>
      </c>
      <c r="Z16" s="162" t="s">
        <v>61</v>
      </c>
      <c r="AA16" s="162" t="s">
        <v>201</v>
      </c>
      <c r="AB16" s="162">
        <f>RANK(AH16,$AH$14:$AH$22,1)</f>
        <v>5</v>
      </c>
      <c r="AC16" s="165">
        <f t="shared" si="19"/>
        <v>328.32159121953197</v>
      </c>
      <c r="AD16" s="165">
        <f t="shared" si="20"/>
        <v>1737.0940750698362</v>
      </c>
      <c r="AE16" s="162"/>
      <c r="AF16" s="162">
        <f t="shared" si="10"/>
        <v>12</v>
      </c>
      <c r="AG16" s="167" t="str">
        <f t="shared" si="11"/>
        <v>N/A</v>
      </c>
      <c r="AH16" s="165">
        <f t="shared" si="12"/>
        <v>602.36060236060234</v>
      </c>
      <c r="AI16" s="165">
        <f t="shared" si="13"/>
        <v>112.35868261761988</v>
      </c>
      <c r="AJ16" s="165">
        <f t="shared" si="14"/>
        <v>1780.9201750255756</v>
      </c>
      <c r="AK16" s="167">
        <f t="shared" si="15"/>
        <v>5</v>
      </c>
    </row>
    <row r="17" spans="1:37" x14ac:dyDescent="0.2">
      <c r="A17" s="62" t="s">
        <v>40</v>
      </c>
      <c r="B17" s="62" t="s">
        <v>63</v>
      </c>
      <c r="C17" s="62" t="s">
        <v>200</v>
      </c>
      <c r="D17" s="62"/>
      <c r="E17" s="62">
        <f t="shared" si="2"/>
        <v>20</v>
      </c>
      <c r="F17" s="128">
        <v>23</v>
      </c>
      <c r="G17" s="129">
        <v>728.96252116359653</v>
      </c>
      <c r="H17" s="129">
        <v>456.48964966187657</v>
      </c>
      <c r="I17" s="129">
        <v>1101.3146279662246</v>
      </c>
      <c r="J17" s="129"/>
      <c r="K17" s="129"/>
      <c r="L17" s="129"/>
      <c r="M17" s="60">
        <f t="shared" si="0"/>
        <v>5</v>
      </c>
      <c r="N17" s="61">
        <f t="shared" si="3"/>
        <v>328.32159121953197</v>
      </c>
      <c r="O17" s="61">
        <f t="shared" si="16"/>
        <v>573.60950105341669</v>
      </c>
      <c r="P17" s="129">
        <f t="shared" si="4"/>
        <v>612.57115474457419</v>
      </c>
      <c r="Q17" s="129">
        <f t="shared" si="5"/>
        <v>567.14087041507992</v>
      </c>
      <c r="R17" s="129">
        <f t="shared" si="6"/>
        <v>660.65676164408023</v>
      </c>
      <c r="S17" s="61">
        <f t="shared" si="7"/>
        <v>728.96252116359653</v>
      </c>
      <c r="T17" s="61">
        <f t="shared" si="1"/>
        <v>1737.0940750698362</v>
      </c>
      <c r="U17" s="61">
        <f t="shared" si="17"/>
        <v>622.40654899707647</v>
      </c>
      <c r="V17" s="61"/>
      <c r="Y17" s="162" t="s">
        <v>37</v>
      </c>
      <c r="Z17" s="162" t="s">
        <v>157</v>
      </c>
      <c r="AA17" s="162" t="s">
        <v>201</v>
      </c>
      <c r="AB17" s="162">
        <f t="shared" ref="AB17:AB22" si="21">RANK(AH17,$AH$14:$AH$22,1)</f>
        <v>6</v>
      </c>
      <c r="AC17" s="165">
        <f t="shared" si="19"/>
        <v>328.32159121953197</v>
      </c>
      <c r="AD17" s="165">
        <f>MAX($AH$14:$AH$22)</f>
        <v>1737.0940750698362</v>
      </c>
      <c r="AE17" s="162"/>
      <c r="AF17" s="162">
        <f t="shared" si="10"/>
        <v>14</v>
      </c>
      <c r="AG17" s="167">
        <f t="shared" si="11"/>
        <v>19</v>
      </c>
      <c r="AH17" s="165">
        <f t="shared" si="12"/>
        <v>606.37671391135598</v>
      </c>
      <c r="AI17" s="165">
        <f t="shared" si="13"/>
        <v>360.03189920535004</v>
      </c>
      <c r="AJ17" s="165">
        <f t="shared" si="14"/>
        <v>953.86156809836859</v>
      </c>
      <c r="AK17" s="167">
        <f t="shared" si="15"/>
        <v>5</v>
      </c>
    </row>
    <row r="18" spans="1:37" x14ac:dyDescent="0.2">
      <c r="A18" s="62" t="s">
        <v>41</v>
      </c>
      <c r="B18" s="62" t="s">
        <v>64</v>
      </c>
      <c r="C18" s="62" t="s">
        <v>163</v>
      </c>
      <c r="D18" s="62"/>
      <c r="E18" s="62">
        <f t="shared" si="2"/>
        <v>5</v>
      </c>
      <c r="F18" s="128">
        <v>37</v>
      </c>
      <c r="G18" s="129">
        <v>529.30124867377856</v>
      </c>
      <c r="H18" s="129">
        <v>372.24800696522419</v>
      </c>
      <c r="I18" s="129">
        <v>730.07831977981948</v>
      </c>
      <c r="J18" s="129"/>
      <c r="K18" s="129"/>
      <c r="L18" s="129"/>
      <c r="M18" s="60">
        <f t="shared" si="0"/>
        <v>5</v>
      </c>
      <c r="N18" s="61">
        <f t="shared" si="3"/>
        <v>328.32159121953197</v>
      </c>
      <c r="O18" s="61">
        <f t="shared" si="16"/>
        <v>573.60950105341669</v>
      </c>
      <c r="P18" s="129">
        <f t="shared" si="4"/>
        <v>612.57115474457419</v>
      </c>
      <c r="Q18" s="129">
        <f t="shared" si="5"/>
        <v>567.14087041507992</v>
      </c>
      <c r="R18" s="129">
        <f t="shared" si="6"/>
        <v>660.65676164408023</v>
      </c>
      <c r="S18" s="61">
        <f t="shared" si="7"/>
        <v>728.96252116359653</v>
      </c>
      <c r="T18" s="61">
        <f t="shared" si="1"/>
        <v>1737.0940750698362</v>
      </c>
      <c r="U18" s="61">
        <f t="shared" si="17"/>
        <v>618.64289583767481</v>
      </c>
      <c r="V18" s="61"/>
      <c r="Y18" s="162" t="s">
        <v>38</v>
      </c>
      <c r="Z18" s="162" t="s">
        <v>62</v>
      </c>
      <c r="AA18" s="162" t="s">
        <v>201</v>
      </c>
      <c r="AB18" s="162">
        <f t="shared" si="21"/>
        <v>7</v>
      </c>
      <c r="AC18" s="165">
        <f t="shared" si="19"/>
        <v>328.32159121953197</v>
      </c>
      <c r="AD18" s="165">
        <f t="shared" si="20"/>
        <v>1737.0940750698362</v>
      </c>
      <c r="AE18" s="162"/>
      <c r="AF18" s="162">
        <f t="shared" si="10"/>
        <v>16</v>
      </c>
      <c r="AG18" s="167">
        <f t="shared" si="11"/>
        <v>28</v>
      </c>
      <c r="AH18" s="165">
        <f t="shared" si="12"/>
        <v>676.95370472605589</v>
      </c>
      <c r="AI18" s="165">
        <f t="shared" si="13"/>
        <v>445.66474704957943</v>
      </c>
      <c r="AJ18" s="165">
        <f t="shared" si="14"/>
        <v>983.81872350159597</v>
      </c>
      <c r="AK18" s="167">
        <f t="shared" si="15"/>
        <v>5</v>
      </c>
    </row>
    <row r="19" spans="1:37" x14ac:dyDescent="0.2">
      <c r="A19" s="62" t="s">
        <v>42</v>
      </c>
      <c r="B19" s="62" t="s">
        <v>65</v>
      </c>
      <c r="C19" s="62" t="s">
        <v>200</v>
      </c>
      <c r="D19" s="62"/>
      <c r="E19" s="62">
        <f t="shared" si="2"/>
        <v>19</v>
      </c>
      <c r="F19" s="128">
        <v>11</v>
      </c>
      <c r="G19" s="129">
        <v>725.30669391301581</v>
      </c>
      <c r="H19" s="129">
        <v>360.79619387414954</v>
      </c>
      <c r="I19" s="129">
        <v>1299.0835877113293</v>
      </c>
      <c r="J19" s="129"/>
      <c r="K19" s="129"/>
      <c r="L19" s="129"/>
      <c r="M19" s="60">
        <f t="shared" si="0"/>
        <v>5</v>
      </c>
      <c r="N19" s="61">
        <f t="shared" si="3"/>
        <v>328.32159121953197</v>
      </c>
      <c r="O19" s="61">
        <f t="shared" si="16"/>
        <v>573.60950105341669</v>
      </c>
      <c r="P19" s="129">
        <f t="shared" si="4"/>
        <v>612.57115474457419</v>
      </c>
      <c r="Q19" s="129">
        <f t="shared" si="5"/>
        <v>567.14087041507992</v>
      </c>
      <c r="R19" s="129">
        <f t="shared" si="6"/>
        <v>660.65676164408023</v>
      </c>
      <c r="S19" s="61">
        <f t="shared" si="7"/>
        <v>728.96252116359653</v>
      </c>
      <c r="T19" s="61">
        <f t="shared" si="1"/>
        <v>1737.0940750698362</v>
      </c>
      <c r="U19" s="61">
        <f t="shared" si="17"/>
        <v>622.40654899707647</v>
      </c>
      <c r="V19" s="61"/>
      <c r="Y19" s="162" t="s">
        <v>43</v>
      </c>
      <c r="Z19" s="162" t="s">
        <v>159</v>
      </c>
      <c r="AA19" s="162" t="s">
        <v>201</v>
      </c>
      <c r="AB19" s="162">
        <f t="shared" si="21"/>
        <v>4</v>
      </c>
      <c r="AC19" s="165">
        <f t="shared" si="19"/>
        <v>328.32159121953197</v>
      </c>
      <c r="AD19" s="165">
        <f t="shared" si="20"/>
        <v>1737.0940750698362</v>
      </c>
      <c r="AE19" s="162"/>
      <c r="AF19" s="162">
        <f t="shared" si="10"/>
        <v>10</v>
      </c>
      <c r="AG19" s="167">
        <f t="shared" si="11"/>
        <v>29</v>
      </c>
      <c r="AH19" s="165">
        <f t="shared" si="12"/>
        <v>580.12508382642739</v>
      </c>
      <c r="AI19" s="165">
        <f t="shared" si="13"/>
        <v>381.25330707488229</v>
      </c>
      <c r="AJ19" s="165">
        <f t="shared" si="14"/>
        <v>842.67231985707076</v>
      </c>
      <c r="AK19" s="167">
        <f t="shared" si="15"/>
        <v>5</v>
      </c>
    </row>
    <row r="20" spans="1:37" x14ac:dyDescent="0.2">
      <c r="A20" s="62" t="s">
        <v>43</v>
      </c>
      <c r="B20" s="62" t="s">
        <v>159</v>
      </c>
      <c r="C20" s="62" t="s">
        <v>201</v>
      </c>
      <c r="D20" s="62"/>
      <c r="E20" s="62">
        <f t="shared" si="2"/>
        <v>10</v>
      </c>
      <c r="F20" s="128">
        <v>29</v>
      </c>
      <c r="G20" s="129">
        <v>580.12508382642739</v>
      </c>
      <c r="H20" s="129">
        <v>381.25330707488229</v>
      </c>
      <c r="I20" s="129">
        <v>842.67231985707076</v>
      </c>
      <c r="J20" s="129"/>
      <c r="K20" s="129"/>
      <c r="L20" s="129"/>
      <c r="M20" s="60">
        <f t="shared" si="0"/>
        <v>5</v>
      </c>
      <c r="N20" s="61">
        <f t="shared" si="3"/>
        <v>328.32159121953197</v>
      </c>
      <c r="O20" s="61">
        <f t="shared" si="16"/>
        <v>573.60950105341669</v>
      </c>
      <c r="P20" s="129">
        <f t="shared" si="4"/>
        <v>612.57115474457419</v>
      </c>
      <c r="Q20" s="129">
        <f t="shared" si="5"/>
        <v>567.14087041507992</v>
      </c>
      <c r="R20" s="129">
        <f t="shared" si="6"/>
        <v>660.65676164408023</v>
      </c>
      <c r="S20" s="61">
        <f t="shared" si="7"/>
        <v>728.96252116359653</v>
      </c>
      <c r="T20" s="61">
        <f t="shared" si="1"/>
        <v>1737.0940750698362</v>
      </c>
      <c r="U20" s="61">
        <f t="shared" si="17"/>
        <v>589.81424599227716</v>
      </c>
      <c r="V20" s="61"/>
      <c r="Y20" s="162" t="s">
        <v>48</v>
      </c>
      <c r="Z20" s="162" t="s">
        <v>160</v>
      </c>
      <c r="AA20" s="162" t="s">
        <v>201</v>
      </c>
      <c r="AB20" s="162">
        <f t="shared" si="21"/>
        <v>1</v>
      </c>
      <c r="AC20" s="165">
        <f t="shared" si="19"/>
        <v>328.32159121953197</v>
      </c>
      <c r="AD20" s="165">
        <f t="shared" si="20"/>
        <v>1737.0940750698362</v>
      </c>
      <c r="AE20" s="162"/>
      <c r="AF20" s="162">
        <f t="shared" si="10"/>
        <v>1</v>
      </c>
      <c r="AG20" s="167" t="str">
        <f t="shared" si="11"/>
        <v>N/A</v>
      </c>
      <c r="AH20" s="165">
        <f t="shared" si="12"/>
        <v>328.32159121953197</v>
      </c>
      <c r="AI20" s="165">
        <f t="shared" si="13"/>
        <v>161.89522924004689</v>
      </c>
      <c r="AJ20" s="165">
        <f t="shared" si="14"/>
        <v>590.29374569124354</v>
      </c>
      <c r="AK20" s="167">
        <f t="shared" si="15"/>
        <v>5</v>
      </c>
    </row>
    <row r="21" spans="1:37" x14ac:dyDescent="0.2">
      <c r="A21" s="62" t="s">
        <v>44</v>
      </c>
      <c r="B21" s="62" t="s">
        <v>66</v>
      </c>
      <c r="C21" s="62" t="s">
        <v>200</v>
      </c>
      <c r="D21" s="62"/>
      <c r="E21" s="62">
        <f t="shared" si="2"/>
        <v>21</v>
      </c>
      <c r="F21" s="128">
        <v>18</v>
      </c>
      <c r="G21" s="129">
        <v>746.84214153707592</v>
      </c>
      <c r="H21" s="129">
        <v>427.83866879053727</v>
      </c>
      <c r="I21" s="129">
        <v>1201.1305831029426</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5</v>
      </c>
      <c r="N21" s="61">
        <f t="shared" si="3"/>
        <v>328.32159121953197</v>
      </c>
      <c r="O21" s="61">
        <f t="shared" si="16"/>
        <v>573.60950105341669</v>
      </c>
      <c r="P21" s="129">
        <f t="shared" si="4"/>
        <v>612.57115474457419</v>
      </c>
      <c r="Q21" s="129">
        <f t="shared" si="5"/>
        <v>567.14087041507992</v>
      </c>
      <c r="R21" s="129">
        <f t="shared" si="6"/>
        <v>660.65676164408023</v>
      </c>
      <c r="S21" s="61">
        <f t="shared" si="7"/>
        <v>728.96252116359653</v>
      </c>
      <c r="T21" s="61">
        <f t="shared" si="1"/>
        <v>1737.0940750698362</v>
      </c>
      <c r="U21" s="61">
        <f t="shared" si="17"/>
        <v>622.40654899707647</v>
      </c>
      <c r="V21" s="61"/>
      <c r="Y21" s="162" t="s">
        <v>52</v>
      </c>
      <c r="Z21" s="162" t="s">
        <v>72</v>
      </c>
      <c r="AA21" s="162" t="s">
        <v>201</v>
      </c>
      <c r="AB21" s="162">
        <f t="shared" si="21"/>
        <v>8</v>
      </c>
      <c r="AC21" s="165">
        <f t="shared" si="19"/>
        <v>328.32159121953197</v>
      </c>
      <c r="AD21" s="165">
        <f t="shared" si="20"/>
        <v>1737.0940750698362</v>
      </c>
      <c r="AE21" s="162"/>
      <c r="AF21" s="162">
        <f t="shared" si="10"/>
        <v>23</v>
      </c>
      <c r="AG21" s="167">
        <f t="shared" si="11"/>
        <v>11</v>
      </c>
      <c r="AH21" s="165">
        <f t="shared" si="12"/>
        <v>790.81999356566314</v>
      </c>
      <c r="AI21" s="165">
        <f t="shared" si="13"/>
        <v>327.93164316520136</v>
      </c>
      <c r="AJ21" s="165">
        <f t="shared" si="14"/>
        <v>1519.4537087532447</v>
      </c>
      <c r="AK21" s="167">
        <f t="shared" si="15"/>
        <v>5</v>
      </c>
    </row>
    <row r="22" spans="1:37" x14ac:dyDescent="0.2">
      <c r="A22" s="62" t="s">
        <v>45</v>
      </c>
      <c r="B22" s="62" t="s">
        <v>67</v>
      </c>
      <c r="C22" s="62" t="s">
        <v>163</v>
      </c>
      <c r="D22" s="62"/>
      <c r="E22" s="62">
        <f t="shared" si="2"/>
        <v>15</v>
      </c>
      <c r="F22" s="128">
        <v>28</v>
      </c>
      <c r="G22" s="129">
        <v>647.18325471106448</v>
      </c>
      <c r="H22" s="129">
        <v>429.02668158640108</v>
      </c>
      <c r="I22" s="129">
        <v>936.62474634314026</v>
      </c>
      <c r="J22" s="129"/>
      <c r="K22" s="129"/>
      <c r="L22" s="129"/>
      <c r="M22" s="60">
        <f t="shared" si="0"/>
        <v>5</v>
      </c>
      <c r="N22" s="61">
        <f t="shared" si="3"/>
        <v>328.32159121953197</v>
      </c>
      <c r="O22" s="61">
        <f t="shared" si="16"/>
        <v>573.60950105341669</v>
      </c>
      <c r="P22" s="129">
        <f t="shared" si="4"/>
        <v>612.57115474457419</v>
      </c>
      <c r="Q22" s="129">
        <f t="shared" si="5"/>
        <v>567.14087041507992</v>
      </c>
      <c r="R22" s="129">
        <f t="shared" si="6"/>
        <v>660.65676164408023</v>
      </c>
      <c r="S22" s="61">
        <f t="shared" si="7"/>
        <v>728.96252116359653</v>
      </c>
      <c r="T22" s="61">
        <f t="shared" si="1"/>
        <v>1737.0940750698362</v>
      </c>
      <c r="U22" s="61">
        <f>VLOOKUP(C22,$C$43:$I$46,5,FALSE)</f>
        <v>618.64289583767481</v>
      </c>
      <c r="V22" s="61"/>
      <c r="Y22" s="162" t="s">
        <v>54</v>
      </c>
      <c r="Z22" s="162" t="s">
        <v>73</v>
      </c>
      <c r="AA22" s="162" t="s">
        <v>201</v>
      </c>
      <c r="AB22" s="162">
        <f t="shared" si="21"/>
        <v>9</v>
      </c>
      <c r="AC22" s="165">
        <f t="shared" si="19"/>
        <v>328.32159121953197</v>
      </c>
      <c r="AD22" s="165">
        <f t="shared" si="20"/>
        <v>1737.0940750698362</v>
      </c>
      <c r="AE22" s="162"/>
      <c r="AF22" s="162">
        <f t="shared" si="10"/>
        <v>26</v>
      </c>
      <c r="AG22" s="167">
        <f t="shared" si="11"/>
        <v>22</v>
      </c>
      <c r="AH22" s="165">
        <f t="shared" si="12"/>
        <v>1737.0940750698362</v>
      </c>
      <c r="AI22" s="165">
        <f t="shared" si="13"/>
        <v>1036.804566636408</v>
      </c>
      <c r="AJ22" s="165">
        <f t="shared" si="14"/>
        <v>2700.9045303991566</v>
      </c>
      <c r="AK22" s="167">
        <f t="shared" si="15"/>
        <v>1</v>
      </c>
    </row>
    <row r="23" spans="1:37" x14ac:dyDescent="0.2">
      <c r="A23" s="62" t="s">
        <v>46</v>
      </c>
      <c r="B23" s="62" t="s">
        <v>68</v>
      </c>
      <c r="C23" s="62" t="s">
        <v>163</v>
      </c>
      <c r="D23" s="62"/>
      <c r="E23" s="62">
        <f t="shared" si="2"/>
        <v>7</v>
      </c>
      <c r="F23" s="128">
        <v>44</v>
      </c>
      <c r="G23" s="129">
        <v>573.60950105341669</v>
      </c>
      <c r="H23" s="129">
        <v>413.89446216132194</v>
      </c>
      <c r="I23" s="129">
        <v>773.63272782071544</v>
      </c>
      <c r="J23" s="129"/>
      <c r="K23" s="129"/>
      <c r="L23" s="129"/>
      <c r="M23" s="60">
        <f t="shared" si="0"/>
        <v>5</v>
      </c>
      <c r="N23" s="61">
        <f t="shared" si="3"/>
        <v>328.32159121953197</v>
      </c>
      <c r="O23" s="61">
        <f t="shared" si="16"/>
        <v>573.60950105341669</v>
      </c>
      <c r="P23" s="129">
        <f t="shared" si="4"/>
        <v>612.57115474457419</v>
      </c>
      <c r="Q23" s="129">
        <f t="shared" si="5"/>
        <v>567.14087041507992</v>
      </c>
      <c r="R23" s="129">
        <f t="shared" si="6"/>
        <v>660.65676164408023</v>
      </c>
      <c r="S23" s="61">
        <f t="shared" si="7"/>
        <v>728.96252116359653</v>
      </c>
      <c r="T23" s="61">
        <f t="shared" si="1"/>
        <v>1737.0940750698362</v>
      </c>
      <c r="U23" s="61">
        <f t="shared" si="17"/>
        <v>618.64289583767481</v>
      </c>
      <c r="V23" s="61"/>
      <c r="Y23" s="163" t="s">
        <v>30</v>
      </c>
      <c r="Z23" s="163" t="s">
        <v>56</v>
      </c>
      <c r="AA23" s="163" t="s">
        <v>200</v>
      </c>
      <c r="AB23" s="163">
        <f>RANK(AH23,$AH$23:$AH$31,1)</f>
        <v>3</v>
      </c>
      <c r="AC23" s="166">
        <f>MIN($AH$23:$AH$31)</f>
        <v>476.9522025634941</v>
      </c>
      <c r="AD23" s="166">
        <f>MAX($AH$23:$AH$31)</f>
        <v>1082.776288790679</v>
      </c>
      <c r="AE23" s="163"/>
      <c r="AF23" s="163">
        <f t="shared" si="10"/>
        <v>6</v>
      </c>
      <c r="AG23" s="168">
        <f t="shared" si="11"/>
        <v>28</v>
      </c>
      <c r="AH23" s="166">
        <f t="shared" si="12"/>
        <v>540.05996967526005</v>
      </c>
      <c r="AI23" s="166">
        <f t="shared" si="13"/>
        <v>356.69547193272541</v>
      </c>
      <c r="AJ23" s="166">
        <f t="shared" si="14"/>
        <v>783.34071514533753</v>
      </c>
      <c r="AK23" s="168">
        <f t="shared" si="15"/>
        <v>5</v>
      </c>
    </row>
    <row r="24" spans="1:37" x14ac:dyDescent="0.2">
      <c r="A24" s="62" t="s">
        <v>47</v>
      </c>
      <c r="B24" s="62" t="s">
        <v>69</v>
      </c>
      <c r="C24" s="62" t="s">
        <v>163</v>
      </c>
      <c r="D24" s="62"/>
      <c r="E24" s="62">
        <f t="shared" si="2"/>
        <v>24</v>
      </c>
      <c r="F24" s="128">
        <v>17</v>
      </c>
      <c r="G24" s="129">
        <v>793.68027546247527</v>
      </c>
      <c r="H24" s="129">
        <v>444.45232069818161</v>
      </c>
      <c r="I24" s="129">
        <v>1296.1986002623125</v>
      </c>
      <c r="J24" s="129"/>
      <c r="K24" s="129"/>
      <c r="L24" s="129"/>
      <c r="M24" s="60">
        <f t="shared" si="0"/>
        <v>5</v>
      </c>
      <c r="N24" s="61">
        <f t="shared" si="3"/>
        <v>328.32159121953197</v>
      </c>
      <c r="O24" s="61">
        <f t="shared" si="16"/>
        <v>573.60950105341669</v>
      </c>
      <c r="P24" s="129">
        <f t="shared" si="4"/>
        <v>612.57115474457419</v>
      </c>
      <c r="Q24" s="129">
        <f t="shared" si="5"/>
        <v>567.14087041507992</v>
      </c>
      <c r="R24" s="129">
        <f t="shared" si="6"/>
        <v>660.65676164408023</v>
      </c>
      <c r="S24" s="61">
        <f t="shared" si="7"/>
        <v>728.96252116359653</v>
      </c>
      <c r="T24" s="61">
        <f t="shared" si="1"/>
        <v>1737.0940750698362</v>
      </c>
      <c r="U24" s="61">
        <f t="shared" si="17"/>
        <v>618.64289583767481</v>
      </c>
      <c r="V24" s="61"/>
      <c r="Y24" s="163" t="s">
        <v>31</v>
      </c>
      <c r="Z24" s="163" t="s">
        <v>57</v>
      </c>
      <c r="AA24" s="163" t="s">
        <v>200</v>
      </c>
      <c r="AB24" s="163">
        <f t="shared" ref="AB24:AB31" si="22">RANK(AH24,$AH$23:$AH$31,1)</f>
        <v>4</v>
      </c>
      <c r="AC24" s="166">
        <f t="shared" ref="AC24:AC31" si="23">MIN($AH$23:$AH$31)</f>
        <v>476.9522025634941</v>
      </c>
      <c r="AD24" s="166">
        <f t="shared" ref="AD24:AD31" si="24">MAX($AH$23:$AH$31)</f>
        <v>1082.776288790679</v>
      </c>
      <c r="AE24" s="163"/>
      <c r="AF24" s="163">
        <f t="shared" si="10"/>
        <v>8</v>
      </c>
      <c r="AG24" s="168">
        <f t="shared" si="11"/>
        <v>44</v>
      </c>
      <c r="AH24" s="166">
        <f t="shared" si="12"/>
        <v>573.89760971348255</v>
      </c>
      <c r="AI24" s="166">
        <f t="shared" si="13"/>
        <v>416.2105338392409</v>
      </c>
      <c r="AJ24" s="166">
        <f t="shared" si="14"/>
        <v>771.38106496390037</v>
      </c>
      <c r="AK24" s="168">
        <f t="shared" si="15"/>
        <v>5</v>
      </c>
    </row>
    <row r="25" spans="1:37" x14ac:dyDescent="0.2">
      <c r="A25" s="62" t="s">
        <v>48</v>
      </c>
      <c r="B25" s="62" t="s">
        <v>160</v>
      </c>
      <c r="C25" s="62" t="s">
        <v>201</v>
      </c>
      <c r="D25" s="62"/>
      <c r="E25" s="62">
        <f t="shared" si="2"/>
        <v>1</v>
      </c>
      <c r="F25" s="128" t="s">
        <v>79</v>
      </c>
      <c r="G25" s="129">
        <v>328.32159121953197</v>
      </c>
      <c r="H25" s="129">
        <v>161.89522924004689</v>
      </c>
      <c r="I25" s="129">
        <v>590.29374569124354</v>
      </c>
      <c r="J25" s="129"/>
      <c r="K25" s="129"/>
      <c r="L25" s="129"/>
      <c r="M25" s="60">
        <f t="shared" si="0"/>
        <v>5</v>
      </c>
      <c r="N25" s="61">
        <f t="shared" si="3"/>
        <v>328.32159121953197</v>
      </c>
      <c r="O25" s="61">
        <f t="shared" si="16"/>
        <v>573.60950105341669</v>
      </c>
      <c r="P25" s="129">
        <f t="shared" si="4"/>
        <v>612.57115474457419</v>
      </c>
      <c r="Q25" s="129">
        <f t="shared" si="5"/>
        <v>567.14087041507992</v>
      </c>
      <c r="R25" s="129">
        <f t="shared" si="6"/>
        <v>660.65676164408023</v>
      </c>
      <c r="S25" s="61">
        <f t="shared" si="7"/>
        <v>728.96252116359653</v>
      </c>
      <c r="T25" s="61">
        <f t="shared" si="1"/>
        <v>1737.0940750698362</v>
      </c>
      <c r="U25" s="61">
        <f t="shared" si="17"/>
        <v>589.81424599227716</v>
      </c>
      <c r="V25" s="61"/>
      <c r="Y25" s="163" t="s">
        <v>34</v>
      </c>
      <c r="Z25" s="163" t="s">
        <v>59</v>
      </c>
      <c r="AA25" s="163" t="s">
        <v>200</v>
      </c>
      <c r="AB25" s="163">
        <f t="shared" si="22"/>
        <v>5</v>
      </c>
      <c r="AC25" s="166">
        <f t="shared" si="23"/>
        <v>476.9522025634941</v>
      </c>
      <c r="AD25" s="166">
        <f t="shared" si="24"/>
        <v>1082.776288790679</v>
      </c>
      <c r="AE25" s="163"/>
      <c r="AF25" s="163">
        <f t="shared" si="10"/>
        <v>18</v>
      </c>
      <c r="AG25" s="168">
        <f t="shared" si="11"/>
        <v>43</v>
      </c>
      <c r="AH25" s="166">
        <f t="shared" si="12"/>
        <v>724.49694291590288</v>
      </c>
      <c r="AI25" s="166">
        <f t="shared" si="13"/>
        <v>522.35846223536407</v>
      </c>
      <c r="AJ25" s="166">
        <f t="shared" si="14"/>
        <v>978.3158921219856</v>
      </c>
      <c r="AK25" s="168">
        <f t="shared" si="15"/>
        <v>5</v>
      </c>
    </row>
    <row r="26" spans="1:37" x14ac:dyDescent="0.2">
      <c r="A26" s="62" t="s">
        <v>49</v>
      </c>
      <c r="B26" s="62" t="s">
        <v>70</v>
      </c>
      <c r="C26" s="62" t="s">
        <v>200</v>
      </c>
      <c r="D26" s="62"/>
      <c r="E26" s="62">
        <f t="shared" si="2"/>
        <v>4</v>
      </c>
      <c r="F26" s="128">
        <v>18</v>
      </c>
      <c r="G26" s="129">
        <v>509.43669940025154</v>
      </c>
      <c r="H26" s="129">
        <v>297.16213272007667</v>
      </c>
      <c r="I26" s="129">
        <v>811.73397927289739</v>
      </c>
      <c r="J26" s="129"/>
      <c r="K26" s="129"/>
      <c r="L26" s="129"/>
      <c r="M26" s="60">
        <f t="shared" si="0"/>
        <v>5</v>
      </c>
      <c r="N26" s="61">
        <f t="shared" si="3"/>
        <v>328.32159121953197</v>
      </c>
      <c r="O26" s="61">
        <f t="shared" si="16"/>
        <v>573.60950105341669</v>
      </c>
      <c r="P26" s="129">
        <f t="shared" si="4"/>
        <v>612.57115474457419</v>
      </c>
      <c r="Q26" s="129">
        <f t="shared" si="5"/>
        <v>567.14087041507992</v>
      </c>
      <c r="R26" s="129">
        <f t="shared" si="6"/>
        <v>660.65676164408023</v>
      </c>
      <c r="S26" s="61">
        <f t="shared" si="7"/>
        <v>728.96252116359653</v>
      </c>
      <c r="T26" s="61">
        <f t="shared" si="1"/>
        <v>1737.0940750698362</v>
      </c>
      <c r="U26" s="61">
        <f t="shared" si="17"/>
        <v>622.40654899707647</v>
      </c>
      <c r="V26" s="61"/>
      <c r="Y26" s="163" t="s">
        <v>39</v>
      </c>
      <c r="Z26" s="163" t="s">
        <v>158</v>
      </c>
      <c r="AA26" s="163" t="s">
        <v>200</v>
      </c>
      <c r="AB26" s="163">
        <f t="shared" si="22"/>
        <v>1</v>
      </c>
      <c r="AC26" s="166">
        <f t="shared" si="23"/>
        <v>476.9522025634941</v>
      </c>
      <c r="AD26" s="166">
        <f t="shared" si="24"/>
        <v>1082.776288790679</v>
      </c>
      <c r="AE26" s="163"/>
      <c r="AF26" s="163">
        <f t="shared" si="10"/>
        <v>3</v>
      </c>
      <c r="AG26" s="168">
        <f t="shared" si="11"/>
        <v>23</v>
      </c>
      <c r="AH26" s="166">
        <f t="shared" si="12"/>
        <v>476.9522025634941</v>
      </c>
      <c r="AI26" s="166">
        <f t="shared" si="13"/>
        <v>301.43369588728939</v>
      </c>
      <c r="AJ26" s="166">
        <f t="shared" si="14"/>
        <v>716.80979052642442</v>
      </c>
      <c r="AK26" s="168">
        <f t="shared" si="15"/>
        <v>5</v>
      </c>
    </row>
    <row r="27" spans="1:37" x14ac:dyDescent="0.2">
      <c r="A27" s="62" t="s">
        <v>50</v>
      </c>
      <c r="B27" s="62" t="s">
        <v>161</v>
      </c>
      <c r="C27" s="62" t="s">
        <v>163</v>
      </c>
      <c r="D27" s="62"/>
      <c r="E27" s="62">
        <f t="shared" si="2"/>
        <v>17</v>
      </c>
      <c r="F27" s="128">
        <v>18</v>
      </c>
      <c r="G27" s="129">
        <v>689.14772744057132</v>
      </c>
      <c r="H27" s="129">
        <v>407.59656686027694</v>
      </c>
      <c r="I27" s="129">
        <v>1090.1008482948675</v>
      </c>
      <c r="J27" s="129"/>
      <c r="K27" s="129"/>
      <c r="L27" s="129"/>
      <c r="M27" s="60">
        <f t="shared" si="0"/>
        <v>5</v>
      </c>
      <c r="N27" s="61">
        <f t="shared" si="3"/>
        <v>328.32159121953197</v>
      </c>
      <c r="O27" s="61">
        <f t="shared" si="16"/>
        <v>573.60950105341669</v>
      </c>
      <c r="P27" s="129">
        <f t="shared" si="4"/>
        <v>612.57115474457419</v>
      </c>
      <c r="Q27" s="129">
        <f t="shared" si="5"/>
        <v>567.14087041507992</v>
      </c>
      <c r="R27" s="129">
        <f t="shared" si="6"/>
        <v>660.65676164408023</v>
      </c>
      <c r="S27" s="61">
        <f t="shared" si="7"/>
        <v>728.96252116359653</v>
      </c>
      <c r="T27" s="61">
        <f t="shared" si="1"/>
        <v>1737.0940750698362</v>
      </c>
      <c r="U27" s="61">
        <f t="shared" si="17"/>
        <v>618.64289583767481</v>
      </c>
      <c r="V27" s="61"/>
      <c r="Y27" s="163" t="s">
        <v>40</v>
      </c>
      <c r="Z27" s="163" t="s">
        <v>63</v>
      </c>
      <c r="AA27" s="163" t="s">
        <v>200</v>
      </c>
      <c r="AB27" s="163">
        <f t="shared" si="22"/>
        <v>7</v>
      </c>
      <c r="AC27" s="166">
        <f t="shared" si="23"/>
        <v>476.9522025634941</v>
      </c>
      <c r="AD27" s="166">
        <f t="shared" si="24"/>
        <v>1082.776288790679</v>
      </c>
      <c r="AE27" s="163"/>
      <c r="AF27" s="163">
        <f t="shared" si="10"/>
        <v>20</v>
      </c>
      <c r="AG27" s="168">
        <f t="shared" si="11"/>
        <v>23</v>
      </c>
      <c r="AH27" s="166">
        <f t="shared" si="12"/>
        <v>728.96252116359653</v>
      </c>
      <c r="AI27" s="166">
        <f t="shared" si="13"/>
        <v>456.48964966187657</v>
      </c>
      <c r="AJ27" s="166">
        <f t="shared" si="14"/>
        <v>1101.3146279662246</v>
      </c>
      <c r="AK27" s="168">
        <f t="shared" si="15"/>
        <v>5</v>
      </c>
    </row>
    <row r="28" spans="1:37" x14ac:dyDescent="0.2">
      <c r="A28" s="62" t="s">
        <v>51</v>
      </c>
      <c r="B28" s="62" t="s">
        <v>71</v>
      </c>
      <c r="C28" s="62" t="s">
        <v>200</v>
      </c>
      <c r="D28" s="62"/>
      <c r="E28" s="62">
        <f t="shared" si="2"/>
        <v>25</v>
      </c>
      <c r="F28" s="128">
        <v>15</v>
      </c>
      <c r="G28" s="129">
        <v>1082.776288790679</v>
      </c>
      <c r="H28" s="129">
        <v>592.71693078335863</v>
      </c>
      <c r="I28" s="129">
        <v>1804.9315240858728</v>
      </c>
      <c r="J28" s="129"/>
      <c r="K28" s="129"/>
      <c r="L28" s="129"/>
      <c r="M28" s="60">
        <f t="shared" si="0"/>
        <v>5</v>
      </c>
      <c r="N28" s="61">
        <f t="shared" si="3"/>
        <v>328.32159121953197</v>
      </c>
      <c r="O28" s="61">
        <f t="shared" si="16"/>
        <v>573.60950105341669</v>
      </c>
      <c r="P28" s="129">
        <f t="shared" si="4"/>
        <v>612.57115474457419</v>
      </c>
      <c r="Q28" s="129">
        <f t="shared" si="5"/>
        <v>567.14087041507992</v>
      </c>
      <c r="R28" s="129">
        <f t="shared" si="6"/>
        <v>660.65676164408023</v>
      </c>
      <c r="S28" s="61">
        <f t="shared" si="7"/>
        <v>728.96252116359653</v>
      </c>
      <c r="T28" s="61">
        <f t="shared" si="1"/>
        <v>1737.0940750698362</v>
      </c>
      <c r="U28" s="61">
        <f t="shared" si="17"/>
        <v>622.40654899707647</v>
      </c>
      <c r="V28" s="61"/>
      <c r="Y28" s="163" t="s">
        <v>42</v>
      </c>
      <c r="Z28" s="163" t="s">
        <v>65</v>
      </c>
      <c r="AA28" s="163" t="s">
        <v>200</v>
      </c>
      <c r="AB28" s="163">
        <f t="shared" si="22"/>
        <v>6</v>
      </c>
      <c r="AC28" s="166">
        <f t="shared" si="23"/>
        <v>476.9522025634941</v>
      </c>
      <c r="AD28" s="166">
        <f t="shared" si="24"/>
        <v>1082.776288790679</v>
      </c>
      <c r="AE28" s="163"/>
      <c r="AF28" s="163">
        <f t="shared" si="10"/>
        <v>19</v>
      </c>
      <c r="AG28" s="168">
        <f t="shared" si="11"/>
        <v>11</v>
      </c>
      <c r="AH28" s="166">
        <f t="shared" si="12"/>
        <v>725.30669391301581</v>
      </c>
      <c r="AI28" s="166">
        <f t="shared" si="13"/>
        <v>360.79619387414954</v>
      </c>
      <c r="AJ28" s="166">
        <f t="shared" si="14"/>
        <v>1299.0835877113293</v>
      </c>
      <c r="AK28" s="168">
        <f t="shared" si="15"/>
        <v>5</v>
      </c>
    </row>
    <row r="29" spans="1:37" x14ac:dyDescent="0.2">
      <c r="A29" s="62" t="s">
        <v>52</v>
      </c>
      <c r="B29" s="62" t="s">
        <v>72</v>
      </c>
      <c r="C29" s="62" t="s">
        <v>201</v>
      </c>
      <c r="D29" s="62"/>
      <c r="E29" s="62">
        <f t="shared" si="2"/>
        <v>23</v>
      </c>
      <c r="F29" s="128">
        <v>11</v>
      </c>
      <c r="G29" s="129">
        <v>790.81999356566314</v>
      </c>
      <c r="H29" s="129">
        <v>327.93164316520136</v>
      </c>
      <c r="I29" s="129">
        <v>1519.4537087532447</v>
      </c>
      <c r="J29" s="129"/>
      <c r="K29" s="129"/>
      <c r="L29" s="129"/>
      <c r="M29" s="60">
        <f t="shared" si="0"/>
        <v>5</v>
      </c>
      <c r="N29" s="61">
        <f t="shared" si="3"/>
        <v>328.32159121953197</v>
      </c>
      <c r="O29" s="61">
        <f t="shared" si="16"/>
        <v>573.60950105341669</v>
      </c>
      <c r="P29" s="129">
        <f t="shared" si="4"/>
        <v>612.57115474457419</v>
      </c>
      <c r="Q29" s="129">
        <f t="shared" si="5"/>
        <v>567.14087041507992</v>
      </c>
      <c r="R29" s="129">
        <f t="shared" si="6"/>
        <v>660.65676164408023</v>
      </c>
      <c r="S29" s="61">
        <f t="shared" si="7"/>
        <v>728.96252116359653</v>
      </c>
      <c r="T29" s="61">
        <f t="shared" si="1"/>
        <v>1737.0940750698362</v>
      </c>
      <c r="U29" s="61">
        <f t="shared" si="17"/>
        <v>589.81424599227716</v>
      </c>
      <c r="V29" s="61"/>
      <c r="Y29" s="163" t="s">
        <v>44</v>
      </c>
      <c r="Z29" s="163" t="s">
        <v>66</v>
      </c>
      <c r="AA29" s="163" t="s">
        <v>200</v>
      </c>
      <c r="AB29" s="163">
        <f t="shared" si="22"/>
        <v>8</v>
      </c>
      <c r="AC29" s="166">
        <f t="shared" si="23"/>
        <v>476.9522025634941</v>
      </c>
      <c r="AD29" s="166">
        <f t="shared" si="24"/>
        <v>1082.776288790679</v>
      </c>
      <c r="AE29" s="163"/>
      <c r="AF29" s="163">
        <f t="shared" si="10"/>
        <v>21</v>
      </c>
      <c r="AG29" s="168">
        <f t="shared" si="11"/>
        <v>18</v>
      </c>
      <c r="AH29" s="166">
        <f t="shared" si="12"/>
        <v>746.84214153707592</v>
      </c>
      <c r="AI29" s="166">
        <f t="shared" si="13"/>
        <v>427.83866879053727</v>
      </c>
      <c r="AJ29" s="166">
        <f t="shared" si="14"/>
        <v>1201.1305831029426</v>
      </c>
      <c r="AK29" s="168">
        <f t="shared" si="15"/>
        <v>5</v>
      </c>
    </row>
    <row r="30" spans="1:37" x14ac:dyDescent="0.2">
      <c r="A30" s="62" t="s">
        <v>53</v>
      </c>
      <c r="B30" s="62" t="s">
        <v>162</v>
      </c>
      <c r="C30" s="62" t="s">
        <v>163</v>
      </c>
      <c r="D30" s="62"/>
      <c r="E30" s="62">
        <f t="shared" si="2"/>
        <v>11</v>
      </c>
      <c r="F30" s="128">
        <v>73</v>
      </c>
      <c r="G30" s="129">
        <v>598.63030520437849</v>
      </c>
      <c r="H30" s="129">
        <v>468.65430952599331</v>
      </c>
      <c r="I30" s="129">
        <v>753.36191779402338</v>
      </c>
      <c r="J30" s="129"/>
      <c r="K30" s="129"/>
      <c r="L30" s="129"/>
      <c r="M30" s="60">
        <f t="shared" si="0"/>
        <v>5</v>
      </c>
      <c r="N30" s="61">
        <f t="shared" si="3"/>
        <v>328.32159121953197</v>
      </c>
      <c r="O30" s="61">
        <f t="shared" si="16"/>
        <v>573.60950105341669</v>
      </c>
      <c r="P30" s="129">
        <f>$G$32</f>
        <v>612.57115474457419</v>
      </c>
      <c r="Q30" s="129">
        <f t="shared" si="5"/>
        <v>567.14087041507992</v>
      </c>
      <c r="R30" s="129">
        <f t="shared" si="6"/>
        <v>660.65676164408023</v>
      </c>
      <c r="S30" s="61">
        <f t="shared" si="7"/>
        <v>728.96252116359653</v>
      </c>
      <c r="T30" s="61">
        <f t="shared" si="1"/>
        <v>1737.0940750698362</v>
      </c>
      <c r="U30" s="61">
        <f t="shared" si="17"/>
        <v>618.64289583767481</v>
      </c>
      <c r="V30" s="61"/>
      <c r="Y30" s="163" t="s">
        <v>49</v>
      </c>
      <c r="Z30" s="163" t="s">
        <v>70</v>
      </c>
      <c r="AA30" s="163" t="s">
        <v>200</v>
      </c>
      <c r="AB30" s="163">
        <f t="shared" si="22"/>
        <v>2</v>
      </c>
      <c r="AC30" s="166">
        <f t="shared" si="23"/>
        <v>476.9522025634941</v>
      </c>
      <c r="AD30" s="166">
        <f t="shared" si="24"/>
        <v>1082.776288790679</v>
      </c>
      <c r="AE30" s="163"/>
      <c r="AF30" s="163">
        <f t="shared" si="10"/>
        <v>4</v>
      </c>
      <c r="AG30" s="168">
        <f t="shared" si="11"/>
        <v>18</v>
      </c>
      <c r="AH30" s="166">
        <f t="shared" si="12"/>
        <v>509.43669940025154</v>
      </c>
      <c r="AI30" s="166">
        <f t="shared" si="13"/>
        <v>297.16213272007667</v>
      </c>
      <c r="AJ30" s="166">
        <f t="shared" si="14"/>
        <v>811.73397927289739</v>
      </c>
      <c r="AK30" s="168">
        <f t="shared" si="15"/>
        <v>5</v>
      </c>
    </row>
    <row r="31" spans="1:37" x14ac:dyDescent="0.2">
      <c r="A31" s="62" t="s">
        <v>54</v>
      </c>
      <c r="B31" s="62" t="s">
        <v>73</v>
      </c>
      <c r="C31" s="62" t="s">
        <v>201</v>
      </c>
      <c r="D31" s="62"/>
      <c r="E31" s="62">
        <f t="shared" si="2"/>
        <v>26</v>
      </c>
      <c r="F31" s="128">
        <v>22</v>
      </c>
      <c r="G31" s="129">
        <v>1737.0940750698362</v>
      </c>
      <c r="H31" s="129">
        <v>1036.804566636408</v>
      </c>
      <c r="I31" s="129">
        <v>2700.9045303991566</v>
      </c>
      <c r="J31" s="129"/>
      <c r="K31" s="129"/>
      <c r="L31" s="129"/>
      <c r="M31" s="60">
        <f t="shared" si="0"/>
        <v>1</v>
      </c>
      <c r="N31" s="61">
        <f t="shared" si="3"/>
        <v>328.32159121953197</v>
      </c>
      <c r="O31" s="61">
        <f t="shared" si="16"/>
        <v>573.60950105341669</v>
      </c>
      <c r="P31" s="129">
        <f t="shared" si="4"/>
        <v>612.57115474457419</v>
      </c>
      <c r="Q31" s="129">
        <f t="shared" si="5"/>
        <v>567.14087041507992</v>
      </c>
      <c r="R31" s="129">
        <f t="shared" si="6"/>
        <v>660.65676164408023</v>
      </c>
      <c r="S31" s="61">
        <f t="shared" si="7"/>
        <v>728.96252116359653</v>
      </c>
      <c r="T31" s="61">
        <f t="shared" si="1"/>
        <v>1737.0940750698362</v>
      </c>
      <c r="U31" s="61">
        <f t="shared" si="17"/>
        <v>589.81424599227716</v>
      </c>
      <c r="V31" s="61"/>
      <c r="Y31" s="163" t="s">
        <v>51</v>
      </c>
      <c r="Z31" s="163" t="s">
        <v>71</v>
      </c>
      <c r="AA31" s="163" t="s">
        <v>200</v>
      </c>
      <c r="AB31" s="163">
        <f t="shared" si="22"/>
        <v>9</v>
      </c>
      <c r="AC31" s="166">
        <f t="shared" si="23"/>
        <v>476.9522025634941</v>
      </c>
      <c r="AD31" s="166">
        <f t="shared" si="24"/>
        <v>1082.776288790679</v>
      </c>
      <c r="AE31" s="163"/>
      <c r="AF31" s="163">
        <f t="shared" si="10"/>
        <v>25</v>
      </c>
      <c r="AG31" s="168">
        <f t="shared" si="11"/>
        <v>15</v>
      </c>
      <c r="AH31" s="166">
        <f t="shared" si="12"/>
        <v>1082.776288790679</v>
      </c>
      <c r="AI31" s="166">
        <f t="shared" si="13"/>
        <v>592.71693078335863</v>
      </c>
      <c r="AJ31" s="166">
        <f t="shared" si="14"/>
        <v>1804.9315240858728</v>
      </c>
      <c r="AK31" s="168">
        <f t="shared" si="15"/>
        <v>5</v>
      </c>
    </row>
    <row r="32" spans="1:37" x14ac:dyDescent="0.2">
      <c r="A32" s="62"/>
      <c r="B32" s="62" t="s">
        <v>171</v>
      </c>
      <c r="C32" s="62"/>
      <c r="D32" s="62"/>
      <c r="E32" s="62"/>
      <c r="F32" s="128">
        <v>680</v>
      </c>
      <c r="G32" s="129">
        <v>612.57115474457419</v>
      </c>
      <c r="H32" s="129">
        <v>567.14087041507992</v>
      </c>
      <c r="I32" s="129">
        <v>660.65676164408023</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300</v>
      </c>
      <c r="G44" s="129">
        <v>618.64289583767481</v>
      </c>
      <c r="H44" s="129">
        <v>550.3199524329101</v>
      </c>
      <c r="I44" s="129">
        <v>693.07534380953962</v>
      </c>
      <c r="J44" s="129">
        <f>VLOOKUP($C44,$AA$6:$AD$13,3,FALSE)</f>
        <v>529.30124867377856</v>
      </c>
      <c r="K44" s="129">
        <f>VLOOKUP($C44,$AA$6:$AD$13,4,FALSE)</f>
        <v>793.68027546247527</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5</v>
      </c>
      <c r="N44" s="61">
        <f>MIN($G$6:$G$31)</f>
        <v>328.32159121953197</v>
      </c>
      <c r="O44" s="61">
        <f>VLOOKUP(7,$E$5:$G$39,3,FALSE)</f>
        <v>573.60950105341669</v>
      </c>
      <c r="P44" s="129">
        <f>$G$32</f>
        <v>612.57115474457419</v>
      </c>
      <c r="Q44" s="129">
        <f>$H$32</f>
        <v>567.14087041507992</v>
      </c>
      <c r="R44" s="129">
        <f>$I$32</f>
        <v>660.65676164408023</v>
      </c>
      <c r="S44" s="61">
        <f>VLOOKUP(20,$E$5:$G$39,3,FALSE)</f>
        <v>728.96252116359653</v>
      </c>
      <c r="T44" s="61">
        <f>MAX($G$6:$G$31)</f>
        <v>1737.0940750698362</v>
      </c>
    </row>
    <row r="45" spans="1:22" x14ac:dyDescent="0.2">
      <c r="C45" s="62" t="s">
        <v>201</v>
      </c>
      <c r="D45" s="62"/>
      <c r="E45" s="62"/>
      <c r="F45" s="128">
        <v>157</v>
      </c>
      <c r="G45" s="129">
        <v>589.81424599227716</v>
      </c>
      <c r="H45" s="129">
        <v>499.92753337694609</v>
      </c>
      <c r="I45" s="129">
        <v>691.01748099120664</v>
      </c>
      <c r="J45" s="129">
        <f>VLOOKUP($C45,$AA$14:$AD$22,3,FALSE)</f>
        <v>328.32159121953197</v>
      </c>
      <c r="K45" s="129">
        <f>VLOOKUP($C45,$AA$14:$AD$22,4,FALSE)</f>
        <v>1737.0940750698362</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5</v>
      </c>
      <c r="N45" s="61">
        <f>MIN($G$6:$G$31)</f>
        <v>328.32159121953197</v>
      </c>
      <c r="O45" s="61">
        <f>VLOOKUP(7,$E$5:$G$39,3,FALSE)</f>
        <v>573.60950105341669</v>
      </c>
      <c r="P45" s="129">
        <f>$G$32</f>
        <v>612.57115474457419</v>
      </c>
      <c r="Q45" s="129">
        <f t="shared" ref="Q45:Q46" si="25">$H$32</f>
        <v>567.14087041507992</v>
      </c>
      <c r="R45" s="129">
        <f t="shared" ref="R45:R46" si="26">$I$32</f>
        <v>660.65676164408023</v>
      </c>
      <c r="S45" s="61">
        <f>VLOOKUP(20,$E$5:$G$39,3,FALSE)</f>
        <v>728.96252116359653</v>
      </c>
      <c r="T45" s="61">
        <f t="shared" ref="T45:T46" si="27">MAX($G$6:$G$31)</f>
        <v>1737.0940750698362</v>
      </c>
    </row>
    <row r="46" spans="1:22" x14ac:dyDescent="0.2">
      <c r="C46" s="62" t="s">
        <v>200</v>
      </c>
      <c r="D46" s="62"/>
      <c r="E46" s="62"/>
      <c r="F46" s="128">
        <v>223</v>
      </c>
      <c r="G46" s="129">
        <v>622.40654899707647</v>
      </c>
      <c r="H46" s="129">
        <v>542.91535887577004</v>
      </c>
      <c r="I46" s="129">
        <v>710.20570219110505</v>
      </c>
      <c r="J46" s="129">
        <f>VLOOKUP($C46,$AA$23:$AD$31,3,FALSE)</f>
        <v>476.9522025634941</v>
      </c>
      <c r="K46" s="129">
        <f>VLOOKUP($C46,$AA$23:$AD$31,4,FALSE)</f>
        <v>1082.776288790679</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5</v>
      </c>
      <c r="N46" s="61">
        <f>MIN($G$6:$G$31)</f>
        <v>328.32159121953197</v>
      </c>
      <c r="O46" s="61">
        <f>VLOOKUP(7,$E$5:$G$39,3,FALSE)</f>
        <v>573.60950105341669</v>
      </c>
      <c r="P46" s="129">
        <f t="shared" ref="P46" si="28">$G$32</f>
        <v>612.57115474457419</v>
      </c>
      <c r="Q46" s="129">
        <f t="shared" si="25"/>
        <v>567.14087041507992</v>
      </c>
      <c r="R46" s="129">
        <f t="shared" si="26"/>
        <v>660.65676164408023</v>
      </c>
      <c r="S46" s="61">
        <f>VLOOKUP(20,$E$5:$G$39,3,FALSE)</f>
        <v>728.96252116359653</v>
      </c>
      <c r="T46" s="61">
        <f t="shared" si="27"/>
        <v>1737.0940750698362</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K2:N2" xr:uid="{00000000-0002-0000-3F00-000000000000}">
      <formula1>"High = Worst,Low = Worst"</formula1>
    </dataValidation>
    <dataValidation type="list" allowBlank="1" showInputMessage="1" showErrorMessage="1" sqref="C2:D2" xr:uid="{00000000-0002-0000-3F00-000001000000}">
      <formula1>"Better / Worse,Higher / Lower,Significance not measured"</formula1>
    </dataValidation>
  </dataValidations>
  <pageMargins left="0.75" right="0.75" top="1" bottom="1" header="0.5" footer="0.5"/>
  <pageSetup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6" tint="0.39997558519241921"/>
  </sheetPr>
  <dimension ref="A1:AK55"/>
  <sheetViews>
    <sheetView topLeftCell="A19" workbookViewId="0">
      <selection activeCell="J84" sqref="J84"/>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8" width="7.33203125" style="21" customWidth="1"/>
    <col min="9" max="9" width="6.886718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5.554687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133</v>
      </c>
      <c r="D2" s="444"/>
      <c r="F2" s="137" t="s">
        <v>135</v>
      </c>
      <c r="G2" s="138"/>
      <c r="H2" s="138"/>
      <c r="I2" s="139"/>
      <c r="J2" s="140"/>
      <c r="K2" s="445" t="s">
        <v>137</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4</v>
      </c>
      <c r="F6" s="128" t="s">
        <v>79</v>
      </c>
      <c r="G6" s="129">
        <v>24.870183110139379</v>
      </c>
      <c r="H6" s="129">
        <v>20.023375060538992</v>
      </c>
      <c r="I6" s="129">
        <v>30.535396072334279</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3</v>
      </c>
      <c r="N6" s="61">
        <f>MIN($G$6:$G$32)</f>
        <v>20.595690747782001</v>
      </c>
      <c r="O6" s="61">
        <f>VLOOKUP(7,$E$5:$G$39,3,FALSE)</f>
        <v>31.950909860347014</v>
      </c>
      <c r="P6" s="129">
        <f>$G$32</f>
        <v>38.165990869651516</v>
      </c>
      <c r="Q6" s="129">
        <f>$H$32</f>
        <v>36.154037375313059</v>
      </c>
      <c r="R6" s="129">
        <f>$I$32</f>
        <v>40.26076562813634</v>
      </c>
      <c r="S6" s="61">
        <f>VLOOKUP(20,$E$5:$G$39,3,FALSE)</f>
        <v>42.548134062277157</v>
      </c>
      <c r="T6" s="61">
        <f t="shared" ref="T6:T31" si="1">MAX($G$6:$G$31)</f>
        <v>94.962362478286039</v>
      </c>
      <c r="U6" s="61">
        <f>VLOOKUP(C6,$C$43:$I$46,5,FALSE)</f>
        <v>38.727372462973122</v>
      </c>
      <c r="V6" s="61"/>
      <c r="Y6" s="159" t="s">
        <v>33</v>
      </c>
      <c r="Z6" s="159" t="s">
        <v>58</v>
      </c>
      <c r="AA6" s="159" t="s">
        <v>163</v>
      </c>
      <c r="AB6" s="159">
        <f>RANK(AH6,$AH$6:$AH$13,1)</f>
        <v>4</v>
      </c>
      <c r="AC6" s="164">
        <f>MIN($AH$6:$AH$13)</f>
        <v>31.728665207877462</v>
      </c>
      <c r="AD6" s="164">
        <f>MAX($AH$6:$AH$13)</f>
        <v>45.628997867803839</v>
      </c>
      <c r="AE6" s="159"/>
      <c r="AF6" s="159">
        <f>VLOOKUP($Y6,$A$6:$I$31,5,FALSE)</f>
        <v>10</v>
      </c>
      <c r="AG6" s="160" t="str">
        <f>VLOOKUP($Y6,$A$6:$I$31,6,FALSE)</f>
        <v>N/A</v>
      </c>
      <c r="AH6" s="161">
        <f>VLOOKUP($Y6,$A$6:$I$31,7,FALSE)</f>
        <v>32.788470838572401</v>
      </c>
      <c r="AI6" s="161">
        <f>VLOOKUP($Y6,$A$6:$I$31,8,FALSE)</f>
        <v>29.390519861867144</v>
      </c>
      <c r="AJ6" s="161">
        <f>VLOOKUP($Y6,$A$6:$I$31,9,FALSE)</f>
        <v>36.471447883414037</v>
      </c>
      <c r="AK6" s="160">
        <f>VLOOKUP($Y6,$A$6:$M$31,13,FALSE)</f>
        <v>5</v>
      </c>
    </row>
    <row r="7" spans="1:37" x14ac:dyDescent="0.2">
      <c r="A7" s="62" t="s">
        <v>30</v>
      </c>
      <c r="B7" s="62" t="s">
        <v>56</v>
      </c>
      <c r="C7" s="62" t="s">
        <v>200</v>
      </c>
      <c r="D7" s="62"/>
      <c r="E7" s="62">
        <f t="shared" ref="E7:E31" si="2">RANK(G7,$G$6:$G$31,1)</f>
        <v>17</v>
      </c>
      <c r="F7" s="128" t="s">
        <v>79</v>
      </c>
      <c r="G7" s="129">
        <v>39.565905494008589</v>
      </c>
      <c r="H7" s="129">
        <v>33.920528919425244</v>
      </c>
      <c r="I7" s="129">
        <v>45.882119561652424</v>
      </c>
      <c r="J7" s="129"/>
      <c r="K7" s="129"/>
      <c r="L7" s="129"/>
      <c r="M7" s="60">
        <f t="shared" si="0"/>
        <v>5</v>
      </c>
      <c r="N7" s="61">
        <f t="shared" ref="N7:N31" si="3">MIN($G$6:$G$32)</f>
        <v>20.595690747782001</v>
      </c>
      <c r="O7" s="61">
        <f>VLOOKUP(7,$E$5:$G$39,3,FALSE)</f>
        <v>31.950909860347014</v>
      </c>
      <c r="P7" s="129">
        <f t="shared" ref="P7:P31" si="4">$G$32</f>
        <v>38.165990869651516</v>
      </c>
      <c r="Q7" s="129">
        <f t="shared" ref="Q7:Q31" si="5">$H$32</f>
        <v>36.154037375313059</v>
      </c>
      <c r="R7" s="129">
        <f t="shared" ref="R7:R31" si="6">$I$32</f>
        <v>40.26076562813634</v>
      </c>
      <c r="S7" s="61">
        <f t="shared" ref="S7:S31" si="7">VLOOKUP(20,$E$5:$G$39,3,FALSE)</f>
        <v>42.548134062277157</v>
      </c>
      <c r="T7" s="61">
        <f t="shared" si="1"/>
        <v>94.962362478286039</v>
      </c>
      <c r="U7" s="61">
        <f>VLOOKUP(C7,$C$43:$I$46,5,FALSE)</f>
        <v>40.160642570281126</v>
      </c>
      <c r="V7" s="61"/>
      <c r="Y7" s="159" t="s">
        <v>35</v>
      </c>
      <c r="Z7" s="159" t="s">
        <v>60</v>
      </c>
      <c r="AA7" s="159" t="s">
        <v>163</v>
      </c>
      <c r="AB7" s="159">
        <f t="shared" ref="AB7:AB12" si="8">RANK(AH7,$AH$6:$AH$13,1)</f>
        <v>7</v>
      </c>
      <c r="AC7" s="164">
        <f>MIN($AH$6:$AH$13)</f>
        <v>31.728665207877462</v>
      </c>
      <c r="AD7" s="164">
        <f t="shared" ref="AD7:AD13" si="9">MAX($AH$6:$AH$13)</f>
        <v>45.628997867803839</v>
      </c>
      <c r="AE7" s="159"/>
      <c r="AF7" s="159">
        <f t="shared" ref="AF7:AF31" si="10">VLOOKUP($Y7,$A$6:$I$31,5,FALSE)</f>
        <v>19</v>
      </c>
      <c r="AG7" s="160" t="str">
        <f t="shared" ref="AG7:AG31" si="11">VLOOKUP($Y7,$A$6:$I$31,6,FALSE)</f>
        <v>N/A</v>
      </c>
      <c r="AH7" s="161">
        <f t="shared" ref="AH7:AH31" si="12">VLOOKUP($Y7,$A$6:$I$31,7,FALSE)</f>
        <v>41.702546438676343</v>
      </c>
      <c r="AI7" s="161">
        <f t="shared" ref="AI7:AI31" si="13">VLOOKUP($Y7,$A$6:$I$31,8,FALSE)</f>
        <v>37.380807584185554</v>
      </c>
      <c r="AJ7" s="161">
        <f t="shared" ref="AJ7:AJ31" si="14">VLOOKUP($Y7,$A$6:$I$31,9,FALSE)</f>
        <v>46.386800303434335</v>
      </c>
      <c r="AK7" s="160">
        <f t="shared" ref="AK7:AK31" si="15">VLOOKUP($Y7,$A$6:$M$31,13,FALSE)</f>
        <v>5</v>
      </c>
    </row>
    <row r="8" spans="1:37" x14ac:dyDescent="0.2">
      <c r="A8" s="62" t="s">
        <v>31</v>
      </c>
      <c r="B8" s="62" t="s">
        <v>57</v>
      </c>
      <c r="C8" s="62" t="s">
        <v>200</v>
      </c>
      <c r="D8" s="62"/>
      <c r="E8" s="62">
        <f t="shared" si="2"/>
        <v>14</v>
      </c>
      <c r="F8" s="128" t="s">
        <v>79</v>
      </c>
      <c r="G8" s="129">
        <v>35.946217872496113</v>
      </c>
      <c r="H8" s="129">
        <v>32.479650045491972</v>
      </c>
      <c r="I8" s="129">
        <v>39.681987487198043</v>
      </c>
      <c r="J8" s="129"/>
      <c r="K8" s="129"/>
      <c r="L8" s="129"/>
      <c r="M8" s="60">
        <f t="shared" si="0"/>
        <v>5</v>
      </c>
      <c r="N8" s="61">
        <f t="shared" si="3"/>
        <v>20.595690747782001</v>
      </c>
      <c r="O8" s="61">
        <f t="shared" ref="O8:O31" si="16">VLOOKUP(7,$E$5:$G$39,3,FALSE)</f>
        <v>31.950909860347014</v>
      </c>
      <c r="P8" s="129">
        <f t="shared" si="4"/>
        <v>38.165990869651516</v>
      </c>
      <c r="Q8" s="129">
        <f t="shared" si="5"/>
        <v>36.154037375313059</v>
      </c>
      <c r="R8" s="129">
        <f t="shared" si="6"/>
        <v>40.26076562813634</v>
      </c>
      <c r="S8" s="61">
        <f t="shared" si="7"/>
        <v>42.548134062277157</v>
      </c>
      <c r="T8" s="61">
        <f t="shared" si="1"/>
        <v>94.962362478286039</v>
      </c>
      <c r="U8" s="61">
        <f t="shared" ref="U8:U31" si="17">VLOOKUP(C8,$C$43:$I$46,5,FALSE)</f>
        <v>40.160642570281126</v>
      </c>
      <c r="V8" s="61"/>
      <c r="Y8" s="159" t="s">
        <v>41</v>
      </c>
      <c r="Z8" s="159" t="s">
        <v>64</v>
      </c>
      <c r="AA8" s="159" t="s">
        <v>163</v>
      </c>
      <c r="AB8" s="159">
        <f t="shared" si="8"/>
        <v>1</v>
      </c>
      <c r="AC8" s="164">
        <f t="shared" ref="AC8:AC13" si="18">MIN($AH$6:$AH$13)</f>
        <v>31.728665207877462</v>
      </c>
      <c r="AD8" s="164">
        <f>MAX($AH$6:$AH$13)</f>
        <v>45.628997867803839</v>
      </c>
      <c r="AE8" s="159"/>
      <c r="AF8" s="159">
        <f t="shared" si="10"/>
        <v>6</v>
      </c>
      <c r="AG8" s="160" t="str">
        <f t="shared" si="11"/>
        <v>N/A</v>
      </c>
      <c r="AH8" s="161">
        <f t="shared" si="12"/>
        <v>31.728665207877462</v>
      </c>
      <c r="AI8" s="161">
        <f t="shared" si="13"/>
        <v>28.181510109377022</v>
      </c>
      <c r="AJ8" s="161">
        <f t="shared" si="14"/>
        <v>35.598697123193304</v>
      </c>
      <c r="AK8" s="160">
        <f t="shared" si="15"/>
        <v>3</v>
      </c>
    </row>
    <row r="9" spans="1:37" x14ac:dyDescent="0.2">
      <c r="A9" s="62" t="s">
        <v>32</v>
      </c>
      <c r="B9" s="62" t="s">
        <v>156</v>
      </c>
      <c r="C9" s="62" t="s">
        <v>201</v>
      </c>
      <c r="D9" s="62"/>
      <c r="E9" s="62">
        <f t="shared" si="2"/>
        <v>15</v>
      </c>
      <c r="F9" s="128" t="s">
        <v>79</v>
      </c>
      <c r="G9" s="129">
        <v>37.779580484413025</v>
      </c>
      <c r="H9" s="129">
        <v>33.789249418215192</v>
      </c>
      <c r="I9" s="129">
        <v>42.111539675195623</v>
      </c>
      <c r="J9" s="129"/>
      <c r="K9" s="129"/>
      <c r="L9" s="129"/>
      <c r="M9" s="60">
        <f t="shared" si="0"/>
        <v>5</v>
      </c>
      <c r="N9" s="61">
        <f t="shared" si="3"/>
        <v>20.595690747782001</v>
      </c>
      <c r="O9" s="61">
        <f t="shared" si="16"/>
        <v>31.950909860347014</v>
      </c>
      <c r="P9" s="129">
        <f t="shared" si="4"/>
        <v>38.165990869651516</v>
      </c>
      <c r="Q9" s="129">
        <f t="shared" si="5"/>
        <v>36.154037375313059</v>
      </c>
      <c r="R9" s="129">
        <f t="shared" si="6"/>
        <v>40.26076562813634</v>
      </c>
      <c r="S9" s="61">
        <f t="shared" si="7"/>
        <v>42.548134062277157</v>
      </c>
      <c r="T9" s="61">
        <f t="shared" si="1"/>
        <v>94.962362478286039</v>
      </c>
      <c r="U9" s="61">
        <f t="shared" si="17"/>
        <v>38.727372462973122</v>
      </c>
      <c r="V9" s="61"/>
      <c r="X9" s="63"/>
      <c r="Y9" s="159" t="s">
        <v>45</v>
      </c>
      <c r="Z9" s="159" t="s">
        <v>67</v>
      </c>
      <c r="AA9" s="159" t="s">
        <v>163</v>
      </c>
      <c r="AB9" s="159">
        <f t="shared" si="8"/>
        <v>8</v>
      </c>
      <c r="AC9" s="164">
        <f t="shared" si="18"/>
        <v>31.728665207877462</v>
      </c>
      <c r="AD9" s="164">
        <f t="shared" si="9"/>
        <v>45.628997867803839</v>
      </c>
      <c r="AE9" s="159"/>
      <c r="AF9" s="159">
        <f t="shared" si="10"/>
        <v>22</v>
      </c>
      <c r="AG9" s="160" t="str">
        <f t="shared" si="11"/>
        <v>N/A</v>
      </c>
      <c r="AH9" s="161">
        <f t="shared" si="12"/>
        <v>45.628997867803839</v>
      </c>
      <c r="AI9" s="161">
        <f t="shared" si="13"/>
        <v>40.773265809959184</v>
      </c>
      <c r="AJ9" s="161">
        <f t="shared" si="14"/>
        <v>50.903822956964298</v>
      </c>
      <c r="AK9" s="160">
        <f t="shared" si="15"/>
        <v>4</v>
      </c>
    </row>
    <row r="10" spans="1:37" x14ac:dyDescent="0.2">
      <c r="A10" s="62" t="s">
        <v>33</v>
      </c>
      <c r="B10" s="62" t="s">
        <v>58</v>
      </c>
      <c r="C10" s="62" t="s">
        <v>163</v>
      </c>
      <c r="D10" s="62"/>
      <c r="E10" s="62">
        <f t="shared" si="2"/>
        <v>10</v>
      </c>
      <c r="F10" s="128" t="s">
        <v>79</v>
      </c>
      <c r="G10" s="129">
        <v>32.788470838572401</v>
      </c>
      <c r="H10" s="129">
        <v>29.390519861867144</v>
      </c>
      <c r="I10" s="129">
        <v>36.471447883414037</v>
      </c>
      <c r="J10" s="129"/>
      <c r="K10" s="129"/>
      <c r="L10" s="129"/>
      <c r="M10" s="60">
        <f t="shared" si="0"/>
        <v>5</v>
      </c>
      <c r="N10" s="61">
        <f t="shared" si="3"/>
        <v>20.595690747782001</v>
      </c>
      <c r="O10" s="61">
        <f t="shared" si="16"/>
        <v>31.950909860347014</v>
      </c>
      <c r="P10" s="129">
        <f t="shared" si="4"/>
        <v>38.165990869651516</v>
      </c>
      <c r="Q10" s="129">
        <f t="shared" si="5"/>
        <v>36.154037375313059</v>
      </c>
      <c r="R10" s="129">
        <f t="shared" si="6"/>
        <v>40.26076562813634</v>
      </c>
      <c r="S10" s="61">
        <f t="shared" si="7"/>
        <v>42.548134062277157</v>
      </c>
      <c r="T10" s="61">
        <f t="shared" si="1"/>
        <v>94.962362478286039</v>
      </c>
      <c r="U10" s="61">
        <f t="shared" si="17"/>
        <v>36.263437202340455</v>
      </c>
      <c r="V10" s="61"/>
      <c r="Y10" s="159" t="s">
        <v>46</v>
      </c>
      <c r="Z10" s="159" t="s">
        <v>68</v>
      </c>
      <c r="AA10" s="159" t="s">
        <v>163</v>
      </c>
      <c r="AB10" s="159">
        <f t="shared" si="8"/>
        <v>2</v>
      </c>
      <c r="AC10" s="164">
        <f t="shared" si="18"/>
        <v>31.728665207877462</v>
      </c>
      <c r="AD10" s="164">
        <f t="shared" si="9"/>
        <v>45.628997867803839</v>
      </c>
      <c r="AE10" s="159"/>
      <c r="AF10" s="159">
        <f t="shared" si="10"/>
        <v>7</v>
      </c>
      <c r="AG10" s="160" t="str">
        <f t="shared" si="11"/>
        <v>N/A</v>
      </c>
      <c r="AH10" s="161">
        <f t="shared" si="12"/>
        <v>31.950909860347014</v>
      </c>
      <c r="AI10" s="161">
        <f t="shared" si="13"/>
        <v>28.448505478509315</v>
      </c>
      <c r="AJ10" s="161">
        <f t="shared" si="14"/>
        <v>35.765414320750736</v>
      </c>
      <c r="AK10" s="160">
        <f t="shared" si="15"/>
        <v>3</v>
      </c>
    </row>
    <row r="11" spans="1:37" x14ac:dyDescent="0.2">
      <c r="A11" s="62" t="s">
        <v>34</v>
      </c>
      <c r="B11" s="62" t="s">
        <v>59</v>
      </c>
      <c r="C11" s="62" t="s">
        <v>200</v>
      </c>
      <c r="D11" s="62"/>
      <c r="E11" s="62">
        <f t="shared" si="2"/>
        <v>8</v>
      </c>
      <c r="F11" s="128" t="s">
        <v>79</v>
      </c>
      <c r="G11" s="129">
        <v>32.335454260978402</v>
      </c>
      <c r="H11" s="129">
        <v>28.83560879769232</v>
      </c>
      <c r="I11" s="129">
        <v>36.142930547424527</v>
      </c>
      <c r="J11" s="129"/>
      <c r="K11" s="129"/>
      <c r="L11" s="129"/>
      <c r="M11" s="60">
        <f t="shared" si="0"/>
        <v>3</v>
      </c>
      <c r="N11" s="61">
        <f t="shared" si="3"/>
        <v>20.595690747782001</v>
      </c>
      <c r="O11" s="61">
        <f t="shared" si="16"/>
        <v>31.950909860347014</v>
      </c>
      <c r="P11" s="129">
        <f t="shared" si="4"/>
        <v>38.165990869651516</v>
      </c>
      <c r="Q11" s="129">
        <f t="shared" si="5"/>
        <v>36.154037375313059</v>
      </c>
      <c r="R11" s="129">
        <f t="shared" si="6"/>
        <v>40.26076562813634</v>
      </c>
      <c r="S11" s="61">
        <f t="shared" si="7"/>
        <v>42.548134062277157</v>
      </c>
      <c r="T11" s="61">
        <f t="shared" si="1"/>
        <v>94.962362478286039</v>
      </c>
      <c r="U11" s="61">
        <f t="shared" si="17"/>
        <v>40.160642570281126</v>
      </c>
      <c r="V11" s="61"/>
      <c r="Y11" s="159" t="s">
        <v>47</v>
      </c>
      <c r="Z11" s="159" t="s">
        <v>69</v>
      </c>
      <c r="AA11" s="159" t="s">
        <v>163</v>
      </c>
      <c r="AB11" s="159">
        <f t="shared" si="8"/>
        <v>3</v>
      </c>
      <c r="AC11" s="164">
        <f t="shared" si="18"/>
        <v>31.728665207877462</v>
      </c>
      <c r="AD11" s="164">
        <f t="shared" si="9"/>
        <v>45.628997867803839</v>
      </c>
      <c r="AE11" s="159"/>
      <c r="AF11" s="159">
        <f t="shared" si="10"/>
        <v>9</v>
      </c>
      <c r="AG11" s="160" t="str">
        <f t="shared" si="11"/>
        <v>N/A</v>
      </c>
      <c r="AH11" s="161">
        <f t="shared" si="12"/>
        <v>32.5497287522604</v>
      </c>
      <c r="AI11" s="161">
        <f t="shared" si="13"/>
        <v>24.450711611135734</v>
      </c>
      <c r="AJ11" s="161">
        <f t="shared" si="14"/>
        <v>42.471158568947892</v>
      </c>
      <c r="AK11" s="160">
        <f t="shared" si="15"/>
        <v>5</v>
      </c>
    </row>
    <row r="12" spans="1:37" x14ac:dyDescent="0.2">
      <c r="A12" s="62" t="s">
        <v>35</v>
      </c>
      <c r="B12" s="62" t="s">
        <v>60</v>
      </c>
      <c r="C12" s="62" t="s">
        <v>163</v>
      </c>
      <c r="D12" s="62"/>
      <c r="E12" s="62">
        <f t="shared" si="2"/>
        <v>19</v>
      </c>
      <c r="F12" s="128" t="s">
        <v>79</v>
      </c>
      <c r="G12" s="129">
        <v>41.702546438676343</v>
      </c>
      <c r="H12" s="129">
        <v>37.380807584185554</v>
      </c>
      <c r="I12" s="129">
        <v>46.386800303434335</v>
      </c>
      <c r="J12" s="129"/>
      <c r="K12" s="129"/>
      <c r="L12" s="129"/>
      <c r="M12" s="60">
        <f t="shared" si="0"/>
        <v>5</v>
      </c>
      <c r="N12" s="61">
        <f t="shared" si="3"/>
        <v>20.595690747782001</v>
      </c>
      <c r="O12" s="61">
        <f t="shared" si="16"/>
        <v>31.950909860347014</v>
      </c>
      <c r="P12" s="129">
        <f t="shared" si="4"/>
        <v>38.165990869651516</v>
      </c>
      <c r="Q12" s="129">
        <f t="shared" si="5"/>
        <v>36.154037375313059</v>
      </c>
      <c r="R12" s="129">
        <f t="shared" si="6"/>
        <v>40.26076562813634</v>
      </c>
      <c r="S12" s="61">
        <f t="shared" si="7"/>
        <v>42.548134062277157</v>
      </c>
      <c r="T12" s="61">
        <f t="shared" si="1"/>
        <v>94.962362478286039</v>
      </c>
      <c r="U12" s="61">
        <f t="shared" si="17"/>
        <v>36.263437202340455</v>
      </c>
      <c r="V12" s="61"/>
      <c r="Y12" s="159" t="s">
        <v>50</v>
      </c>
      <c r="Z12" s="159" t="s">
        <v>161</v>
      </c>
      <c r="AA12" s="159" t="s">
        <v>163</v>
      </c>
      <c r="AB12" s="159">
        <f t="shared" si="8"/>
        <v>6</v>
      </c>
      <c r="AC12" s="164">
        <f t="shared" si="18"/>
        <v>31.728665207877462</v>
      </c>
      <c r="AD12" s="164">
        <f t="shared" si="9"/>
        <v>45.628997867803839</v>
      </c>
      <c r="AE12" s="159"/>
      <c r="AF12" s="159">
        <f t="shared" si="10"/>
        <v>16</v>
      </c>
      <c r="AG12" s="160" t="str">
        <f t="shared" si="11"/>
        <v>N/A</v>
      </c>
      <c r="AH12" s="161">
        <f t="shared" si="12"/>
        <v>38.492706645056728</v>
      </c>
      <c r="AI12" s="161">
        <f t="shared" si="13"/>
        <v>33.213476141242481</v>
      </c>
      <c r="AJ12" s="161">
        <f t="shared" si="14"/>
        <v>44.372470518636895</v>
      </c>
      <c r="AK12" s="160">
        <f t="shared" si="15"/>
        <v>5</v>
      </c>
    </row>
    <row r="13" spans="1:37" x14ac:dyDescent="0.2">
      <c r="A13" s="62" t="s">
        <v>36</v>
      </c>
      <c r="B13" s="62" t="s">
        <v>61</v>
      </c>
      <c r="C13" s="62" t="s">
        <v>201</v>
      </c>
      <c r="D13" s="62"/>
      <c r="E13" s="62">
        <f t="shared" si="2"/>
        <v>24</v>
      </c>
      <c r="F13" s="128" t="s">
        <v>79</v>
      </c>
      <c r="G13" s="129">
        <v>46.550929482255334</v>
      </c>
      <c r="H13" s="129">
        <v>41.45627823668098</v>
      </c>
      <c r="I13" s="129">
        <v>52.098780798489663</v>
      </c>
      <c r="J13" s="129"/>
      <c r="K13" s="129"/>
      <c r="L13" s="129"/>
      <c r="M13" s="60">
        <f t="shared" si="0"/>
        <v>4</v>
      </c>
      <c r="N13" s="61">
        <f t="shared" si="3"/>
        <v>20.595690747782001</v>
      </c>
      <c r="O13" s="61">
        <f t="shared" si="16"/>
        <v>31.950909860347014</v>
      </c>
      <c r="P13" s="129">
        <f t="shared" si="4"/>
        <v>38.165990869651516</v>
      </c>
      <c r="Q13" s="129">
        <f t="shared" si="5"/>
        <v>36.154037375313059</v>
      </c>
      <c r="R13" s="129">
        <f t="shared" si="6"/>
        <v>40.26076562813634</v>
      </c>
      <c r="S13" s="61">
        <f t="shared" si="7"/>
        <v>42.548134062277157</v>
      </c>
      <c r="T13" s="61">
        <f t="shared" si="1"/>
        <v>94.962362478286039</v>
      </c>
      <c r="U13" s="61">
        <f t="shared" si="17"/>
        <v>38.727372462973122</v>
      </c>
      <c r="V13" s="61"/>
      <c r="Y13" s="159" t="s">
        <v>53</v>
      </c>
      <c r="Z13" s="159" t="s">
        <v>162</v>
      </c>
      <c r="AA13" s="159" t="s">
        <v>163</v>
      </c>
      <c r="AB13" s="159">
        <f>RANK(AH13,$AH$6:$AH$13,1)</f>
        <v>5</v>
      </c>
      <c r="AC13" s="164">
        <f t="shared" si="18"/>
        <v>31.728665207877462</v>
      </c>
      <c r="AD13" s="164">
        <f t="shared" si="9"/>
        <v>45.628997867803839</v>
      </c>
      <c r="AE13" s="159"/>
      <c r="AF13" s="159">
        <f t="shared" si="10"/>
        <v>12</v>
      </c>
      <c r="AG13" s="160" t="str">
        <f t="shared" si="11"/>
        <v>N/A</v>
      </c>
      <c r="AH13" s="161">
        <f t="shared" si="12"/>
        <v>34.895585334331003</v>
      </c>
      <c r="AI13" s="161">
        <f t="shared" si="13"/>
        <v>31.940796751727223</v>
      </c>
      <c r="AJ13" s="161">
        <f t="shared" si="14"/>
        <v>38.050166373484885</v>
      </c>
      <c r="AK13" s="160">
        <f t="shared" si="15"/>
        <v>5</v>
      </c>
    </row>
    <row r="14" spans="1:37" x14ac:dyDescent="0.2">
      <c r="A14" s="62" t="s">
        <v>37</v>
      </c>
      <c r="B14" s="62" t="s">
        <v>157</v>
      </c>
      <c r="C14" s="62" t="s">
        <v>201</v>
      </c>
      <c r="D14" s="62"/>
      <c r="E14" s="62">
        <f t="shared" si="2"/>
        <v>18</v>
      </c>
      <c r="F14" s="128" t="s">
        <v>79</v>
      </c>
      <c r="G14" s="129">
        <v>40.511062636335303</v>
      </c>
      <c r="H14" s="129">
        <v>33.846382685732159</v>
      </c>
      <c r="I14" s="129">
        <v>48.103922908457228</v>
      </c>
      <c r="J14" s="129"/>
      <c r="K14" s="129"/>
      <c r="L14" s="129"/>
      <c r="M14" s="60">
        <f t="shared" si="0"/>
        <v>5</v>
      </c>
      <c r="N14" s="61">
        <f t="shared" si="3"/>
        <v>20.595690747782001</v>
      </c>
      <c r="O14" s="61">
        <f t="shared" si="16"/>
        <v>31.950909860347014</v>
      </c>
      <c r="P14" s="129">
        <f t="shared" si="4"/>
        <v>38.165990869651516</v>
      </c>
      <c r="Q14" s="129">
        <f t="shared" si="5"/>
        <v>36.154037375313059</v>
      </c>
      <c r="R14" s="129">
        <f t="shared" si="6"/>
        <v>40.26076562813634</v>
      </c>
      <c r="S14" s="61">
        <f t="shared" si="7"/>
        <v>42.548134062277157</v>
      </c>
      <c r="T14" s="61">
        <f t="shared" si="1"/>
        <v>94.962362478286039</v>
      </c>
      <c r="U14" s="61">
        <f t="shared" si="17"/>
        <v>38.727372462973122</v>
      </c>
      <c r="V14" s="61"/>
      <c r="Y14" s="162" t="s">
        <v>29</v>
      </c>
      <c r="Z14" s="162" t="s">
        <v>55</v>
      </c>
      <c r="AA14" s="162" t="s">
        <v>201</v>
      </c>
      <c r="AB14" s="162">
        <f>RANK(AH14,$AH$14:$AH$22,1)</f>
        <v>2</v>
      </c>
      <c r="AC14" s="165">
        <f t="shared" ref="AC14:AC22" si="19">MIN($AH$14:$AH$22)</f>
        <v>20.595690747782001</v>
      </c>
      <c r="AD14" s="165">
        <f>MAX($AH$14:$AH$22)</f>
        <v>94.962362478286039</v>
      </c>
      <c r="AE14" s="162"/>
      <c r="AF14" s="162">
        <f t="shared" si="10"/>
        <v>4</v>
      </c>
      <c r="AG14" s="167" t="str">
        <f t="shared" si="11"/>
        <v>N/A</v>
      </c>
      <c r="AH14" s="165">
        <f t="shared" si="12"/>
        <v>24.870183110139379</v>
      </c>
      <c r="AI14" s="165">
        <f t="shared" si="13"/>
        <v>20.023375060538992</v>
      </c>
      <c r="AJ14" s="165">
        <f t="shared" si="14"/>
        <v>30.535396072334279</v>
      </c>
      <c r="AK14" s="167">
        <f t="shared" si="15"/>
        <v>3</v>
      </c>
    </row>
    <row r="15" spans="1:37" x14ac:dyDescent="0.2">
      <c r="A15" s="62" t="s">
        <v>38</v>
      </c>
      <c r="B15" s="62" t="s">
        <v>62</v>
      </c>
      <c r="C15" s="62" t="s">
        <v>201</v>
      </c>
      <c r="D15" s="62"/>
      <c r="E15" s="62">
        <f t="shared" si="2"/>
        <v>1</v>
      </c>
      <c r="F15" s="128" t="s">
        <v>79</v>
      </c>
      <c r="G15" s="129">
        <v>20.595690747782001</v>
      </c>
      <c r="H15" s="129">
        <v>15.894546169347102</v>
      </c>
      <c r="I15" s="129">
        <v>26.251311326343419</v>
      </c>
      <c r="J15" s="129"/>
      <c r="K15" s="129"/>
      <c r="L15" s="129"/>
      <c r="M15" s="60">
        <f t="shared" si="0"/>
        <v>3</v>
      </c>
      <c r="N15" s="61">
        <f t="shared" si="3"/>
        <v>20.595690747782001</v>
      </c>
      <c r="O15" s="61">
        <f t="shared" si="16"/>
        <v>31.950909860347014</v>
      </c>
      <c r="P15" s="129">
        <f t="shared" si="4"/>
        <v>38.165990869651516</v>
      </c>
      <c r="Q15" s="129">
        <f t="shared" si="5"/>
        <v>36.154037375313059</v>
      </c>
      <c r="R15" s="129">
        <f t="shared" si="6"/>
        <v>40.26076562813634</v>
      </c>
      <c r="S15" s="61">
        <f t="shared" si="7"/>
        <v>42.548134062277157</v>
      </c>
      <c r="T15" s="61">
        <f t="shared" si="1"/>
        <v>94.962362478286039</v>
      </c>
      <c r="U15" s="61">
        <f t="shared" si="17"/>
        <v>38.727372462973122</v>
      </c>
      <c r="V15" s="61"/>
      <c r="Y15" s="162" t="s">
        <v>32</v>
      </c>
      <c r="Z15" s="162" t="s">
        <v>156</v>
      </c>
      <c r="AA15" s="162" t="s">
        <v>201</v>
      </c>
      <c r="AB15" s="162">
        <f>RANK(AH15,$AH$14:$AH$22,1)</f>
        <v>4</v>
      </c>
      <c r="AC15" s="165">
        <f t="shared" si="19"/>
        <v>20.595690747782001</v>
      </c>
      <c r="AD15" s="165">
        <f t="shared" ref="AD15:AD22" si="20">MAX($AH$14:$AH$22)</f>
        <v>94.962362478286039</v>
      </c>
      <c r="AE15" s="162"/>
      <c r="AF15" s="162">
        <f t="shared" si="10"/>
        <v>15</v>
      </c>
      <c r="AG15" s="167" t="str">
        <f t="shared" si="11"/>
        <v>N/A</v>
      </c>
      <c r="AH15" s="165">
        <f t="shared" si="12"/>
        <v>37.779580484413025</v>
      </c>
      <c r="AI15" s="165">
        <f t="shared" si="13"/>
        <v>33.789249418215192</v>
      </c>
      <c r="AJ15" s="165">
        <f t="shared" si="14"/>
        <v>42.111539675195623</v>
      </c>
      <c r="AK15" s="167">
        <f t="shared" si="15"/>
        <v>5</v>
      </c>
    </row>
    <row r="16" spans="1:37" x14ac:dyDescent="0.2">
      <c r="A16" s="62" t="s">
        <v>39</v>
      </c>
      <c r="B16" s="62" t="s">
        <v>158</v>
      </c>
      <c r="C16" s="62" t="s">
        <v>200</v>
      </c>
      <c r="D16" s="62"/>
      <c r="E16" s="62">
        <f t="shared" si="2"/>
        <v>11</v>
      </c>
      <c r="F16" s="128" t="s">
        <v>79</v>
      </c>
      <c r="G16" s="129">
        <v>34.28138855845139</v>
      </c>
      <c r="H16" s="129">
        <v>30.610949569625699</v>
      </c>
      <c r="I16" s="129">
        <v>38.270704446628187</v>
      </c>
      <c r="J16" s="129"/>
      <c r="K16" s="129"/>
      <c r="L16" s="129"/>
      <c r="M16" s="60">
        <f t="shared" si="0"/>
        <v>5</v>
      </c>
      <c r="N16" s="61">
        <f t="shared" si="3"/>
        <v>20.595690747782001</v>
      </c>
      <c r="O16" s="61">
        <f t="shared" si="16"/>
        <v>31.950909860347014</v>
      </c>
      <c r="P16" s="129">
        <f t="shared" si="4"/>
        <v>38.165990869651516</v>
      </c>
      <c r="Q16" s="129">
        <f t="shared" si="5"/>
        <v>36.154037375313059</v>
      </c>
      <c r="R16" s="129">
        <f t="shared" si="6"/>
        <v>40.26076562813634</v>
      </c>
      <c r="S16" s="61">
        <f t="shared" si="7"/>
        <v>42.548134062277157</v>
      </c>
      <c r="T16" s="61">
        <f t="shared" si="1"/>
        <v>94.962362478286039</v>
      </c>
      <c r="U16" s="61">
        <f t="shared" si="17"/>
        <v>40.160642570281126</v>
      </c>
      <c r="V16" s="61"/>
      <c r="Y16" s="162" t="s">
        <v>36</v>
      </c>
      <c r="Z16" s="162" t="s">
        <v>61</v>
      </c>
      <c r="AA16" s="162" t="s">
        <v>201</v>
      </c>
      <c r="AB16" s="162">
        <f>RANK(AH16,$AH$14:$AH$22,1)</f>
        <v>8</v>
      </c>
      <c r="AC16" s="165">
        <f t="shared" si="19"/>
        <v>20.595690747782001</v>
      </c>
      <c r="AD16" s="165">
        <f t="shared" si="20"/>
        <v>94.962362478286039</v>
      </c>
      <c r="AE16" s="162"/>
      <c r="AF16" s="162">
        <f t="shared" si="10"/>
        <v>24</v>
      </c>
      <c r="AG16" s="167" t="str">
        <f t="shared" si="11"/>
        <v>N/A</v>
      </c>
      <c r="AH16" s="165">
        <f t="shared" si="12"/>
        <v>46.550929482255334</v>
      </c>
      <c r="AI16" s="165">
        <f t="shared" si="13"/>
        <v>41.45627823668098</v>
      </c>
      <c r="AJ16" s="165">
        <f t="shared" si="14"/>
        <v>52.098780798489663</v>
      </c>
      <c r="AK16" s="167">
        <f t="shared" si="15"/>
        <v>4</v>
      </c>
    </row>
    <row r="17" spans="1:37" x14ac:dyDescent="0.2">
      <c r="A17" s="62" t="s">
        <v>40</v>
      </c>
      <c r="B17" s="62" t="s">
        <v>63</v>
      </c>
      <c r="C17" s="62" t="s">
        <v>200</v>
      </c>
      <c r="D17" s="62"/>
      <c r="E17" s="62">
        <f t="shared" si="2"/>
        <v>2</v>
      </c>
      <c r="F17" s="128" t="s">
        <v>79</v>
      </c>
      <c r="G17" s="129">
        <v>22.738038844149692</v>
      </c>
      <c r="H17" s="129">
        <v>18.417426894807541</v>
      </c>
      <c r="I17" s="129">
        <v>27.767311743171199</v>
      </c>
      <c r="J17" s="129"/>
      <c r="K17" s="129"/>
      <c r="L17" s="129"/>
      <c r="M17" s="60">
        <f t="shared" si="0"/>
        <v>3</v>
      </c>
      <c r="N17" s="61">
        <f t="shared" si="3"/>
        <v>20.595690747782001</v>
      </c>
      <c r="O17" s="61">
        <f t="shared" si="16"/>
        <v>31.950909860347014</v>
      </c>
      <c r="P17" s="129">
        <f t="shared" si="4"/>
        <v>38.165990869651516</v>
      </c>
      <c r="Q17" s="129">
        <f t="shared" si="5"/>
        <v>36.154037375313059</v>
      </c>
      <c r="R17" s="129">
        <f t="shared" si="6"/>
        <v>40.26076562813634</v>
      </c>
      <c r="S17" s="61">
        <f t="shared" si="7"/>
        <v>42.548134062277157</v>
      </c>
      <c r="T17" s="61">
        <f t="shared" si="1"/>
        <v>94.962362478286039</v>
      </c>
      <c r="U17" s="61">
        <f t="shared" si="17"/>
        <v>40.160642570281126</v>
      </c>
      <c r="V17" s="61"/>
      <c r="Y17" s="162" t="s">
        <v>37</v>
      </c>
      <c r="Z17" s="162" t="s">
        <v>157</v>
      </c>
      <c r="AA17" s="162" t="s">
        <v>201</v>
      </c>
      <c r="AB17" s="162">
        <f t="shared" ref="AB17:AB22" si="21">RANK(AH17,$AH$14:$AH$22,1)</f>
        <v>5</v>
      </c>
      <c r="AC17" s="165">
        <f t="shared" si="19"/>
        <v>20.595690747782001</v>
      </c>
      <c r="AD17" s="165">
        <f>MAX($AH$14:$AH$22)</f>
        <v>94.962362478286039</v>
      </c>
      <c r="AE17" s="162"/>
      <c r="AF17" s="162">
        <f t="shared" si="10"/>
        <v>18</v>
      </c>
      <c r="AG17" s="167" t="str">
        <f t="shared" si="11"/>
        <v>N/A</v>
      </c>
      <c r="AH17" s="165">
        <f t="shared" si="12"/>
        <v>40.511062636335303</v>
      </c>
      <c r="AI17" s="165">
        <f t="shared" si="13"/>
        <v>33.846382685732159</v>
      </c>
      <c r="AJ17" s="165">
        <f t="shared" si="14"/>
        <v>48.103922908457228</v>
      </c>
      <c r="AK17" s="167">
        <f t="shared" si="15"/>
        <v>5</v>
      </c>
    </row>
    <row r="18" spans="1:37" x14ac:dyDescent="0.2">
      <c r="A18" s="62" t="s">
        <v>41</v>
      </c>
      <c r="B18" s="62" t="s">
        <v>64</v>
      </c>
      <c r="C18" s="62" t="s">
        <v>163</v>
      </c>
      <c r="D18" s="62"/>
      <c r="E18" s="62">
        <f t="shared" si="2"/>
        <v>6</v>
      </c>
      <c r="F18" s="128" t="s">
        <v>79</v>
      </c>
      <c r="G18" s="129">
        <v>31.728665207877462</v>
      </c>
      <c r="H18" s="129">
        <v>28.181510109377022</v>
      </c>
      <c r="I18" s="129">
        <v>35.598697123193304</v>
      </c>
      <c r="J18" s="129"/>
      <c r="K18" s="129"/>
      <c r="L18" s="129"/>
      <c r="M18" s="60">
        <f t="shared" si="0"/>
        <v>3</v>
      </c>
      <c r="N18" s="61">
        <f t="shared" si="3"/>
        <v>20.595690747782001</v>
      </c>
      <c r="O18" s="61">
        <f t="shared" si="16"/>
        <v>31.950909860347014</v>
      </c>
      <c r="P18" s="129">
        <f t="shared" si="4"/>
        <v>38.165990869651516</v>
      </c>
      <c r="Q18" s="129">
        <f t="shared" si="5"/>
        <v>36.154037375313059</v>
      </c>
      <c r="R18" s="129">
        <f t="shared" si="6"/>
        <v>40.26076562813634</v>
      </c>
      <c r="S18" s="61">
        <f t="shared" si="7"/>
        <v>42.548134062277157</v>
      </c>
      <c r="T18" s="61">
        <f t="shared" si="1"/>
        <v>94.962362478286039</v>
      </c>
      <c r="U18" s="61">
        <f t="shared" si="17"/>
        <v>36.263437202340455</v>
      </c>
      <c r="V18" s="61"/>
      <c r="Y18" s="162" t="s">
        <v>38</v>
      </c>
      <c r="Z18" s="162" t="s">
        <v>62</v>
      </c>
      <c r="AA18" s="162" t="s">
        <v>201</v>
      </c>
      <c r="AB18" s="162">
        <f t="shared" si="21"/>
        <v>1</v>
      </c>
      <c r="AC18" s="165">
        <f t="shared" si="19"/>
        <v>20.595690747782001</v>
      </c>
      <c r="AD18" s="165">
        <f t="shared" si="20"/>
        <v>94.962362478286039</v>
      </c>
      <c r="AE18" s="162"/>
      <c r="AF18" s="162">
        <f t="shared" si="10"/>
        <v>1</v>
      </c>
      <c r="AG18" s="167" t="str">
        <f t="shared" si="11"/>
        <v>N/A</v>
      </c>
      <c r="AH18" s="165">
        <f t="shared" si="12"/>
        <v>20.595690747782001</v>
      </c>
      <c r="AI18" s="165">
        <f t="shared" si="13"/>
        <v>15.894546169347102</v>
      </c>
      <c r="AJ18" s="165">
        <f t="shared" si="14"/>
        <v>26.251311326343419</v>
      </c>
      <c r="AK18" s="167">
        <f t="shared" si="15"/>
        <v>3</v>
      </c>
    </row>
    <row r="19" spans="1:37" x14ac:dyDescent="0.2">
      <c r="A19" s="62" t="s">
        <v>42</v>
      </c>
      <c r="B19" s="62" t="s">
        <v>65</v>
      </c>
      <c r="C19" s="62" t="s">
        <v>200</v>
      </c>
      <c r="D19" s="62"/>
      <c r="E19" s="62">
        <f t="shared" si="2"/>
        <v>21</v>
      </c>
      <c r="F19" s="128" t="s">
        <v>79</v>
      </c>
      <c r="G19" s="129">
        <v>44.117647058823529</v>
      </c>
      <c r="H19" s="129">
        <v>35.034615775729804</v>
      </c>
      <c r="I19" s="129">
        <v>54.834873095978331</v>
      </c>
      <c r="J19" s="129"/>
      <c r="K19" s="129"/>
      <c r="L19" s="129"/>
      <c r="M19" s="60">
        <f t="shared" si="0"/>
        <v>5</v>
      </c>
      <c r="N19" s="61">
        <f t="shared" si="3"/>
        <v>20.595690747782001</v>
      </c>
      <c r="O19" s="61">
        <f t="shared" si="16"/>
        <v>31.950909860347014</v>
      </c>
      <c r="P19" s="129">
        <f t="shared" si="4"/>
        <v>38.165990869651516</v>
      </c>
      <c r="Q19" s="129">
        <f t="shared" si="5"/>
        <v>36.154037375313059</v>
      </c>
      <c r="R19" s="129">
        <f t="shared" si="6"/>
        <v>40.26076562813634</v>
      </c>
      <c r="S19" s="61">
        <f t="shared" si="7"/>
        <v>42.548134062277157</v>
      </c>
      <c r="T19" s="61">
        <f t="shared" si="1"/>
        <v>94.962362478286039</v>
      </c>
      <c r="U19" s="61">
        <f t="shared" si="17"/>
        <v>40.160642570281126</v>
      </c>
      <c r="V19" s="61"/>
      <c r="Y19" s="162" t="s">
        <v>43</v>
      </c>
      <c r="Z19" s="162" t="s">
        <v>159</v>
      </c>
      <c r="AA19" s="162" t="s">
        <v>201</v>
      </c>
      <c r="AB19" s="162">
        <f t="shared" si="21"/>
        <v>6</v>
      </c>
      <c r="AC19" s="165">
        <f t="shared" si="19"/>
        <v>20.595690747782001</v>
      </c>
      <c r="AD19" s="165">
        <f t="shared" si="20"/>
        <v>94.962362478286039</v>
      </c>
      <c r="AE19" s="162"/>
      <c r="AF19" s="162">
        <f t="shared" si="10"/>
        <v>20</v>
      </c>
      <c r="AG19" s="167" t="str">
        <f t="shared" si="11"/>
        <v>N/A</v>
      </c>
      <c r="AH19" s="165">
        <f t="shared" si="12"/>
        <v>42.548134062277157</v>
      </c>
      <c r="AI19" s="165">
        <f t="shared" si="13"/>
        <v>36.542841829501739</v>
      </c>
      <c r="AJ19" s="165">
        <f t="shared" si="14"/>
        <v>49.258515664014396</v>
      </c>
      <c r="AK19" s="167">
        <f t="shared" si="15"/>
        <v>5</v>
      </c>
    </row>
    <row r="20" spans="1:37" x14ac:dyDescent="0.2">
      <c r="A20" s="62" t="s">
        <v>43</v>
      </c>
      <c r="B20" s="62" t="s">
        <v>159</v>
      </c>
      <c r="C20" s="62" t="s">
        <v>201</v>
      </c>
      <c r="D20" s="62"/>
      <c r="E20" s="62">
        <f t="shared" si="2"/>
        <v>20</v>
      </c>
      <c r="F20" s="128" t="s">
        <v>79</v>
      </c>
      <c r="G20" s="129">
        <v>42.548134062277157</v>
      </c>
      <c r="H20" s="129">
        <v>36.542841829501739</v>
      </c>
      <c r="I20" s="129">
        <v>49.258515664014396</v>
      </c>
      <c r="J20" s="129"/>
      <c r="K20" s="129"/>
      <c r="L20" s="129"/>
      <c r="M20" s="60">
        <f t="shared" si="0"/>
        <v>5</v>
      </c>
      <c r="N20" s="61">
        <f t="shared" si="3"/>
        <v>20.595690747782001</v>
      </c>
      <c r="O20" s="61">
        <f t="shared" si="16"/>
        <v>31.950909860347014</v>
      </c>
      <c r="P20" s="129">
        <f t="shared" si="4"/>
        <v>38.165990869651516</v>
      </c>
      <c r="Q20" s="129">
        <f t="shared" si="5"/>
        <v>36.154037375313059</v>
      </c>
      <c r="R20" s="129">
        <f t="shared" si="6"/>
        <v>40.26076562813634</v>
      </c>
      <c r="S20" s="61">
        <f t="shared" si="7"/>
        <v>42.548134062277157</v>
      </c>
      <c r="T20" s="61">
        <f t="shared" si="1"/>
        <v>94.962362478286039</v>
      </c>
      <c r="U20" s="61">
        <f t="shared" si="17"/>
        <v>38.727372462973122</v>
      </c>
      <c r="V20" s="61"/>
      <c r="Y20" s="162" t="s">
        <v>48</v>
      </c>
      <c r="Z20" s="162" t="s">
        <v>160</v>
      </c>
      <c r="AA20" s="162" t="s">
        <v>201</v>
      </c>
      <c r="AB20" s="162">
        <f t="shared" si="21"/>
        <v>3</v>
      </c>
      <c r="AC20" s="165">
        <f t="shared" si="19"/>
        <v>20.595690747782001</v>
      </c>
      <c r="AD20" s="165">
        <f t="shared" si="20"/>
        <v>94.962362478286039</v>
      </c>
      <c r="AE20" s="162"/>
      <c r="AF20" s="162">
        <f t="shared" si="10"/>
        <v>5</v>
      </c>
      <c r="AG20" s="167" t="str">
        <f t="shared" si="11"/>
        <v>N/A</v>
      </c>
      <c r="AH20" s="165">
        <f t="shared" si="12"/>
        <v>30.90962614071239</v>
      </c>
      <c r="AI20" s="165">
        <f t="shared" si="13"/>
        <v>25.280472503055393</v>
      </c>
      <c r="AJ20" s="165">
        <f t="shared" si="14"/>
        <v>37.418318294089879</v>
      </c>
      <c r="AK20" s="167">
        <f t="shared" si="15"/>
        <v>5</v>
      </c>
    </row>
    <row r="21" spans="1:37" x14ac:dyDescent="0.2">
      <c r="A21" s="62" t="s">
        <v>44</v>
      </c>
      <c r="B21" s="62" t="s">
        <v>66</v>
      </c>
      <c r="C21" s="62" t="s">
        <v>200</v>
      </c>
      <c r="D21" s="62"/>
      <c r="E21" s="62">
        <f t="shared" si="2"/>
        <v>13</v>
      </c>
      <c r="F21" s="128" t="s">
        <v>79</v>
      </c>
      <c r="G21" s="129">
        <v>35.46592489568846</v>
      </c>
      <c r="H21" s="129">
        <v>28.917575230997205</v>
      </c>
      <c r="I21" s="129">
        <v>43.053608110029082</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5</v>
      </c>
      <c r="N21" s="61">
        <f t="shared" si="3"/>
        <v>20.595690747782001</v>
      </c>
      <c r="O21" s="61">
        <f t="shared" si="16"/>
        <v>31.950909860347014</v>
      </c>
      <c r="P21" s="129">
        <f t="shared" si="4"/>
        <v>38.165990869651516</v>
      </c>
      <c r="Q21" s="129">
        <f t="shared" si="5"/>
        <v>36.154037375313059</v>
      </c>
      <c r="R21" s="129">
        <f t="shared" si="6"/>
        <v>40.26076562813634</v>
      </c>
      <c r="S21" s="61">
        <f t="shared" si="7"/>
        <v>42.548134062277157</v>
      </c>
      <c r="T21" s="61">
        <f t="shared" si="1"/>
        <v>94.962362478286039</v>
      </c>
      <c r="U21" s="61">
        <f t="shared" si="17"/>
        <v>40.160642570281126</v>
      </c>
      <c r="V21" s="61"/>
      <c r="Y21" s="162" t="s">
        <v>52</v>
      </c>
      <c r="Z21" s="162" t="s">
        <v>72</v>
      </c>
      <c r="AA21" s="162" t="s">
        <v>201</v>
      </c>
      <c r="AB21" s="162">
        <f t="shared" si="21"/>
        <v>9</v>
      </c>
      <c r="AC21" s="165">
        <f t="shared" si="19"/>
        <v>20.595690747782001</v>
      </c>
      <c r="AD21" s="165">
        <f t="shared" si="20"/>
        <v>94.962362478286039</v>
      </c>
      <c r="AE21" s="162"/>
      <c r="AF21" s="162">
        <f t="shared" si="10"/>
        <v>26</v>
      </c>
      <c r="AG21" s="167" t="str">
        <f t="shared" si="11"/>
        <v>N/A</v>
      </c>
      <c r="AH21" s="165">
        <f t="shared" si="12"/>
        <v>94.962362478286039</v>
      </c>
      <c r="AI21" s="165">
        <f t="shared" si="13"/>
        <v>80.983757618082535</v>
      </c>
      <c r="AJ21" s="165">
        <f t="shared" si="14"/>
        <v>110.66040609451707</v>
      </c>
      <c r="AK21" s="167">
        <f t="shared" si="15"/>
        <v>4</v>
      </c>
    </row>
    <row r="22" spans="1:37" x14ac:dyDescent="0.2">
      <c r="A22" s="62" t="s">
        <v>45</v>
      </c>
      <c r="B22" s="62" t="s">
        <v>67</v>
      </c>
      <c r="C22" s="62" t="s">
        <v>163</v>
      </c>
      <c r="D22" s="62"/>
      <c r="E22" s="62">
        <f t="shared" si="2"/>
        <v>22</v>
      </c>
      <c r="F22" s="128" t="s">
        <v>79</v>
      </c>
      <c r="G22" s="129">
        <v>45.628997867803839</v>
      </c>
      <c r="H22" s="129">
        <v>40.773265809959184</v>
      </c>
      <c r="I22" s="129">
        <v>50.903822956964298</v>
      </c>
      <c r="J22" s="129"/>
      <c r="K22" s="129"/>
      <c r="L22" s="129"/>
      <c r="M22" s="60">
        <f t="shared" si="0"/>
        <v>4</v>
      </c>
      <c r="N22" s="61">
        <f t="shared" si="3"/>
        <v>20.595690747782001</v>
      </c>
      <c r="O22" s="61">
        <f t="shared" si="16"/>
        <v>31.950909860347014</v>
      </c>
      <c r="P22" s="129">
        <f t="shared" si="4"/>
        <v>38.165990869651516</v>
      </c>
      <c r="Q22" s="129">
        <f t="shared" si="5"/>
        <v>36.154037375313059</v>
      </c>
      <c r="R22" s="129">
        <f t="shared" si="6"/>
        <v>40.26076562813634</v>
      </c>
      <c r="S22" s="61">
        <f t="shared" si="7"/>
        <v>42.548134062277157</v>
      </c>
      <c r="T22" s="61">
        <f t="shared" si="1"/>
        <v>94.962362478286039</v>
      </c>
      <c r="U22" s="61">
        <f>VLOOKUP(C22,$C$43:$I$46,5,FALSE)</f>
        <v>36.263437202340455</v>
      </c>
      <c r="V22" s="61"/>
      <c r="Y22" s="162" t="s">
        <v>54</v>
      </c>
      <c r="Z22" s="162" t="s">
        <v>73</v>
      </c>
      <c r="AA22" s="162" t="s">
        <v>201</v>
      </c>
      <c r="AB22" s="162">
        <f t="shared" si="21"/>
        <v>7</v>
      </c>
      <c r="AC22" s="165">
        <f t="shared" si="19"/>
        <v>20.595690747782001</v>
      </c>
      <c r="AD22" s="165">
        <f t="shared" si="20"/>
        <v>94.962362478286039</v>
      </c>
      <c r="AE22" s="162"/>
      <c r="AF22" s="162">
        <f t="shared" si="10"/>
        <v>23</v>
      </c>
      <c r="AG22" s="167" t="str">
        <f t="shared" si="11"/>
        <v>N/A</v>
      </c>
      <c r="AH22" s="165">
        <f t="shared" si="12"/>
        <v>46.226415094339622</v>
      </c>
      <c r="AI22" s="165">
        <f t="shared" si="13"/>
        <v>39.980731980681711</v>
      </c>
      <c r="AJ22" s="165">
        <f t="shared" si="14"/>
        <v>53.170959693346447</v>
      </c>
      <c r="AK22" s="167">
        <f t="shared" si="15"/>
        <v>5</v>
      </c>
    </row>
    <row r="23" spans="1:37" x14ac:dyDescent="0.2">
      <c r="A23" s="62" t="s">
        <v>46</v>
      </c>
      <c r="B23" s="62" t="s">
        <v>68</v>
      </c>
      <c r="C23" s="62" t="s">
        <v>163</v>
      </c>
      <c r="D23" s="62"/>
      <c r="E23" s="62">
        <f t="shared" si="2"/>
        <v>7</v>
      </c>
      <c r="F23" s="128" t="s">
        <v>79</v>
      </c>
      <c r="G23" s="129">
        <v>31.950909860347014</v>
      </c>
      <c r="H23" s="129">
        <v>28.448505478509315</v>
      </c>
      <c r="I23" s="129">
        <v>35.765414320750736</v>
      </c>
      <c r="J23" s="129"/>
      <c r="K23" s="129"/>
      <c r="L23" s="129"/>
      <c r="M23" s="60">
        <f t="shared" si="0"/>
        <v>3</v>
      </c>
      <c r="N23" s="61">
        <f t="shared" si="3"/>
        <v>20.595690747782001</v>
      </c>
      <c r="O23" s="61">
        <f t="shared" si="16"/>
        <v>31.950909860347014</v>
      </c>
      <c r="P23" s="129">
        <f t="shared" si="4"/>
        <v>38.165990869651516</v>
      </c>
      <c r="Q23" s="129">
        <f t="shared" si="5"/>
        <v>36.154037375313059</v>
      </c>
      <c r="R23" s="129">
        <f t="shared" si="6"/>
        <v>40.26076562813634</v>
      </c>
      <c r="S23" s="61">
        <f t="shared" si="7"/>
        <v>42.548134062277157</v>
      </c>
      <c r="T23" s="61">
        <f t="shared" si="1"/>
        <v>94.962362478286039</v>
      </c>
      <c r="U23" s="61">
        <f t="shared" si="17"/>
        <v>36.263437202340455</v>
      </c>
      <c r="V23" s="61"/>
      <c r="Y23" s="163" t="s">
        <v>30</v>
      </c>
      <c r="Z23" s="163" t="s">
        <v>56</v>
      </c>
      <c r="AA23" s="163" t="s">
        <v>200</v>
      </c>
      <c r="AB23" s="163">
        <f>RANK(AH23,$AH$23:$AH$31,1)</f>
        <v>7</v>
      </c>
      <c r="AC23" s="166">
        <f>MIN($AH$23:$AH$31)</f>
        <v>22.738038844149692</v>
      </c>
      <c r="AD23" s="166">
        <f>MAX($AH$23:$AH$31)</f>
        <v>48.632218844984806</v>
      </c>
      <c r="AE23" s="163"/>
      <c r="AF23" s="163">
        <f t="shared" si="10"/>
        <v>17</v>
      </c>
      <c r="AG23" s="168" t="str">
        <f t="shared" si="11"/>
        <v>N/A</v>
      </c>
      <c r="AH23" s="166">
        <f t="shared" si="12"/>
        <v>39.565905494008589</v>
      </c>
      <c r="AI23" s="166">
        <f t="shared" si="13"/>
        <v>33.920528919425244</v>
      </c>
      <c r="AJ23" s="166">
        <f t="shared" si="14"/>
        <v>45.882119561652424</v>
      </c>
      <c r="AK23" s="168">
        <f t="shared" si="15"/>
        <v>5</v>
      </c>
    </row>
    <row r="24" spans="1:37" x14ac:dyDescent="0.2">
      <c r="A24" s="62" t="s">
        <v>47</v>
      </c>
      <c r="B24" s="62" t="s">
        <v>69</v>
      </c>
      <c r="C24" s="62" t="s">
        <v>163</v>
      </c>
      <c r="D24" s="62"/>
      <c r="E24" s="62">
        <f t="shared" si="2"/>
        <v>9</v>
      </c>
      <c r="F24" s="128" t="s">
        <v>79</v>
      </c>
      <c r="G24" s="129">
        <v>32.5497287522604</v>
      </c>
      <c r="H24" s="129">
        <v>24.450711611135734</v>
      </c>
      <c r="I24" s="129">
        <v>42.471158568947892</v>
      </c>
      <c r="J24" s="129"/>
      <c r="K24" s="129"/>
      <c r="L24" s="129"/>
      <c r="M24" s="60">
        <f t="shared" si="0"/>
        <v>5</v>
      </c>
      <c r="N24" s="61">
        <f t="shared" si="3"/>
        <v>20.595690747782001</v>
      </c>
      <c r="O24" s="61">
        <f t="shared" si="16"/>
        <v>31.950909860347014</v>
      </c>
      <c r="P24" s="129">
        <f t="shared" si="4"/>
        <v>38.165990869651516</v>
      </c>
      <c r="Q24" s="129">
        <f t="shared" si="5"/>
        <v>36.154037375313059</v>
      </c>
      <c r="R24" s="129">
        <f t="shared" si="6"/>
        <v>40.26076562813634</v>
      </c>
      <c r="S24" s="61">
        <f t="shared" si="7"/>
        <v>42.548134062277157</v>
      </c>
      <c r="T24" s="61">
        <f t="shared" si="1"/>
        <v>94.962362478286039</v>
      </c>
      <c r="U24" s="61">
        <f t="shared" si="17"/>
        <v>36.263437202340455</v>
      </c>
      <c r="V24" s="61"/>
      <c r="Y24" s="163" t="s">
        <v>31</v>
      </c>
      <c r="Z24" s="163" t="s">
        <v>57</v>
      </c>
      <c r="AA24" s="163" t="s">
        <v>200</v>
      </c>
      <c r="AB24" s="163">
        <f t="shared" ref="AB24:AB31" si="22">RANK(AH24,$AH$23:$AH$31,1)</f>
        <v>6</v>
      </c>
      <c r="AC24" s="166">
        <f t="shared" ref="AC24:AC31" si="23">MIN($AH$23:$AH$31)</f>
        <v>22.738038844149692</v>
      </c>
      <c r="AD24" s="166">
        <f t="shared" ref="AD24:AD31" si="24">MAX($AH$23:$AH$31)</f>
        <v>48.632218844984806</v>
      </c>
      <c r="AE24" s="163"/>
      <c r="AF24" s="163">
        <f t="shared" si="10"/>
        <v>14</v>
      </c>
      <c r="AG24" s="168" t="str">
        <f t="shared" si="11"/>
        <v>N/A</v>
      </c>
      <c r="AH24" s="166">
        <f t="shared" si="12"/>
        <v>35.946217872496113</v>
      </c>
      <c r="AI24" s="166">
        <f t="shared" si="13"/>
        <v>32.479650045491972</v>
      </c>
      <c r="AJ24" s="166">
        <f t="shared" si="14"/>
        <v>39.681987487198043</v>
      </c>
      <c r="AK24" s="168">
        <f t="shared" si="15"/>
        <v>5</v>
      </c>
    </row>
    <row r="25" spans="1:37" x14ac:dyDescent="0.2">
      <c r="A25" s="62" t="s">
        <v>48</v>
      </c>
      <c r="B25" s="62" t="s">
        <v>160</v>
      </c>
      <c r="C25" s="62" t="s">
        <v>201</v>
      </c>
      <c r="D25" s="62"/>
      <c r="E25" s="62">
        <f t="shared" si="2"/>
        <v>5</v>
      </c>
      <c r="F25" s="128" t="s">
        <v>79</v>
      </c>
      <c r="G25" s="129">
        <v>30.90962614071239</v>
      </c>
      <c r="H25" s="129">
        <v>25.280472503055393</v>
      </c>
      <c r="I25" s="129">
        <v>37.418318294089879</v>
      </c>
      <c r="J25" s="129"/>
      <c r="K25" s="129"/>
      <c r="L25" s="129"/>
      <c r="M25" s="60">
        <f t="shared" si="0"/>
        <v>5</v>
      </c>
      <c r="N25" s="61">
        <f t="shared" si="3"/>
        <v>20.595690747782001</v>
      </c>
      <c r="O25" s="61">
        <f t="shared" si="16"/>
        <v>31.950909860347014</v>
      </c>
      <c r="P25" s="129">
        <f t="shared" si="4"/>
        <v>38.165990869651516</v>
      </c>
      <c r="Q25" s="129">
        <f t="shared" si="5"/>
        <v>36.154037375313059</v>
      </c>
      <c r="R25" s="129">
        <f t="shared" si="6"/>
        <v>40.26076562813634</v>
      </c>
      <c r="S25" s="61">
        <f t="shared" si="7"/>
        <v>42.548134062277157</v>
      </c>
      <c r="T25" s="61">
        <f t="shared" si="1"/>
        <v>94.962362478286039</v>
      </c>
      <c r="U25" s="61">
        <f t="shared" si="17"/>
        <v>38.727372462973122</v>
      </c>
      <c r="V25" s="61"/>
      <c r="Y25" s="163" t="s">
        <v>34</v>
      </c>
      <c r="Z25" s="163" t="s">
        <v>59</v>
      </c>
      <c r="AA25" s="163" t="s">
        <v>200</v>
      </c>
      <c r="AB25" s="163">
        <f t="shared" si="22"/>
        <v>3</v>
      </c>
      <c r="AC25" s="166">
        <f t="shared" si="23"/>
        <v>22.738038844149692</v>
      </c>
      <c r="AD25" s="166">
        <f t="shared" si="24"/>
        <v>48.632218844984806</v>
      </c>
      <c r="AE25" s="163"/>
      <c r="AF25" s="163">
        <f t="shared" si="10"/>
        <v>8</v>
      </c>
      <c r="AG25" s="168" t="str">
        <f t="shared" si="11"/>
        <v>N/A</v>
      </c>
      <c r="AH25" s="166">
        <f t="shared" si="12"/>
        <v>32.335454260978402</v>
      </c>
      <c r="AI25" s="166">
        <f t="shared" si="13"/>
        <v>28.83560879769232</v>
      </c>
      <c r="AJ25" s="166">
        <f t="shared" si="14"/>
        <v>36.142930547424527</v>
      </c>
      <c r="AK25" s="168">
        <f t="shared" si="15"/>
        <v>3</v>
      </c>
    </row>
    <row r="26" spans="1:37" x14ac:dyDescent="0.2">
      <c r="A26" s="62" t="s">
        <v>49</v>
      </c>
      <c r="B26" s="62" t="s">
        <v>70</v>
      </c>
      <c r="C26" s="62" t="s">
        <v>200</v>
      </c>
      <c r="D26" s="62"/>
      <c r="E26" s="62">
        <f t="shared" si="2"/>
        <v>25</v>
      </c>
      <c r="F26" s="128" t="s">
        <v>79</v>
      </c>
      <c r="G26" s="129">
        <v>48.632218844984806</v>
      </c>
      <c r="H26" s="129">
        <v>43.023727390841785</v>
      </c>
      <c r="I26" s="129">
        <v>54.768676766571701</v>
      </c>
      <c r="J26" s="129"/>
      <c r="K26" s="129"/>
      <c r="L26" s="129"/>
      <c r="M26" s="60">
        <f t="shared" si="0"/>
        <v>4</v>
      </c>
      <c r="N26" s="61">
        <f t="shared" si="3"/>
        <v>20.595690747782001</v>
      </c>
      <c r="O26" s="61">
        <f t="shared" si="16"/>
        <v>31.950909860347014</v>
      </c>
      <c r="P26" s="129">
        <f t="shared" si="4"/>
        <v>38.165990869651516</v>
      </c>
      <c r="Q26" s="129">
        <f t="shared" si="5"/>
        <v>36.154037375313059</v>
      </c>
      <c r="R26" s="129">
        <f t="shared" si="6"/>
        <v>40.26076562813634</v>
      </c>
      <c r="S26" s="61">
        <f t="shared" si="7"/>
        <v>42.548134062277157</v>
      </c>
      <c r="T26" s="61">
        <f t="shared" si="1"/>
        <v>94.962362478286039</v>
      </c>
      <c r="U26" s="61">
        <f t="shared" si="17"/>
        <v>40.160642570281126</v>
      </c>
      <c r="V26" s="61"/>
      <c r="Y26" s="163" t="s">
        <v>39</v>
      </c>
      <c r="Z26" s="163" t="s">
        <v>158</v>
      </c>
      <c r="AA26" s="163" t="s">
        <v>200</v>
      </c>
      <c r="AB26" s="163">
        <f t="shared" si="22"/>
        <v>4</v>
      </c>
      <c r="AC26" s="166">
        <f t="shared" si="23"/>
        <v>22.738038844149692</v>
      </c>
      <c r="AD26" s="166">
        <f t="shared" si="24"/>
        <v>48.632218844984806</v>
      </c>
      <c r="AE26" s="163"/>
      <c r="AF26" s="163">
        <f t="shared" si="10"/>
        <v>11</v>
      </c>
      <c r="AG26" s="168" t="str">
        <f t="shared" si="11"/>
        <v>N/A</v>
      </c>
      <c r="AH26" s="166">
        <f t="shared" si="12"/>
        <v>34.28138855845139</v>
      </c>
      <c r="AI26" s="166">
        <f t="shared" si="13"/>
        <v>30.610949569625699</v>
      </c>
      <c r="AJ26" s="166">
        <f t="shared" si="14"/>
        <v>38.270704446628187</v>
      </c>
      <c r="AK26" s="168">
        <f t="shared" si="15"/>
        <v>5</v>
      </c>
    </row>
    <row r="27" spans="1:37" x14ac:dyDescent="0.2">
      <c r="A27" s="62" t="s">
        <v>50</v>
      </c>
      <c r="B27" s="62" t="s">
        <v>161</v>
      </c>
      <c r="C27" s="62" t="s">
        <v>163</v>
      </c>
      <c r="D27" s="62"/>
      <c r="E27" s="62">
        <f t="shared" si="2"/>
        <v>16</v>
      </c>
      <c r="F27" s="128" t="s">
        <v>79</v>
      </c>
      <c r="G27" s="129">
        <v>38.492706645056728</v>
      </c>
      <c r="H27" s="129">
        <v>33.213476141242481</v>
      </c>
      <c r="I27" s="129">
        <v>44.372470518636895</v>
      </c>
      <c r="J27" s="129"/>
      <c r="K27" s="129"/>
      <c r="L27" s="129"/>
      <c r="M27" s="60">
        <f t="shared" si="0"/>
        <v>5</v>
      </c>
      <c r="N27" s="61">
        <f t="shared" si="3"/>
        <v>20.595690747782001</v>
      </c>
      <c r="O27" s="61">
        <f t="shared" si="16"/>
        <v>31.950909860347014</v>
      </c>
      <c r="P27" s="129">
        <f t="shared" si="4"/>
        <v>38.165990869651516</v>
      </c>
      <c r="Q27" s="129">
        <f t="shared" si="5"/>
        <v>36.154037375313059</v>
      </c>
      <c r="R27" s="129">
        <f t="shared" si="6"/>
        <v>40.26076562813634</v>
      </c>
      <c r="S27" s="61">
        <f t="shared" si="7"/>
        <v>42.548134062277157</v>
      </c>
      <c r="T27" s="61">
        <f t="shared" si="1"/>
        <v>94.962362478286039</v>
      </c>
      <c r="U27" s="61">
        <f t="shared" si="17"/>
        <v>36.263437202340455</v>
      </c>
      <c r="V27" s="61"/>
      <c r="Y27" s="163" t="s">
        <v>40</v>
      </c>
      <c r="Z27" s="163" t="s">
        <v>63</v>
      </c>
      <c r="AA27" s="163" t="s">
        <v>200</v>
      </c>
      <c r="AB27" s="163">
        <f t="shared" si="22"/>
        <v>1</v>
      </c>
      <c r="AC27" s="166">
        <f t="shared" si="23"/>
        <v>22.738038844149692</v>
      </c>
      <c r="AD27" s="166">
        <f t="shared" si="24"/>
        <v>48.632218844984806</v>
      </c>
      <c r="AE27" s="163"/>
      <c r="AF27" s="163">
        <f t="shared" si="10"/>
        <v>2</v>
      </c>
      <c r="AG27" s="168" t="str">
        <f t="shared" si="11"/>
        <v>N/A</v>
      </c>
      <c r="AH27" s="166">
        <f t="shared" si="12"/>
        <v>22.738038844149692</v>
      </c>
      <c r="AI27" s="166">
        <f t="shared" si="13"/>
        <v>18.417426894807541</v>
      </c>
      <c r="AJ27" s="166">
        <f t="shared" si="14"/>
        <v>27.767311743171199</v>
      </c>
      <c r="AK27" s="168">
        <f t="shared" si="15"/>
        <v>3</v>
      </c>
    </row>
    <row r="28" spans="1:37" x14ac:dyDescent="0.2">
      <c r="A28" s="62" t="s">
        <v>51</v>
      </c>
      <c r="B28" s="62" t="s">
        <v>71</v>
      </c>
      <c r="C28" s="62" t="s">
        <v>200</v>
      </c>
      <c r="D28" s="62"/>
      <c r="E28" s="62">
        <f t="shared" si="2"/>
        <v>3</v>
      </c>
      <c r="F28" s="128" t="s">
        <v>79</v>
      </c>
      <c r="G28" s="129">
        <v>23.212379935965849</v>
      </c>
      <c r="H28" s="129">
        <v>18.591618287746435</v>
      </c>
      <c r="I28" s="129">
        <v>28.632704044220112</v>
      </c>
      <c r="J28" s="129"/>
      <c r="K28" s="129"/>
      <c r="L28" s="129"/>
      <c r="M28" s="60">
        <f t="shared" si="0"/>
        <v>3</v>
      </c>
      <c r="N28" s="61">
        <f t="shared" si="3"/>
        <v>20.595690747782001</v>
      </c>
      <c r="O28" s="61">
        <f t="shared" si="16"/>
        <v>31.950909860347014</v>
      </c>
      <c r="P28" s="129">
        <f t="shared" si="4"/>
        <v>38.165990869651516</v>
      </c>
      <c r="Q28" s="129">
        <f t="shared" si="5"/>
        <v>36.154037375313059</v>
      </c>
      <c r="R28" s="129">
        <f t="shared" si="6"/>
        <v>40.26076562813634</v>
      </c>
      <c r="S28" s="61">
        <f t="shared" si="7"/>
        <v>42.548134062277157</v>
      </c>
      <c r="T28" s="61">
        <f t="shared" si="1"/>
        <v>94.962362478286039</v>
      </c>
      <c r="U28" s="61">
        <f t="shared" si="17"/>
        <v>40.160642570281126</v>
      </c>
      <c r="V28" s="61"/>
      <c r="Y28" s="163" t="s">
        <v>42</v>
      </c>
      <c r="Z28" s="163" t="s">
        <v>65</v>
      </c>
      <c r="AA28" s="163" t="s">
        <v>200</v>
      </c>
      <c r="AB28" s="163">
        <f t="shared" si="22"/>
        <v>8</v>
      </c>
      <c r="AC28" s="166">
        <f t="shared" si="23"/>
        <v>22.738038844149692</v>
      </c>
      <c r="AD28" s="166">
        <f t="shared" si="24"/>
        <v>48.632218844984806</v>
      </c>
      <c r="AE28" s="163"/>
      <c r="AF28" s="163">
        <f t="shared" si="10"/>
        <v>21</v>
      </c>
      <c r="AG28" s="168" t="str">
        <f t="shared" si="11"/>
        <v>N/A</v>
      </c>
      <c r="AH28" s="166">
        <f t="shared" si="12"/>
        <v>44.117647058823529</v>
      </c>
      <c r="AI28" s="166">
        <f t="shared" si="13"/>
        <v>35.034615775729804</v>
      </c>
      <c r="AJ28" s="166">
        <f t="shared" si="14"/>
        <v>54.834873095978331</v>
      </c>
      <c r="AK28" s="168">
        <f t="shared" si="15"/>
        <v>5</v>
      </c>
    </row>
    <row r="29" spans="1:37" x14ac:dyDescent="0.2">
      <c r="A29" s="62" t="s">
        <v>52</v>
      </c>
      <c r="B29" s="62" t="s">
        <v>72</v>
      </c>
      <c r="C29" s="62" t="s">
        <v>201</v>
      </c>
      <c r="D29" s="62"/>
      <c r="E29" s="62">
        <f t="shared" si="2"/>
        <v>26</v>
      </c>
      <c r="F29" s="128" t="s">
        <v>79</v>
      </c>
      <c r="G29" s="129">
        <v>94.962362478286039</v>
      </c>
      <c r="H29" s="129">
        <v>80.983757618082535</v>
      </c>
      <c r="I29" s="129">
        <v>110.66040609451707</v>
      </c>
      <c r="J29" s="129"/>
      <c r="K29" s="129"/>
      <c r="L29" s="129"/>
      <c r="M29" s="60">
        <f t="shared" si="0"/>
        <v>4</v>
      </c>
      <c r="N29" s="61">
        <f t="shared" si="3"/>
        <v>20.595690747782001</v>
      </c>
      <c r="O29" s="61">
        <f t="shared" si="16"/>
        <v>31.950909860347014</v>
      </c>
      <c r="P29" s="129">
        <f t="shared" si="4"/>
        <v>38.165990869651516</v>
      </c>
      <c r="Q29" s="129">
        <f t="shared" si="5"/>
        <v>36.154037375313059</v>
      </c>
      <c r="R29" s="129">
        <f t="shared" si="6"/>
        <v>40.26076562813634</v>
      </c>
      <c r="S29" s="61">
        <f t="shared" si="7"/>
        <v>42.548134062277157</v>
      </c>
      <c r="T29" s="61">
        <f t="shared" si="1"/>
        <v>94.962362478286039</v>
      </c>
      <c r="U29" s="61">
        <f t="shared" si="17"/>
        <v>38.727372462973122</v>
      </c>
      <c r="V29" s="61"/>
      <c r="Y29" s="163" t="s">
        <v>44</v>
      </c>
      <c r="Z29" s="163" t="s">
        <v>66</v>
      </c>
      <c r="AA29" s="163" t="s">
        <v>200</v>
      </c>
      <c r="AB29" s="163">
        <f t="shared" si="22"/>
        <v>5</v>
      </c>
      <c r="AC29" s="166">
        <f t="shared" si="23"/>
        <v>22.738038844149692</v>
      </c>
      <c r="AD29" s="166">
        <f t="shared" si="24"/>
        <v>48.632218844984806</v>
      </c>
      <c r="AE29" s="163"/>
      <c r="AF29" s="163">
        <f t="shared" si="10"/>
        <v>13</v>
      </c>
      <c r="AG29" s="168" t="str">
        <f t="shared" si="11"/>
        <v>N/A</v>
      </c>
      <c r="AH29" s="166">
        <f t="shared" si="12"/>
        <v>35.46592489568846</v>
      </c>
      <c r="AI29" s="166">
        <f t="shared" si="13"/>
        <v>28.917575230997205</v>
      </c>
      <c r="AJ29" s="166">
        <f t="shared" si="14"/>
        <v>43.053608110029082</v>
      </c>
      <c r="AK29" s="168">
        <f t="shared" si="15"/>
        <v>5</v>
      </c>
    </row>
    <row r="30" spans="1:37" x14ac:dyDescent="0.2">
      <c r="A30" s="62" t="s">
        <v>53</v>
      </c>
      <c r="B30" s="62" t="s">
        <v>162</v>
      </c>
      <c r="C30" s="62" t="s">
        <v>163</v>
      </c>
      <c r="D30" s="62"/>
      <c r="E30" s="62">
        <f t="shared" si="2"/>
        <v>12</v>
      </c>
      <c r="F30" s="128" t="s">
        <v>79</v>
      </c>
      <c r="G30" s="129">
        <v>34.895585334331003</v>
      </c>
      <c r="H30" s="129">
        <v>31.940796751727223</v>
      </c>
      <c r="I30" s="129">
        <v>38.050166373484885</v>
      </c>
      <c r="J30" s="129"/>
      <c r="K30" s="129"/>
      <c r="L30" s="129"/>
      <c r="M30" s="60">
        <f t="shared" si="0"/>
        <v>5</v>
      </c>
      <c r="N30" s="61">
        <f t="shared" si="3"/>
        <v>20.595690747782001</v>
      </c>
      <c r="O30" s="61">
        <f t="shared" si="16"/>
        <v>31.950909860347014</v>
      </c>
      <c r="P30" s="129">
        <f>$G$32</f>
        <v>38.165990869651516</v>
      </c>
      <c r="Q30" s="129">
        <f t="shared" si="5"/>
        <v>36.154037375313059</v>
      </c>
      <c r="R30" s="129">
        <f t="shared" si="6"/>
        <v>40.26076562813634</v>
      </c>
      <c r="S30" s="61">
        <f t="shared" si="7"/>
        <v>42.548134062277157</v>
      </c>
      <c r="T30" s="61">
        <f t="shared" si="1"/>
        <v>94.962362478286039</v>
      </c>
      <c r="U30" s="61">
        <f t="shared" si="17"/>
        <v>36.263437202340455</v>
      </c>
      <c r="V30" s="61"/>
      <c r="Y30" s="163" t="s">
        <v>49</v>
      </c>
      <c r="Z30" s="163" t="s">
        <v>70</v>
      </c>
      <c r="AA30" s="163" t="s">
        <v>200</v>
      </c>
      <c r="AB30" s="163">
        <f t="shared" si="22"/>
        <v>9</v>
      </c>
      <c r="AC30" s="166">
        <f t="shared" si="23"/>
        <v>22.738038844149692</v>
      </c>
      <c r="AD30" s="166">
        <f t="shared" si="24"/>
        <v>48.632218844984806</v>
      </c>
      <c r="AE30" s="163"/>
      <c r="AF30" s="163">
        <f t="shared" si="10"/>
        <v>25</v>
      </c>
      <c r="AG30" s="168" t="str">
        <f t="shared" si="11"/>
        <v>N/A</v>
      </c>
      <c r="AH30" s="166">
        <f t="shared" si="12"/>
        <v>48.632218844984806</v>
      </c>
      <c r="AI30" s="166">
        <f t="shared" si="13"/>
        <v>43.023727390841785</v>
      </c>
      <c r="AJ30" s="166">
        <f t="shared" si="14"/>
        <v>54.768676766571701</v>
      </c>
      <c r="AK30" s="168">
        <f t="shared" si="15"/>
        <v>4</v>
      </c>
    </row>
    <row r="31" spans="1:37" x14ac:dyDescent="0.2">
      <c r="A31" s="62" t="s">
        <v>54</v>
      </c>
      <c r="B31" s="62" t="s">
        <v>73</v>
      </c>
      <c r="C31" s="62" t="s">
        <v>201</v>
      </c>
      <c r="D31" s="62"/>
      <c r="E31" s="62">
        <f t="shared" si="2"/>
        <v>23</v>
      </c>
      <c r="F31" s="128" t="s">
        <v>79</v>
      </c>
      <c r="G31" s="129">
        <v>46.226415094339622</v>
      </c>
      <c r="H31" s="129">
        <v>39.980731980681711</v>
      </c>
      <c r="I31" s="129">
        <v>53.170959693346447</v>
      </c>
      <c r="J31" s="129"/>
      <c r="K31" s="129"/>
      <c r="L31" s="129"/>
      <c r="M31" s="60">
        <f t="shared" si="0"/>
        <v>5</v>
      </c>
      <c r="N31" s="61">
        <f t="shared" si="3"/>
        <v>20.595690747782001</v>
      </c>
      <c r="O31" s="61">
        <f t="shared" si="16"/>
        <v>31.950909860347014</v>
      </c>
      <c r="P31" s="129">
        <f t="shared" si="4"/>
        <v>38.165990869651516</v>
      </c>
      <c r="Q31" s="129">
        <f t="shared" si="5"/>
        <v>36.154037375313059</v>
      </c>
      <c r="R31" s="129">
        <f t="shared" si="6"/>
        <v>40.26076562813634</v>
      </c>
      <c r="S31" s="61">
        <f t="shared" si="7"/>
        <v>42.548134062277157</v>
      </c>
      <c r="T31" s="61">
        <f t="shared" si="1"/>
        <v>94.962362478286039</v>
      </c>
      <c r="U31" s="61">
        <f t="shared" si="17"/>
        <v>38.727372462973122</v>
      </c>
      <c r="V31" s="61"/>
      <c r="Y31" s="163" t="s">
        <v>51</v>
      </c>
      <c r="Z31" s="163" t="s">
        <v>71</v>
      </c>
      <c r="AA31" s="163" t="s">
        <v>200</v>
      </c>
      <c r="AB31" s="163">
        <f t="shared" si="22"/>
        <v>2</v>
      </c>
      <c r="AC31" s="166">
        <f t="shared" si="23"/>
        <v>22.738038844149692</v>
      </c>
      <c r="AD31" s="166">
        <f t="shared" si="24"/>
        <v>48.632218844984806</v>
      </c>
      <c r="AE31" s="163"/>
      <c r="AF31" s="163">
        <f t="shared" si="10"/>
        <v>3</v>
      </c>
      <c r="AG31" s="168" t="str">
        <f t="shared" si="11"/>
        <v>N/A</v>
      </c>
      <c r="AH31" s="166">
        <f t="shared" si="12"/>
        <v>23.212379935965849</v>
      </c>
      <c r="AI31" s="166">
        <f t="shared" si="13"/>
        <v>18.591618287746435</v>
      </c>
      <c r="AJ31" s="166">
        <f t="shared" si="14"/>
        <v>28.632704044220112</v>
      </c>
      <c r="AK31" s="168">
        <f t="shared" si="15"/>
        <v>3</v>
      </c>
    </row>
    <row r="32" spans="1:37" x14ac:dyDescent="0.2">
      <c r="A32" s="62"/>
      <c r="B32" s="62" t="s">
        <v>171</v>
      </c>
      <c r="C32" s="62"/>
      <c r="D32" s="62"/>
      <c r="E32" s="62"/>
      <c r="F32" s="128">
        <v>1346</v>
      </c>
      <c r="G32" s="129">
        <v>38.165990869651516</v>
      </c>
      <c r="H32" s="129">
        <v>36.154037375313059</v>
      </c>
      <c r="I32" s="129">
        <v>40.26076562813634</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533</v>
      </c>
      <c r="G44" s="129">
        <v>36.263437202340455</v>
      </c>
      <c r="H44" s="129">
        <v>33.249725013042806</v>
      </c>
      <c r="I44" s="129">
        <v>39.4769279696715</v>
      </c>
      <c r="J44" s="129">
        <f>VLOOKUP($C44,$AA$6:$AD$13,3,FALSE)</f>
        <v>31.728665207877462</v>
      </c>
      <c r="K44" s="129">
        <f>VLOOKUP($C44,$AA$6:$AD$13,4,FALSE)</f>
        <v>45.628997867803839</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5</v>
      </c>
      <c r="N44" s="61">
        <f>MIN($G$6:$G$31)</f>
        <v>20.595690747782001</v>
      </c>
      <c r="O44" s="61">
        <f>VLOOKUP(7,$E$5:$G$39,3,FALSE)</f>
        <v>31.950909860347014</v>
      </c>
      <c r="P44" s="129">
        <f>$G$32</f>
        <v>38.165990869651516</v>
      </c>
      <c r="Q44" s="129">
        <f>$H$32</f>
        <v>36.154037375313059</v>
      </c>
      <c r="R44" s="129">
        <f>$I$32</f>
        <v>40.26076562813634</v>
      </c>
      <c r="S44" s="61">
        <f>VLOOKUP(20,$E$5:$G$39,3,FALSE)</f>
        <v>42.548134062277157</v>
      </c>
      <c r="T44" s="61">
        <f>MAX($G$6:$G$31)</f>
        <v>94.962362478286039</v>
      </c>
    </row>
    <row r="45" spans="1:22" x14ac:dyDescent="0.2">
      <c r="C45" s="62" t="s">
        <v>201</v>
      </c>
      <c r="D45" s="62"/>
      <c r="E45" s="62"/>
      <c r="F45" s="128">
        <v>353</v>
      </c>
      <c r="G45" s="129">
        <v>38.727372462973122</v>
      </c>
      <c r="H45" s="129">
        <v>34.792189903127955</v>
      </c>
      <c r="I45" s="129">
        <v>42.985741474557521</v>
      </c>
      <c r="J45" s="129">
        <f>VLOOKUP($C45,$AA$14:$AD$22,3,FALSE)</f>
        <v>20.595690747782001</v>
      </c>
      <c r="K45" s="129">
        <f>VLOOKUP($C45,$AA$14:$AD$22,4,FALSE)</f>
        <v>94.962362478286039</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5</v>
      </c>
      <c r="N45" s="61">
        <f>MIN($G$6:$G$31)</f>
        <v>20.595690747782001</v>
      </c>
      <c r="O45" s="61">
        <f>VLOOKUP(7,$E$5:$G$39,3,FALSE)</f>
        <v>31.950909860347014</v>
      </c>
      <c r="P45" s="129">
        <f>$G$32</f>
        <v>38.165990869651516</v>
      </c>
      <c r="Q45" s="129">
        <f t="shared" ref="Q45:Q46" si="25">$H$32</f>
        <v>36.154037375313059</v>
      </c>
      <c r="R45" s="129">
        <f t="shared" ref="R45:R46" si="26">$I$32</f>
        <v>40.26076562813634</v>
      </c>
      <c r="S45" s="61">
        <f>VLOOKUP(20,$E$5:$G$39,3,FALSE)</f>
        <v>42.548134062277157</v>
      </c>
      <c r="T45" s="61">
        <f t="shared" ref="T45:T46" si="27">MAX($G$6:$G$31)</f>
        <v>94.962362478286039</v>
      </c>
    </row>
    <row r="46" spans="1:22" x14ac:dyDescent="0.2">
      <c r="C46" s="62" t="s">
        <v>200</v>
      </c>
      <c r="D46" s="62"/>
      <c r="E46" s="62"/>
      <c r="F46" s="128">
        <v>460</v>
      </c>
      <c r="G46" s="129">
        <v>40.160642570281126</v>
      </c>
      <c r="H46" s="129">
        <v>36.573920303491356</v>
      </c>
      <c r="I46" s="129">
        <v>44.004002152640268</v>
      </c>
      <c r="J46" s="129">
        <f>VLOOKUP($C46,$AA$23:$AD$31,3,FALSE)</f>
        <v>22.738038844149692</v>
      </c>
      <c r="K46" s="129">
        <f>VLOOKUP($C46,$AA$23:$AD$31,4,FALSE)</f>
        <v>48.632218844984806</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5</v>
      </c>
      <c r="N46" s="61">
        <f>MIN($G$6:$G$31)</f>
        <v>20.595690747782001</v>
      </c>
      <c r="O46" s="61">
        <f>VLOOKUP(7,$E$5:$G$39,3,FALSE)</f>
        <v>31.950909860347014</v>
      </c>
      <c r="P46" s="129">
        <f t="shared" ref="P46" si="28">$G$32</f>
        <v>38.165990869651516</v>
      </c>
      <c r="Q46" s="129">
        <f t="shared" si="25"/>
        <v>36.154037375313059</v>
      </c>
      <c r="R46" s="129">
        <f t="shared" si="26"/>
        <v>40.26076562813634</v>
      </c>
      <c r="S46" s="61">
        <f>VLOOKUP(20,$E$5:$G$39,3,FALSE)</f>
        <v>42.548134062277157</v>
      </c>
      <c r="T46" s="61">
        <f t="shared" si="27"/>
        <v>94.962362478286039</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K2:N2" xr:uid="{00000000-0002-0000-4000-000000000000}">
      <formula1>"High = Worst,Low = Worst"</formula1>
    </dataValidation>
    <dataValidation type="list" allowBlank="1" showInputMessage="1" showErrorMessage="1" sqref="C2:D2" xr:uid="{00000000-0002-0000-4000-000001000000}">
      <formula1>"Better / Worse,Higher / Lower,Significance not measured"</formula1>
    </dataValidation>
  </dataValidations>
  <pageMargins left="0.75" right="0.75" top="1" bottom="1" header="0.5" footer="0.5"/>
  <pageSetup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tabColor theme="6" tint="0.39997558519241921"/>
  </sheetPr>
  <dimension ref="A1:AK55"/>
  <sheetViews>
    <sheetView workbookViewId="0">
      <selection activeCell="F6" sqref="F6:F31"/>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8" width="7.33203125" style="21" customWidth="1"/>
    <col min="9" max="9" width="6.886718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5.554687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24</v>
      </c>
      <c r="F6" s="128" t="s">
        <v>79</v>
      </c>
      <c r="G6" s="129">
        <v>35.2112676056338</v>
      </c>
      <c r="H6" s="129">
        <v>-6.1966414181926837</v>
      </c>
      <c r="I6" s="129">
        <v>95.017694021737725</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5</v>
      </c>
      <c r="N6" s="61">
        <f>MIN($G$6:$G$32)</f>
        <v>-26.530612244897959</v>
      </c>
      <c r="O6" s="61">
        <f>VLOOKUP(7,$E$5:$G$39,3,FALSE)</f>
        <v>7.8838174273858916</v>
      </c>
      <c r="P6" s="129">
        <f>$G$32</f>
        <v>21.994134897360702</v>
      </c>
      <c r="Q6" s="129">
        <f>$H$32</f>
        <v>15.519984938069143</v>
      </c>
      <c r="R6" s="129">
        <f>$I$32</f>
        <v>28.831159229865122</v>
      </c>
      <c r="S6" s="61">
        <f>VLOOKUP(20,$E$5:$G$39,3,FALSE)</f>
        <v>31.111111111111111</v>
      </c>
      <c r="T6" s="61">
        <f t="shared" ref="T6:T31" si="1">MAX($G$6:$G$31)</f>
        <v>54.117647058823529</v>
      </c>
      <c r="U6" s="61">
        <f>VLOOKUP(C6,$C$43:$I$46,5,FALSE)</f>
        <v>22.857142857142858</v>
      </c>
      <c r="V6" s="61"/>
      <c r="Y6" s="159" t="s">
        <v>33</v>
      </c>
      <c r="Z6" s="159" t="s">
        <v>58</v>
      </c>
      <c r="AA6" s="159" t="s">
        <v>163</v>
      </c>
      <c r="AB6" s="159">
        <f>RANK(AH6,$AH$6:$AH$13,1)</f>
        <v>7</v>
      </c>
      <c r="AC6" s="164">
        <f>MIN($AH$6:$AH$13)</f>
        <v>7.8838174273858916</v>
      </c>
      <c r="AD6" s="164">
        <f>MAX($AH$6:$AH$13)</f>
        <v>31.111111111111111</v>
      </c>
      <c r="AE6" s="159"/>
      <c r="AF6" s="159">
        <f>VLOOKUP($Y6,$A$6:$I$31,5,FALSE)</f>
        <v>19</v>
      </c>
      <c r="AG6" s="160" t="str">
        <f>VLOOKUP($Y6,$A$6:$I$31,6,FALSE)</f>
        <v>N/A</v>
      </c>
      <c r="AH6" s="161">
        <f>VLOOKUP($Y6,$A$6:$I$31,7,FALSE)</f>
        <v>30.952380952380953</v>
      </c>
      <c r="AI6" s="161">
        <f>VLOOKUP($Y6,$A$6:$I$31,8,FALSE)</f>
        <v>2.9818601521162336</v>
      </c>
      <c r="AJ6" s="161">
        <f>VLOOKUP($Y6,$A$6:$I$31,9,FALSE)</f>
        <v>66.539062357243566</v>
      </c>
      <c r="AK6" s="160">
        <f>VLOOKUP($Y6,$A$6:$M$31,13,FALSE)</f>
        <v>5</v>
      </c>
    </row>
    <row r="7" spans="1:37" x14ac:dyDescent="0.2">
      <c r="A7" s="62" t="s">
        <v>30</v>
      </c>
      <c r="B7" s="62" t="s">
        <v>56</v>
      </c>
      <c r="C7" s="62" t="s">
        <v>200</v>
      </c>
      <c r="D7" s="62"/>
      <c r="E7" s="62">
        <f t="shared" ref="E7:E31" si="2">RANK(G7,$G$6:$G$31,1)</f>
        <v>21</v>
      </c>
      <c r="F7" s="128" t="s">
        <v>79</v>
      </c>
      <c r="G7" s="129">
        <v>32.571428571428577</v>
      </c>
      <c r="H7" s="129">
        <v>4.8528190686855988</v>
      </c>
      <c r="I7" s="129">
        <v>67.635159523418537</v>
      </c>
      <c r="J7" s="129"/>
      <c r="K7" s="129"/>
      <c r="L7" s="129"/>
      <c r="M7" s="60">
        <f t="shared" si="0"/>
        <v>5</v>
      </c>
      <c r="N7" s="61">
        <f t="shared" ref="N7:N31" si="3">MIN($G$6:$G$32)</f>
        <v>-26.530612244897959</v>
      </c>
      <c r="O7" s="61">
        <f>VLOOKUP(7,$E$5:$G$39,3,FALSE)</f>
        <v>7.8838174273858916</v>
      </c>
      <c r="P7" s="129">
        <f t="shared" ref="P7:P31" si="4">$G$32</f>
        <v>21.994134897360702</v>
      </c>
      <c r="Q7" s="129">
        <f t="shared" ref="Q7:Q31" si="5">$H$32</f>
        <v>15.519984938069143</v>
      </c>
      <c r="R7" s="129">
        <f t="shared" ref="R7:R31" si="6">$I$32</f>
        <v>28.831159229865122</v>
      </c>
      <c r="S7" s="61">
        <f t="shared" ref="S7:S31" si="7">VLOOKUP(20,$E$5:$G$39,3,FALSE)</f>
        <v>31.111111111111111</v>
      </c>
      <c r="T7" s="61">
        <f t="shared" si="1"/>
        <v>54.117647058823529</v>
      </c>
      <c r="U7" s="61">
        <f>VLOOKUP(C7,$C$43:$I$46,5,FALSE)</f>
        <v>20.437956204379564</v>
      </c>
      <c r="V7" s="61"/>
      <c r="Y7" s="159" t="s">
        <v>35</v>
      </c>
      <c r="Z7" s="159" t="s">
        <v>60</v>
      </c>
      <c r="AA7" s="159" t="s">
        <v>163</v>
      </c>
      <c r="AB7" s="159">
        <f t="shared" ref="AB7:AB12" si="8">RANK(AH7,$AH$6:$AH$13,1)</f>
        <v>4</v>
      </c>
      <c r="AC7" s="164">
        <f>MIN($AH$6:$AH$13)</f>
        <v>7.8838174273858916</v>
      </c>
      <c r="AD7" s="164">
        <f t="shared" ref="AD7:AD13" si="9">MAX($AH$6:$AH$13)</f>
        <v>31.111111111111111</v>
      </c>
      <c r="AE7" s="159"/>
      <c r="AF7" s="159">
        <f t="shared" ref="AF7:AF31" si="10">VLOOKUP($Y7,$A$6:$I$31,5,FALSE)</f>
        <v>14</v>
      </c>
      <c r="AG7" s="160" t="str">
        <f t="shared" ref="AG7:AG31" si="11">VLOOKUP($Y7,$A$6:$I$31,6,FALSE)</f>
        <v>N/A</v>
      </c>
      <c r="AH7" s="161">
        <f t="shared" ref="AH7:AH31" si="12">VLOOKUP($Y7,$A$6:$I$31,7,FALSE)</f>
        <v>22.950819672131146</v>
      </c>
      <c r="AI7" s="161">
        <f t="shared" ref="AI7:AI31" si="13">VLOOKUP($Y7,$A$6:$I$31,8,FALSE)</f>
        <v>0.33204739329855126</v>
      </c>
      <c r="AJ7" s="161">
        <f t="shared" ref="AJ7:AJ31" si="14">VLOOKUP($Y7,$A$6:$I$31,9,FALSE)</f>
        <v>50.677764803275529</v>
      </c>
      <c r="AK7" s="160">
        <f t="shared" ref="AK7:AK31" si="15">VLOOKUP($Y7,$A$6:$M$31,13,FALSE)</f>
        <v>5</v>
      </c>
    </row>
    <row r="8" spans="1:37" x14ac:dyDescent="0.2">
      <c r="A8" s="62" t="s">
        <v>31</v>
      </c>
      <c r="B8" s="62" t="s">
        <v>57</v>
      </c>
      <c r="C8" s="62" t="s">
        <v>200</v>
      </c>
      <c r="D8" s="62"/>
      <c r="E8" s="62">
        <f t="shared" si="2"/>
        <v>12</v>
      </c>
      <c r="F8" s="128" t="s">
        <v>79</v>
      </c>
      <c r="G8" s="129">
        <v>20.398009950248756</v>
      </c>
      <c r="H8" s="129">
        <v>-3.9018960949394832</v>
      </c>
      <c r="I8" s="129">
        <v>50.856232109175735</v>
      </c>
      <c r="J8" s="129"/>
      <c r="K8" s="129"/>
      <c r="L8" s="129"/>
      <c r="M8" s="60">
        <f t="shared" si="0"/>
        <v>5</v>
      </c>
      <c r="N8" s="61">
        <f t="shared" si="3"/>
        <v>-26.530612244897959</v>
      </c>
      <c r="O8" s="61">
        <f t="shared" ref="O8:O31" si="16">VLOOKUP(7,$E$5:$G$39,3,FALSE)</f>
        <v>7.8838174273858916</v>
      </c>
      <c r="P8" s="129">
        <f t="shared" si="4"/>
        <v>21.994134897360702</v>
      </c>
      <c r="Q8" s="129">
        <f t="shared" si="5"/>
        <v>15.519984938069143</v>
      </c>
      <c r="R8" s="129">
        <f t="shared" si="6"/>
        <v>28.831159229865122</v>
      </c>
      <c r="S8" s="61">
        <f t="shared" si="7"/>
        <v>31.111111111111111</v>
      </c>
      <c r="T8" s="61">
        <f t="shared" si="1"/>
        <v>54.117647058823529</v>
      </c>
      <c r="U8" s="61">
        <f t="shared" ref="U8:U31" si="17">VLOOKUP(C8,$C$43:$I$46,5,FALSE)</f>
        <v>20.437956204379564</v>
      </c>
      <c r="V8" s="61"/>
      <c r="Y8" s="159" t="s">
        <v>41</v>
      </c>
      <c r="Z8" s="159" t="s">
        <v>64</v>
      </c>
      <c r="AA8" s="159" t="s">
        <v>163</v>
      </c>
      <c r="AB8" s="159">
        <f t="shared" si="8"/>
        <v>1</v>
      </c>
      <c r="AC8" s="164">
        <f t="shared" ref="AC8:AC13" si="18">MIN($AH$6:$AH$13)</f>
        <v>7.8838174273858916</v>
      </c>
      <c r="AD8" s="164">
        <f>MAX($AH$6:$AH$13)</f>
        <v>31.111111111111111</v>
      </c>
      <c r="AE8" s="159"/>
      <c r="AF8" s="159">
        <f t="shared" si="10"/>
        <v>7</v>
      </c>
      <c r="AG8" s="160" t="str">
        <f t="shared" si="11"/>
        <v>N/A</v>
      </c>
      <c r="AH8" s="161">
        <f t="shared" si="12"/>
        <v>7.8838174273858916</v>
      </c>
      <c r="AI8" s="161">
        <f t="shared" si="13"/>
        <v>-12.831480461201128</v>
      </c>
      <c r="AJ8" s="161">
        <f t="shared" si="14"/>
        <v>33.531995911280617</v>
      </c>
      <c r="AK8" s="160">
        <f t="shared" si="15"/>
        <v>5</v>
      </c>
    </row>
    <row r="9" spans="1:37" x14ac:dyDescent="0.2">
      <c r="A9" s="62" t="s">
        <v>32</v>
      </c>
      <c r="B9" s="62" t="s">
        <v>156</v>
      </c>
      <c r="C9" s="62" t="s">
        <v>201</v>
      </c>
      <c r="D9" s="62"/>
      <c r="E9" s="62">
        <f t="shared" si="2"/>
        <v>11</v>
      </c>
      <c r="F9" s="128" t="s">
        <v>79</v>
      </c>
      <c r="G9" s="129">
        <v>18.181818181818183</v>
      </c>
      <c r="H9" s="129">
        <v>-10.653511125435223</v>
      </c>
      <c r="I9" s="129">
        <v>56.357128124026715</v>
      </c>
      <c r="J9" s="129"/>
      <c r="K9" s="129"/>
      <c r="L9" s="129"/>
      <c r="M9" s="60">
        <f t="shared" si="0"/>
        <v>5</v>
      </c>
      <c r="N9" s="61">
        <f t="shared" si="3"/>
        <v>-26.530612244897959</v>
      </c>
      <c r="O9" s="61">
        <f t="shared" si="16"/>
        <v>7.8838174273858916</v>
      </c>
      <c r="P9" s="129">
        <f t="shared" si="4"/>
        <v>21.994134897360702</v>
      </c>
      <c r="Q9" s="129">
        <f t="shared" si="5"/>
        <v>15.519984938069143</v>
      </c>
      <c r="R9" s="129">
        <f t="shared" si="6"/>
        <v>28.831159229865122</v>
      </c>
      <c r="S9" s="61">
        <f t="shared" si="7"/>
        <v>31.111111111111111</v>
      </c>
      <c r="T9" s="61">
        <f t="shared" si="1"/>
        <v>54.117647058823529</v>
      </c>
      <c r="U9" s="61">
        <f t="shared" si="17"/>
        <v>22.857142857142858</v>
      </c>
      <c r="V9" s="61"/>
      <c r="X9" s="63"/>
      <c r="Y9" s="159" t="s">
        <v>45</v>
      </c>
      <c r="Z9" s="159" t="s">
        <v>67</v>
      </c>
      <c r="AA9" s="159" t="s">
        <v>163</v>
      </c>
      <c r="AB9" s="159">
        <f t="shared" si="8"/>
        <v>5</v>
      </c>
      <c r="AC9" s="164">
        <f t="shared" si="18"/>
        <v>7.8838174273858916</v>
      </c>
      <c r="AD9" s="164">
        <f t="shared" si="9"/>
        <v>31.111111111111111</v>
      </c>
      <c r="AE9" s="159"/>
      <c r="AF9" s="159">
        <f t="shared" si="10"/>
        <v>17</v>
      </c>
      <c r="AG9" s="160" t="str">
        <f t="shared" si="11"/>
        <v>N/A</v>
      </c>
      <c r="AH9" s="161">
        <f t="shared" si="12"/>
        <v>28.125</v>
      </c>
      <c r="AI9" s="161">
        <f t="shared" si="13"/>
        <v>-2.8775923028132255</v>
      </c>
      <c r="AJ9" s="161">
        <f t="shared" si="14"/>
        <v>69.058535779892338</v>
      </c>
      <c r="AK9" s="160">
        <f t="shared" si="15"/>
        <v>5</v>
      </c>
    </row>
    <row r="10" spans="1:37" x14ac:dyDescent="0.2">
      <c r="A10" s="62" t="s">
        <v>33</v>
      </c>
      <c r="B10" s="62" t="s">
        <v>58</v>
      </c>
      <c r="C10" s="62" t="s">
        <v>163</v>
      </c>
      <c r="D10" s="62"/>
      <c r="E10" s="62">
        <f t="shared" si="2"/>
        <v>19</v>
      </c>
      <c r="F10" s="128" t="s">
        <v>79</v>
      </c>
      <c r="G10" s="129">
        <v>30.952380952380953</v>
      </c>
      <c r="H10" s="129">
        <v>2.9818601521162336</v>
      </c>
      <c r="I10" s="129">
        <v>66.539062357243566</v>
      </c>
      <c r="J10" s="129"/>
      <c r="K10" s="129"/>
      <c r="L10" s="129"/>
      <c r="M10" s="60">
        <f t="shared" si="0"/>
        <v>5</v>
      </c>
      <c r="N10" s="61">
        <f t="shared" si="3"/>
        <v>-26.530612244897959</v>
      </c>
      <c r="O10" s="61">
        <f t="shared" si="16"/>
        <v>7.8838174273858916</v>
      </c>
      <c r="P10" s="129">
        <f t="shared" si="4"/>
        <v>21.994134897360702</v>
      </c>
      <c r="Q10" s="129">
        <f t="shared" si="5"/>
        <v>15.519984938069143</v>
      </c>
      <c r="R10" s="129">
        <f t="shared" si="6"/>
        <v>28.831159229865122</v>
      </c>
      <c r="S10" s="61">
        <f t="shared" si="7"/>
        <v>31.111111111111111</v>
      </c>
      <c r="T10" s="61">
        <f t="shared" si="1"/>
        <v>54.117647058823529</v>
      </c>
      <c r="U10" s="61">
        <f t="shared" si="17"/>
        <v>22.659430122116689</v>
      </c>
      <c r="V10" s="61"/>
      <c r="Y10" s="159" t="s">
        <v>46</v>
      </c>
      <c r="Z10" s="159" t="s">
        <v>68</v>
      </c>
      <c r="AA10" s="159" t="s">
        <v>163</v>
      </c>
      <c r="AB10" s="159">
        <f t="shared" si="8"/>
        <v>8</v>
      </c>
      <c r="AC10" s="164">
        <f t="shared" si="18"/>
        <v>7.8838174273858916</v>
      </c>
      <c r="AD10" s="164">
        <f t="shared" si="9"/>
        <v>31.111111111111111</v>
      </c>
      <c r="AE10" s="159"/>
      <c r="AF10" s="159">
        <f t="shared" si="10"/>
        <v>20</v>
      </c>
      <c r="AG10" s="160" t="str">
        <f t="shared" si="11"/>
        <v>N/A</v>
      </c>
      <c r="AH10" s="161">
        <f t="shared" si="12"/>
        <v>31.111111111111111</v>
      </c>
      <c r="AI10" s="161">
        <f t="shared" si="13"/>
        <v>3.9578601639135291</v>
      </c>
      <c r="AJ10" s="161">
        <f t="shared" si="14"/>
        <v>65.373226900661606</v>
      </c>
      <c r="AK10" s="160">
        <f t="shared" si="15"/>
        <v>5</v>
      </c>
    </row>
    <row r="11" spans="1:37" x14ac:dyDescent="0.2">
      <c r="A11" s="62" t="s">
        <v>34</v>
      </c>
      <c r="B11" s="62" t="s">
        <v>59</v>
      </c>
      <c r="C11" s="62" t="s">
        <v>200</v>
      </c>
      <c r="D11" s="62"/>
      <c r="E11" s="62">
        <f t="shared" si="2"/>
        <v>15</v>
      </c>
      <c r="F11" s="128" t="s">
        <v>79</v>
      </c>
      <c r="G11" s="129">
        <v>23.076923076923077</v>
      </c>
      <c r="H11" s="129">
        <v>-2.7263203484784837</v>
      </c>
      <c r="I11" s="129">
        <v>55.741555338133431</v>
      </c>
      <c r="J11" s="129"/>
      <c r="K11" s="129"/>
      <c r="L11" s="129"/>
      <c r="M11" s="60">
        <f t="shared" si="0"/>
        <v>5</v>
      </c>
      <c r="N11" s="61">
        <f t="shared" si="3"/>
        <v>-26.530612244897959</v>
      </c>
      <c r="O11" s="61">
        <f t="shared" si="16"/>
        <v>7.8838174273858916</v>
      </c>
      <c r="P11" s="129">
        <f t="shared" si="4"/>
        <v>21.994134897360702</v>
      </c>
      <c r="Q11" s="129">
        <f t="shared" si="5"/>
        <v>15.519984938069143</v>
      </c>
      <c r="R11" s="129">
        <f t="shared" si="6"/>
        <v>28.831159229865122</v>
      </c>
      <c r="S11" s="61">
        <f t="shared" si="7"/>
        <v>31.111111111111111</v>
      </c>
      <c r="T11" s="61">
        <f t="shared" si="1"/>
        <v>54.117647058823529</v>
      </c>
      <c r="U11" s="61">
        <f t="shared" si="17"/>
        <v>20.437956204379564</v>
      </c>
      <c r="V11" s="61"/>
      <c r="Y11" s="159" t="s">
        <v>47</v>
      </c>
      <c r="Z11" s="159" t="s">
        <v>69</v>
      </c>
      <c r="AA11" s="159" t="s">
        <v>163</v>
      </c>
      <c r="AB11" s="159">
        <f t="shared" si="8"/>
        <v>2</v>
      </c>
      <c r="AC11" s="164">
        <f t="shared" si="18"/>
        <v>7.8838174273858916</v>
      </c>
      <c r="AD11" s="164">
        <f t="shared" si="9"/>
        <v>31.111111111111111</v>
      </c>
      <c r="AE11" s="159"/>
      <c r="AF11" s="159">
        <f t="shared" si="10"/>
        <v>8</v>
      </c>
      <c r="AG11" s="160" t="str">
        <f t="shared" si="11"/>
        <v>N/A</v>
      </c>
      <c r="AH11" s="161">
        <f t="shared" si="12"/>
        <v>9.0909090909090917</v>
      </c>
      <c r="AI11" s="161">
        <f t="shared" si="13"/>
        <v>-29.984747166509816</v>
      </c>
      <c r="AJ11" s="161">
        <f t="shared" si="14"/>
        <v>70.211498489483134</v>
      </c>
      <c r="AK11" s="160">
        <f t="shared" si="15"/>
        <v>5</v>
      </c>
    </row>
    <row r="12" spans="1:37" x14ac:dyDescent="0.2">
      <c r="A12" s="62" t="s">
        <v>35</v>
      </c>
      <c r="B12" s="62" t="s">
        <v>60</v>
      </c>
      <c r="C12" s="62" t="s">
        <v>163</v>
      </c>
      <c r="D12" s="62"/>
      <c r="E12" s="62">
        <f t="shared" si="2"/>
        <v>14</v>
      </c>
      <c r="F12" s="128" t="s">
        <v>79</v>
      </c>
      <c r="G12" s="129">
        <v>22.950819672131146</v>
      </c>
      <c r="H12" s="129">
        <v>0.33204739329855126</v>
      </c>
      <c r="I12" s="129">
        <v>50.677764803275529</v>
      </c>
      <c r="J12" s="129"/>
      <c r="K12" s="129"/>
      <c r="L12" s="129"/>
      <c r="M12" s="60">
        <f t="shared" si="0"/>
        <v>5</v>
      </c>
      <c r="N12" s="61">
        <f t="shared" si="3"/>
        <v>-26.530612244897959</v>
      </c>
      <c r="O12" s="61">
        <f t="shared" si="16"/>
        <v>7.8838174273858916</v>
      </c>
      <c r="P12" s="129">
        <f t="shared" si="4"/>
        <v>21.994134897360702</v>
      </c>
      <c r="Q12" s="129">
        <f t="shared" si="5"/>
        <v>15.519984938069143</v>
      </c>
      <c r="R12" s="129">
        <f t="shared" si="6"/>
        <v>28.831159229865122</v>
      </c>
      <c r="S12" s="61">
        <f t="shared" si="7"/>
        <v>31.111111111111111</v>
      </c>
      <c r="T12" s="61">
        <f t="shared" si="1"/>
        <v>54.117647058823529</v>
      </c>
      <c r="U12" s="61">
        <f t="shared" si="17"/>
        <v>22.659430122116689</v>
      </c>
      <c r="V12" s="61"/>
      <c r="Y12" s="159" t="s">
        <v>50</v>
      </c>
      <c r="Z12" s="159" t="s">
        <v>161</v>
      </c>
      <c r="AA12" s="159" t="s">
        <v>163</v>
      </c>
      <c r="AB12" s="159">
        <f t="shared" si="8"/>
        <v>3</v>
      </c>
      <c r="AC12" s="164">
        <f t="shared" si="18"/>
        <v>7.8838174273858916</v>
      </c>
      <c r="AD12" s="164">
        <f t="shared" si="9"/>
        <v>31.111111111111111</v>
      </c>
      <c r="AE12" s="159"/>
      <c r="AF12" s="159">
        <f t="shared" si="10"/>
        <v>9</v>
      </c>
      <c r="AG12" s="160" t="str">
        <f t="shared" si="11"/>
        <v>N/A</v>
      </c>
      <c r="AH12" s="161">
        <f t="shared" si="12"/>
        <v>9.7345132743362832</v>
      </c>
      <c r="AI12" s="161">
        <f t="shared" si="13"/>
        <v>-19.470566745896754</v>
      </c>
      <c r="AJ12" s="161">
        <f t="shared" si="14"/>
        <v>49.580455692065037</v>
      </c>
      <c r="AK12" s="160">
        <f t="shared" si="15"/>
        <v>5</v>
      </c>
    </row>
    <row r="13" spans="1:37" x14ac:dyDescent="0.2">
      <c r="A13" s="62" t="s">
        <v>36</v>
      </c>
      <c r="B13" s="62" t="s">
        <v>61</v>
      </c>
      <c r="C13" s="62" t="s">
        <v>201</v>
      </c>
      <c r="D13" s="62"/>
      <c r="E13" s="62">
        <f t="shared" si="2"/>
        <v>3</v>
      </c>
      <c r="F13" s="128" t="s">
        <v>79</v>
      </c>
      <c r="G13" s="129">
        <v>-9.0909090909090917</v>
      </c>
      <c r="H13" s="129">
        <v>-67.025792955482203</v>
      </c>
      <c r="I13" s="129">
        <v>161.64938713999328</v>
      </c>
      <c r="J13" s="129"/>
      <c r="K13" s="129"/>
      <c r="L13" s="129"/>
      <c r="M13" s="60">
        <f t="shared" si="0"/>
        <v>5</v>
      </c>
      <c r="N13" s="61">
        <f t="shared" si="3"/>
        <v>-26.530612244897959</v>
      </c>
      <c r="O13" s="61">
        <f t="shared" si="16"/>
        <v>7.8838174273858916</v>
      </c>
      <c r="P13" s="129">
        <f t="shared" si="4"/>
        <v>21.994134897360702</v>
      </c>
      <c r="Q13" s="129">
        <f t="shared" si="5"/>
        <v>15.519984938069143</v>
      </c>
      <c r="R13" s="129">
        <f t="shared" si="6"/>
        <v>28.831159229865122</v>
      </c>
      <c r="S13" s="61">
        <f t="shared" si="7"/>
        <v>31.111111111111111</v>
      </c>
      <c r="T13" s="61">
        <f t="shared" si="1"/>
        <v>54.117647058823529</v>
      </c>
      <c r="U13" s="61">
        <f t="shared" si="17"/>
        <v>22.857142857142858</v>
      </c>
      <c r="V13" s="61"/>
      <c r="Y13" s="159" t="s">
        <v>53</v>
      </c>
      <c r="Z13" s="159" t="s">
        <v>162</v>
      </c>
      <c r="AA13" s="159" t="s">
        <v>163</v>
      </c>
      <c r="AB13" s="159">
        <f>RANK(AH13,$AH$6:$AH$13,1)</f>
        <v>6</v>
      </c>
      <c r="AC13" s="164">
        <f t="shared" si="18"/>
        <v>7.8838174273858916</v>
      </c>
      <c r="AD13" s="164">
        <f t="shared" si="9"/>
        <v>31.111111111111111</v>
      </c>
      <c r="AE13" s="159"/>
      <c r="AF13" s="159">
        <f t="shared" si="10"/>
        <v>18</v>
      </c>
      <c r="AG13" s="160" t="str">
        <f t="shared" si="11"/>
        <v>N/A</v>
      </c>
      <c r="AH13" s="161">
        <f t="shared" si="12"/>
        <v>28.695652173913043</v>
      </c>
      <c r="AI13" s="161">
        <f t="shared" si="13"/>
        <v>8.7267675423252875</v>
      </c>
      <c r="AJ13" s="161">
        <f t="shared" si="14"/>
        <v>52.336320131215963</v>
      </c>
      <c r="AK13" s="160">
        <f t="shared" si="15"/>
        <v>5</v>
      </c>
    </row>
    <row r="14" spans="1:37" x14ac:dyDescent="0.2">
      <c r="A14" s="62" t="s">
        <v>37</v>
      </c>
      <c r="B14" s="62" t="s">
        <v>157</v>
      </c>
      <c r="C14" s="62" t="s">
        <v>201</v>
      </c>
      <c r="D14" s="62"/>
      <c r="E14" s="62">
        <f t="shared" si="2"/>
        <v>16</v>
      </c>
      <c r="F14" s="128" t="s">
        <v>79</v>
      </c>
      <c r="G14" s="129">
        <v>25.531914893617021</v>
      </c>
      <c r="H14" s="129">
        <v>-9.3139199923404021</v>
      </c>
      <c r="I14" s="129">
        <v>73.834838838450295</v>
      </c>
      <c r="J14" s="129"/>
      <c r="K14" s="129"/>
      <c r="L14" s="129"/>
      <c r="M14" s="60">
        <f t="shared" si="0"/>
        <v>5</v>
      </c>
      <c r="N14" s="61">
        <f t="shared" si="3"/>
        <v>-26.530612244897959</v>
      </c>
      <c r="O14" s="61">
        <f t="shared" si="16"/>
        <v>7.8838174273858916</v>
      </c>
      <c r="P14" s="129">
        <f t="shared" si="4"/>
        <v>21.994134897360702</v>
      </c>
      <c r="Q14" s="129">
        <f t="shared" si="5"/>
        <v>15.519984938069143</v>
      </c>
      <c r="R14" s="129">
        <f t="shared" si="6"/>
        <v>28.831159229865122</v>
      </c>
      <c r="S14" s="61">
        <f t="shared" si="7"/>
        <v>31.111111111111111</v>
      </c>
      <c r="T14" s="61">
        <f t="shared" si="1"/>
        <v>54.117647058823529</v>
      </c>
      <c r="U14" s="61">
        <f t="shared" si="17"/>
        <v>22.857142857142858</v>
      </c>
      <c r="V14" s="61"/>
      <c r="Y14" s="162" t="s">
        <v>29</v>
      </c>
      <c r="Z14" s="162" t="s">
        <v>55</v>
      </c>
      <c r="AA14" s="162" t="s">
        <v>201</v>
      </c>
      <c r="AB14" s="162">
        <f>RANK(AH14,$AH$14:$AH$22,1)</f>
        <v>8</v>
      </c>
      <c r="AC14" s="165">
        <f t="shared" ref="AC14:AC22" si="19">MIN($AH$14:$AH$22)</f>
        <v>-14.782608695652174</v>
      </c>
      <c r="AD14" s="165">
        <f>MAX($AH$14:$AH$22)</f>
        <v>54.117647058823529</v>
      </c>
      <c r="AE14" s="162"/>
      <c r="AF14" s="162">
        <f t="shared" si="10"/>
        <v>24</v>
      </c>
      <c r="AG14" s="167" t="str">
        <f t="shared" si="11"/>
        <v>N/A</v>
      </c>
      <c r="AH14" s="165">
        <f t="shared" si="12"/>
        <v>35.2112676056338</v>
      </c>
      <c r="AI14" s="165">
        <f t="shared" si="13"/>
        <v>-6.1966414181926837</v>
      </c>
      <c r="AJ14" s="165">
        <f t="shared" si="14"/>
        <v>95.017694021737725</v>
      </c>
      <c r="AK14" s="167">
        <f t="shared" si="15"/>
        <v>5</v>
      </c>
    </row>
    <row r="15" spans="1:37" x14ac:dyDescent="0.2">
      <c r="A15" s="62" t="s">
        <v>38</v>
      </c>
      <c r="B15" s="62" t="s">
        <v>62</v>
      </c>
      <c r="C15" s="62" t="s">
        <v>201</v>
      </c>
      <c r="D15" s="62"/>
      <c r="E15" s="62">
        <f t="shared" si="2"/>
        <v>22</v>
      </c>
      <c r="F15" s="128" t="s">
        <v>79</v>
      </c>
      <c r="G15" s="129">
        <v>32.710280373831772</v>
      </c>
      <c r="H15" s="129">
        <v>-1.6600618133705836</v>
      </c>
      <c r="I15" s="129">
        <v>79.143080449494747</v>
      </c>
      <c r="J15" s="129"/>
      <c r="K15" s="129"/>
      <c r="L15" s="129"/>
      <c r="M15" s="60">
        <f t="shared" si="0"/>
        <v>5</v>
      </c>
      <c r="N15" s="61">
        <f t="shared" si="3"/>
        <v>-26.530612244897959</v>
      </c>
      <c r="O15" s="61">
        <f t="shared" si="16"/>
        <v>7.8838174273858916</v>
      </c>
      <c r="P15" s="129">
        <f t="shared" si="4"/>
        <v>21.994134897360702</v>
      </c>
      <c r="Q15" s="129">
        <f t="shared" si="5"/>
        <v>15.519984938069143</v>
      </c>
      <c r="R15" s="129">
        <f t="shared" si="6"/>
        <v>28.831159229865122</v>
      </c>
      <c r="S15" s="61">
        <f t="shared" si="7"/>
        <v>31.111111111111111</v>
      </c>
      <c r="T15" s="61">
        <f t="shared" si="1"/>
        <v>54.117647058823529</v>
      </c>
      <c r="U15" s="61">
        <f t="shared" si="17"/>
        <v>22.857142857142858</v>
      </c>
      <c r="V15" s="61"/>
      <c r="Y15" s="162" t="s">
        <v>32</v>
      </c>
      <c r="Z15" s="162" t="s">
        <v>156</v>
      </c>
      <c r="AA15" s="162" t="s">
        <v>201</v>
      </c>
      <c r="AB15" s="162">
        <f>RANK(AH15,$AH$14:$AH$22,1)</f>
        <v>4</v>
      </c>
      <c r="AC15" s="165">
        <f t="shared" si="19"/>
        <v>-14.782608695652174</v>
      </c>
      <c r="AD15" s="165">
        <f t="shared" ref="AD15:AD22" si="20">MAX($AH$14:$AH$22)</f>
        <v>54.117647058823529</v>
      </c>
      <c r="AE15" s="162"/>
      <c r="AF15" s="162">
        <f t="shared" si="10"/>
        <v>11</v>
      </c>
      <c r="AG15" s="167" t="str">
        <f t="shared" si="11"/>
        <v>N/A</v>
      </c>
      <c r="AH15" s="165">
        <f t="shared" si="12"/>
        <v>18.181818181818183</v>
      </c>
      <c r="AI15" s="165">
        <f t="shared" si="13"/>
        <v>-10.653511125435223</v>
      </c>
      <c r="AJ15" s="165">
        <f t="shared" si="14"/>
        <v>56.357128124026715</v>
      </c>
      <c r="AK15" s="167">
        <f t="shared" si="15"/>
        <v>5</v>
      </c>
    </row>
    <row r="16" spans="1:37" x14ac:dyDescent="0.2">
      <c r="A16" s="62" t="s">
        <v>39</v>
      </c>
      <c r="B16" s="62" t="s">
        <v>158</v>
      </c>
      <c r="C16" s="62" t="s">
        <v>200</v>
      </c>
      <c r="D16" s="62"/>
      <c r="E16" s="62">
        <f t="shared" si="2"/>
        <v>6</v>
      </c>
      <c r="F16" s="128" t="s">
        <v>79</v>
      </c>
      <c r="G16" s="129">
        <v>5.6338028169014089</v>
      </c>
      <c r="H16" s="129">
        <v>-20.128149865095533</v>
      </c>
      <c r="I16" s="129">
        <v>39.735990348086418</v>
      </c>
      <c r="J16" s="129"/>
      <c r="K16" s="129"/>
      <c r="L16" s="129"/>
      <c r="M16" s="60">
        <f t="shared" si="0"/>
        <v>5</v>
      </c>
      <c r="N16" s="61">
        <f t="shared" si="3"/>
        <v>-26.530612244897959</v>
      </c>
      <c r="O16" s="61">
        <f t="shared" si="16"/>
        <v>7.8838174273858916</v>
      </c>
      <c r="P16" s="129">
        <f t="shared" si="4"/>
        <v>21.994134897360702</v>
      </c>
      <c r="Q16" s="129">
        <f t="shared" si="5"/>
        <v>15.519984938069143</v>
      </c>
      <c r="R16" s="129">
        <f t="shared" si="6"/>
        <v>28.831159229865122</v>
      </c>
      <c r="S16" s="61">
        <f t="shared" si="7"/>
        <v>31.111111111111111</v>
      </c>
      <c r="T16" s="61">
        <f t="shared" si="1"/>
        <v>54.117647058823529</v>
      </c>
      <c r="U16" s="61">
        <f t="shared" si="17"/>
        <v>20.437956204379564</v>
      </c>
      <c r="V16" s="61"/>
      <c r="Y16" s="162" t="s">
        <v>36</v>
      </c>
      <c r="Z16" s="162" t="s">
        <v>61</v>
      </c>
      <c r="AA16" s="162" t="s">
        <v>201</v>
      </c>
      <c r="AB16" s="162">
        <f>RANK(AH16,$AH$14:$AH$22,1)</f>
        <v>2</v>
      </c>
      <c r="AC16" s="165">
        <f t="shared" si="19"/>
        <v>-14.782608695652174</v>
      </c>
      <c r="AD16" s="165">
        <f t="shared" si="20"/>
        <v>54.117647058823529</v>
      </c>
      <c r="AE16" s="162"/>
      <c r="AF16" s="162">
        <f t="shared" si="10"/>
        <v>3</v>
      </c>
      <c r="AG16" s="167" t="str">
        <f t="shared" si="11"/>
        <v>N/A</v>
      </c>
      <c r="AH16" s="165">
        <f t="shared" si="12"/>
        <v>-9.0909090909090917</v>
      </c>
      <c r="AI16" s="165">
        <f t="shared" si="13"/>
        <v>-67.025792955482203</v>
      </c>
      <c r="AJ16" s="165">
        <f t="shared" si="14"/>
        <v>161.64938713999328</v>
      </c>
      <c r="AK16" s="167">
        <f t="shared" si="15"/>
        <v>5</v>
      </c>
    </row>
    <row r="17" spans="1:37" x14ac:dyDescent="0.2">
      <c r="A17" s="62" t="s">
        <v>40</v>
      </c>
      <c r="B17" s="62" t="s">
        <v>63</v>
      </c>
      <c r="C17" s="62" t="s">
        <v>200</v>
      </c>
      <c r="D17" s="62"/>
      <c r="E17" s="62">
        <f t="shared" si="2"/>
        <v>5</v>
      </c>
      <c r="F17" s="128" t="s">
        <v>79</v>
      </c>
      <c r="G17" s="129">
        <v>4</v>
      </c>
      <c r="H17" s="129">
        <v>-25.578417441817692</v>
      </c>
      <c r="I17" s="129">
        <v>45.400537462479051</v>
      </c>
      <c r="J17" s="129"/>
      <c r="K17" s="129"/>
      <c r="L17" s="129"/>
      <c r="M17" s="60">
        <f t="shared" si="0"/>
        <v>5</v>
      </c>
      <c r="N17" s="61">
        <f t="shared" si="3"/>
        <v>-26.530612244897959</v>
      </c>
      <c r="O17" s="61">
        <f t="shared" si="16"/>
        <v>7.8838174273858916</v>
      </c>
      <c r="P17" s="129">
        <f t="shared" si="4"/>
        <v>21.994134897360702</v>
      </c>
      <c r="Q17" s="129">
        <f t="shared" si="5"/>
        <v>15.519984938069143</v>
      </c>
      <c r="R17" s="129">
        <f t="shared" si="6"/>
        <v>28.831159229865122</v>
      </c>
      <c r="S17" s="61">
        <f t="shared" si="7"/>
        <v>31.111111111111111</v>
      </c>
      <c r="T17" s="61">
        <f t="shared" si="1"/>
        <v>54.117647058823529</v>
      </c>
      <c r="U17" s="61">
        <f t="shared" si="17"/>
        <v>20.437956204379564</v>
      </c>
      <c r="V17" s="61"/>
      <c r="Y17" s="162" t="s">
        <v>37</v>
      </c>
      <c r="Z17" s="162" t="s">
        <v>157</v>
      </c>
      <c r="AA17" s="162" t="s">
        <v>201</v>
      </c>
      <c r="AB17" s="162">
        <f t="shared" ref="AB17:AB22" si="21">RANK(AH17,$AH$14:$AH$22,1)</f>
        <v>6</v>
      </c>
      <c r="AC17" s="165">
        <f t="shared" si="19"/>
        <v>-14.782608695652174</v>
      </c>
      <c r="AD17" s="165">
        <f>MAX($AH$14:$AH$22)</f>
        <v>54.117647058823529</v>
      </c>
      <c r="AE17" s="162"/>
      <c r="AF17" s="162">
        <f t="shared" si="10"/>
        <v>16</v>
      </c>
      <c r="AG17" s="167" t="str">
        <f t="shared" si="11"/>
        <v>N/A</v>
      </c>
      <c r="AH17" s="165">
        <f t="shared" si="12"/>
        <v>25.531914893617021</v>
      </c>
      <c r="AI17" s="165">
        <f t="shared" si="13"/>
        <v>-9.3139199923404021</v>
      </c>
      <c r="AJ17" s="165">
        <f t="shared" si="14"/>
        <v>73.834838838450295</v>
      </c>
      <c r="AK17" s="167">
        <f t="shared" si="15"/>
        <v>5</v>
      </c>
    </row>
    <row r="18" spans="1:37" x14ac:dyDescent="0.2">
      <c r="A18" s="62" t="s">
        <v>41</v>
      </c>
      <c r="B18" s="62" t="s">
        <v>64</v>
      </c>
      <c r="C18" s="62" t="s">
        <v>163</v>
      </c>
      <c r="D18" s="62"/>
      <c r="E18" s="62">
        <f t="shared" si="2"/>
        <v>7</v>
      </c>
      <c r="F18" s="128" t="s">
        <v>79</v>
      </c>
      <c r="G18" s="129">
        <v>7.8838174273858916</v>
      </c>
      <c r="H18" s="129">
        <v>-12.831480461201128</v>
      </c>
      <c r="I18" s="129">
        <v>33.531995911280617</v>
      </c>
      <c r="J18" s="129"/>
      <c r="K18" s="129"/>
      <c r="L18" s="129"/>
      <c r="M18" s="60">
        <f t="shared" si="0"/>
        <v>5</v>
      </c>
      <c r="N18" s="61">
        <f t="shared" si="3"/>
        <v>-26.530612244897959</v>
      </c>
      <c r="O18" s="61">
        <f t="shared" si="16"/>
        <v>7.8838174273858916</v>
      </c>
      <c r="P18" s="129">
        <f t="shared" si="4"/>
        <v>21.994134897360702</v>
      </c>
      <c r="Q18" s="129">
        <f t="shared" si="5"/>
        <v>15.519984938069143</v>
      </c>
      <c r="R18" s="129">
        <f t="shared" si="6"/>
        <v>28.831159229865122</v>
      </c>
      <c r="S18" s="61">
        <f t="shared" si="7"/>
        <v>31.111111111111111</v>
      </c>
      <c r="T18" s="61">
        <f t="shared" si="1"/>
        <v>54.117647058823529</v>
      </c>
      <c r="U18" s="61">
        <f t="shared" si="17"/>
        <v>22.659430122116689</v>
      </c>
      <c r="V18" s="61"/>
      <c r="Y18" s="162" t="s">
        <v>38</v>
      </c>
      <c r="Z18" s="162" t="s">
        <v>62</v>
      </c>
      <c r="AA18" s="162" t="s">
        <v>201</v>
      </c>
      <c r="AB18" s="162">
        <f t="shared" si="21"/>
        <v>7</v>
      </c>
      <c r="AC18" s="165">
        <f t="shared" si="19"/>
        <v>-14.782608695652174</v>
      </c>
      <c r="AD18" s="165">
        <f t="shared" si="20"/>
        <v>54.117647058823529</v>
      </c>
      <c r="AE18" s="162"/>
      <c r="AF18" s="162">
        <f t="shared" si="10"/>
        <v>22</v>
      </c>
      <c r="AG18" s="167" t="str">
        <f t="shared" si="11"/>
        <v>N/A</v>
      </c>
      <c r="AH18" s="165">
        <f t="shared" si="12"/>
        <v>32.710280373831772</v>
      </c>
      <c r="AI18" s="165">
        <f t="shared" si="13"/>
        <v>-1.6600618133705836</v>
      </c>
      <c r="AJ18" s="165">
        <f t="shared" si="14"/>
        <v>79.143080449494747</v>
      </c>
      <c r="AK18" s="167">
        <f t="shared" si="15"/>
        <v>5</v>
      </c>
    </row>
    <row r="19" spans="1:37" x14ac:dyDescent="0.2">
      <c r="A19" s="62" t="s">
        <v>42</v>
      </c>
      <c r="B19" s="62" t="s">
        <v>65</v>
      </c>
      <c r="C19" s="62" t="s">
        <v>200</v>
      </c>
      <c r="D19" s="62"/>
      <c r="E19" s="62">
        <f t="shared" si="2"/>
        <v>23</v>
      </c>
      <c r="F19" s="128" t="s">
        <v>79</v>
      </c>
      <c r="G19" s="129">
        <v>33.333333333333329</v>
      </c>
      <c r="H19" s="129">
        <v>-17.199190073411096</v>
      </c>
      <c r="I19" s="129">
        <v>115.08714986050039</v>
      </c>
      <c r="J19" s="129"/>
      <c r="K19" s="129"/>
      <c r="L19" s="129"/>
      <c r="M19" s="60">
        <f t="shared" si="0"/>
        <v>5</v>
      </c>
      <c r="N19" s="61">
        <f t="shared" si="3"/>
        <v>-26.530612244897959</v>
      </c>
      <c r="O19" s="61">
        <f t="shared" si="16"/>
        <v>7.8838174273858916</v>
      </c>
      <c r="P19" s="129">
        <f t="shared" si="4"/>
        <v>21.994134897360702</v>
      </c>
      <c r="Q19" s="129">
        <f t="shared" si="5"/>
        <v>15.519984938069143</v>
      </c>
      <c r="R19" s="129">
        <f t="shared" si="6"/>
        <v>28.831159229865122</v>
      </c>
      <c r="S19" s="61">
        <f t="shared" si="7"/>
        <v>31.111111111111111</v>
      </c>
      <c r="T19" s="61">
        <f t="shared" si="1"/>
        <v>54.117647058823529</v>
      </c>
      <c r="U19" s="61">
        <f t="shared" si="17"/>
        <v>20.437956204379564</v>
      </c>
      <c r="V19" s="61"/>
      <c r="Y19" s="162" t="s">
        <v>43</v>
      </c>
      <c r="Z19" s="162" t="s">
        <v>159</v>
      </c>
      <c r="AA19" s="162" t="s">
        <v>201</v>
      </c>
      <c r="AB19" s="162">
        <f t="shared" si="21"/>
        <v>9</v>
      </c>
      <c r="AC19" s="165">
        <f t="shared" si="19"/>
        <v>-14.782608695652174</v>
      </c>
      <c r="AD19" s="165">
        <f t="shared" si="20"/>
        <v>54.117647058823529</v>
      </c>
      <c r="AE19" s="162"/>
      <c r="AF19" s="162">
        <f t="shared" si="10"/>
        <v>26</v>
      </c>
      <c r="AG19" s="167" t="str">
        <f t="shared" si="11"/>
        <v>N/A</v>
      </c>
      <c r="AH19" s="165">
        <f t="shared" si="12"/>
        <v>54.117647058823529</v>
      </c>
      <c r="AI19" s="165">
        <f t="shared" si="13"/>
        <v>22.724391066007165</v>
      </c>
      <c r="AJ19" s="165">
        <f t="shared" si="14"/>
        <v>93.558943916862788</v>
      </c>
      <c r="AK19" s="167">
        <f t="shared" si="15"/>
        <v>5</v>
      </c>
    </row>
    <row r="20" spans="1:37" x14ac:dyDescent="0.2">
      <c r="A20" s="62" t="s">
        <v>43</v>
      </c>
      <c r="B20" s="62" t="s">
        <v>159</v>
      </c>
      <c r="C20" s="62" t="s">
        <v>201</v>
      </c>
      <c r="D20" s="62"/>
      <c r="E20" s="62">
        <f t="shared" si="2"/>
        <v>26</v>
      </c>
      <c r="F20" s="128" t="s">
        <v>79</v>
      </c>
      <c r="G20" s="129">
        <v>54.117647058823529</v>
      </c>
      <c r="H20" s="129">
        <v>22.724391066007165</v>
      </c>
      <c r="I20" s="129">
        <v>93.558943916862788</v>
      </c>
      <c r="J20" s="129"/>
      <c r="K20" s="129"/>
      <c r="L20" s="129"/>
      <c r="M20" s="60">
        <f t="shared" si="0"/>
        <v>5</v>
      </c>
      <c r="N20" s="61">
        <f t="shared" si="3"/>
        <v>-26.530612244897959</v>
      </c>
      <c r="O20" s="61">
        <f t="shared" si="16"/>
        <v>7.8838174273858916</v>
      </c>
      <c r="P20" s="129">
        <f t="shared" si="4"/>
        <v>21.994134897360702</v>
      </c>
      <c r="Q20" s="129">
        <f t="shared" si="5"/>
        <v>15.519984938069143</v>
      </c>
      <c r="R20" s="129">
        <f t="shared" si="6"/>
        <v>28.831159229865122</v>
      </c>
      <c r="S20" s="61">
        <f t="shared" si="7"/>
        <v>31.111111111111111</v>
      </c>
      <c r="T20" s="61">
        <f t="shared" si="1"/>
        <v>54.117647058823529</v>
      </c>
      <c r="U20" s="61">
        <f t="shared" si="17"/>
        <v>22.857142857142858</v>
      </c>
      <c r="V20" s="61"/>
      <c r="Y20" s="162" t="s">
        <v>48</v>
      </c>
      <c r="Z20" s="162" t="s">
        <v>160</v>
      </c>
      <c r="AA20" s="162" t="s">
        <v>201</v>
      </c>
      <c r="AB20" s="162">
        <f t="shared" si="21"/>
        <v>5</v>
      </c>
      <c r="AC20" s="165">
        <f t="shared" si="19"/>
        <v>-14.782608695652174</v>
      </c>
      <c r="AD20" s="165">
        <f t="shared" si="20"/>
        <v>54.117647058823529</v>
      </c>
      <c r="AE20" s="162"/>
      <c r="AF20" s="162">
        <f t="shared" si="10"/>
        <v>13</v>
      </c>
      <c r="AG20" s="167" t="str">
        <f t="shared" si="11"/>
        <v>N/A</v>
      </c>
      <c r="AH20" s="165">
        <f t="shared" si="12"/>
        <v>21.428571428571427</v>
      </c>
      <c r="AI20" s="165">
        <f t="shared" si="13"/>
        <v>-20.612614488013069</v>
      </c>
      <c r="AJ20" s="165">
        <f t="shared" si="14"/>
        <v>85.946298007116596</v>
      </c>
      <c r="AK20" s="167">
        <f t="shared" si="15"/>
        <v>5</v>
      </c>
    </row>
    <row r="21" spans="1:37" x14ac:dyDescent="0.2">
      <c r="A21" s="62" t="s">
        <v>44</v>
      </c>
      <c r="B21" s="62" t="s">
        <v>66</v>
      </c>
      <c r="C21" s="62" t="s">
        <v>200</v>
      </c>
      <c r="D21" s="62"/>
      <c r="E21" s="62">
        <f t="shared" si="2"/>
        <v>25</v>
      </c>
      <c r="F21" s="128" t="s">
        <v>79</v>
      </c>
      <c r="G21" s="129">
        <v>51.851851851851848</v>
      </c>
      <c r="H21" s="129">
        <v>13.982681166037469</v>
      </c>
      <c r="I21" s="129">
        <v>102.34876018597059</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5</v>
      </c>
      <c r="N21" s="61">
        <f t="shared" si="3"/>
        <v>-26.530612244897959</v>
      </c>
      <c r="O21" s="61">
        <f t="shared" si="16"/>
        <v>7.8838174273858916</v>
      </c>
      <c r="P21" s="129">
        <f t="shared" si="4"/>
        <v>21.994134897360702</v>
      </c>
      <c r="Q21" s="129">
        <f t="shared" si="5"/>
        <v>15.519984938069143</v>
      </c>
      <c r="R21" s="129">
        <f t="shared" si="6"/>
        <v>28.831159229865122</v>
      </c>
      <c r="S21" s="61">
        <f t="shared" si="7"/>
        <v>31.111111111111111</v>
      </c>
      <c r="T21" s="61">
        <f t="shared" si="1"/>
        <v>54.117647058823529</v>
      </c>
      <c r="U21" s="61">
        <f t="shared" si="17"/>
        <v>20.437956204379564</v>
      </c>
      <c r="V21" s="61"/>
      <c r="Y21" s="162" t="s">
        <v>52</v>
      </c>
      <c r="Z21" s="162" t="s">
        <v>72</v>
      </c>
      <c r="AA21" s="162" t="s">
        <v>201</v>
      </c>
      <c r="AB21" s="162">
        <f t="shared" si="21"/>
        <v>1</v>
      </c>
      <c r="AC21" s="165">
        <f t="shared" si="19"/>
        <v>-14.782608695652174</v>
      </c>
      <c r="AD21" s="165">
        <f t="shared" si="20"/>
        <v>54.117647058823529</v>
      </c>
      <c r="AE21" s="162"/>
      <c r="AF21" s="162">
        <f t="shared" si="10"/>
        <v>2</v>
      </c>
      <c r="AG21" s="167" t="str">
        <f t="shared" si="11"/>
        <v>N/A</v>
      </c>
      <c r="AH21" s="165">
        <f t="shared" si="12"/>
        <v>-14.782608695652174</v>
      </c>
      <c r="AI21" s="165">
        <f t="shared" si="13"/>
        <v>-38.973362893713372</v>
      </c>
      <c r="AJ21" s="165">
        <f t="shared" si="14"/>
        <v>19.054147197537663</v>
      </c>
      <c r="AK21" s="167">
        <f t="shared" si="15"/>
        <v>5</v>
      </c>
    </row>
    <row r="22" spans="1:37" x14ac:dyDescent="0.2">
      <c r="A22" s="62" t="s">
        <v>45</v>
      </c>
      <c r="B22" s="62" t="s">
        <v>67</v>
      </c>
      <c r="C22" s="62" t="s">
        <v>163</v>
      </c>
      <c r="D22" s="62"/>
      <c r="E22" s="62">
        <f t="shared" si="2"/>
        <v>17</v>
      </c>
      <c r="F22" s="128" t="s">
        <v>79</v>
      </c>
      <c r="G22" s="129">
        <v>28.125</v>
      </c>
      <c r="H22" s="129">
        <v>-2.8775923028132255</v>
      </c>
      <c r="I22" s="129">
        <v>69.058535779892338</v>
      </c>
      <c r="J22" s="129"/>
      <c r="K22" s="129"/>
      <c r="L22" s="129"/>
      <c r="M22" s="60">
        <f t="shared" si="0"/>
        <v>5</v>
      </c>
      <c r="N22" s="61">
        <f t="shared" si="3"/>
        <v>-26.530612244897959</v>
      </c>
      <c r="O22" s="61">
        <f t="shared" si="16"/>
        <v>7.8838174273858916</v>
      </c>
      <c r="P22" s="129">
        <f t="shared" si="4"/>
        <v>21.994134897360702</v>
      </c>
      <c r="Q22" s="129">
        <f t="shared" si="5"/>
        <v>15.519984938069143</v>
      </c>
      <c r="R22" s="129">
        <f t="shared" si="6"/>
        <v>28.831159229865122</v>
      </c>
      <c r="S22" s="61">
        <f t="shared" si="7"/>
        <v>31.111111111111111</v>
      </c>
      <c r="T22" s="61">
        <f t="shared" si="1"/>
        <v>54.117647058823529</v>
      </c>
      <c r="U22" s="61">
        <f>VLOOKUP(C22,$C$43:$I$46,5,FALSE)</f>
        <v>22.659430122116689</v>
      </c>
      <c r="V22" s="61"/>
      <c r="Y22" s="162" t="s">
        <v>54</v>
      </c>
      <c r="Z22" s="162" t="s">
        <v>73</v>
      </c>
      <c r="AA22" s="162" t="s">
        <v>201</v>
      </c>
      <c r="AB22" s="162">
        <f t="shared" si="21"/>
        <v>3</v>
      </c>
      <c r="AC22" s="165">
        <f t="shared" si="19"/>
        <v>-14.782608695652174</v>
      </c>
      <c r="AD22" s="165">
        <f t="shared" si="20"/>
        <v>54.117647058823529</v>
      </c>
      <c r="AE22" s="162"/>
      <c r="AF22" s="162">
        <f t="shared" si="10"/>
        <v>4</v>
      </c>
      <c r="AG22" s="167" t="str">
        <f t="shared" si="11"/>
        <v>N/A</v>
      </c>
      <c r="AH22" s="165">
        <f t="shared" si="12"/>
        <v>-4.4776119402985071</v>
      </c>
      <c r="AI22" s="165">
        <f t="shared" si="13"/>
        <v>-37.238258455421715</v>
      </c>
      <c r="AJ22" s="165">
        <f t="shared" si="14"/>
        <v>45.552141469726678</v>
      </c>
      <c r="AK22" s="167">
        <f t="shared" si="15"/>
        <v>5</v>
      </c>
    </row>
    <row r="23" spans="1:37" x14ac:dyDescent="0.2">
      <c r="A23" s="62" t="s">
        <v>46</v>
      </c>
      <c r="B23" s="62" t="s">
        <v>68</v>
      </c>
      <c r="C23" s="62" t="s">
        <v>163</v>
      </c>
      <c r="D23" s="62"/>
      <c r="E23" s="62">
        <f t="shared" si="2"/>
        <v>20</v>
      </c>
      <c r="F23" s="128" t="s">
        <v>79</v>
      </c>
      <c r="G23" s="129">
        <v>31.111111111111111</v>
      </c>
      <c r="H23" s="129">
        <v>3.9578601639135291</v>
      </c>
      <c r="I23" s="129">
        <v>65.373226900661606</v>
      </c>
      <c r="J23" s="129"/>
      <c r="K23" s="129"/>
      <c r="L23" s="129"/>
      <c r="M23" s="60">
        <f t="shared" si="0"/>
        <v>5</v>
      </c>
      <c r="N23" s="61">
        <f t="shared" si="3"/>
        <v>-26.530612244897959</v>
      </c>
      <c r="O23" s="61">
        <f t="shared" si="16"/>
        <v>7.8838174273858916</v>
      </c>
      <c r="P23" s="129">
        <f t="shared" si="4"/>
        <v>21.994134897360702</v>
      </c>
      <c r="Q23" s="129">
        <f t="shared" si="5"/>
        <v>15.519984938069143</v>
      </c>
      <c r="R23" s="129">
        <f t="shared" si="6"/>
        <v>28.831159229865122</v>
      </c>
      <c r="S23" s="61">
        <f t="shared" si="7"/>
        <v>31.111111111111111</v>
      </c>
      <c r="T23" s="61">
        <f t="shared" si="1"/>
        <v>54.117647058823529</v>
      </c>
      <c r="U23" s="61">
        <f t="shared" si="17"/>
        <v>22.659430122116689</v>
      </c>
      <c r="V23" s="61"/>
      <c r="Y23" s="163" t="s">
        <v>30</v>
      </c>
      <c r="Z23" s="163" t="s">
        <v>56</v>
      </c>
      <c r="AA23" s="163" t="s">
        <v>200</v>
      </c>
      <c r="AB23" s="163">
        <f>RANK(AH23,$AH$23:$AH$31,1)</f>
        <v>7</v>
      </c>
      <c r="AC23" s="166">
        <f>MIN($AH$23:$AH$31)</f>
        <v>-26.530612244897959</v>
      </c>
      <c r="AD23" s="166">
        <f>MAX($AH$23:$AH$31)</f>
        <v>51.851851851851848</v>
      </c>
      <c r="AE23" s="163"/>
      <c r="AF23" s="163">
        <f t="shared" si="10"/>
        <v>21</v>
      </c>
      <c r="AG23" s="168" t="str">
        <f t="shared" si="11"/>
        <v>N/A</v>
      </c>
      <c r="AH23" s="166">
        <f t="shared" si="12"/>
        <v>32.571428571428577</v>
      </c>
      <c r="AI23" s="166">
        <f t="shared" si="13"/>
        <v>4.8528190686855988</v>
      </c>
      <c r="AJ23" s="166">
        <f t="shared" si="14"/>
        <v>67.635159523418537</v>
      </c>
      <c r="AK23" s="168">
        <f t="shared" si="15"/>
        <v>5</v>
      </c>
    </row>
    <row r="24" spans="1:37" x14ac:dyDescent="0.2">
      <c r="A24" s="62" t="s">
        <v>47</v>
      </c>
      <c r="B24" s="62" t="s">
        <v>69</v>
      </c>
      <c r="C24" s="62" t="s">
        <v>163</v>
      </c>
      <c r="D24" s="62"/>
      <c r="E24" s="62">
        <f t="shared" si="2"/>
        <v>8</v>
      </c>
      <c r="F24" s="128" t="s">
        <v>79</v>
      </c>
      <c r="G24" s="129">
        <v>9.0909090909090917</v>
      </c>
      <c r="H24" s="129">
        <v>-29.984747166509816</v>
      </c>
      <c r="I24" s="129">
        <v>70.211498489483134</v>
      </c>
      <c r="J24" s="129"/>
      <c r="K24" s="129"/>
      <c r="L24" s="129"/>
      <c r="M24" s="60">
        <f t="shared" si="0"/>
        <v>5</v>
      </c>
      <c r="N24" s="61">
        <f t="shared" si="3"/>
        <v>-26.530612244897959</v>
      </c>
      <c r="O24" s="61">
        <f t="shared" si="16"/>
        <v>7.8838174273858916</v>
      </c>
      <c r="P24" s="129">
        <f t="shared" si="4"/>
        <v>21.994134897360702</v>
      </c>
      <c r="Q24" s="129">
        <f t="shared" si="5"/>
        <v>15.519984938069143</v>
      </c>
      <c r="R24" s="129">
        <f t="shared" si="6"/>
        <v>28.831159229865122</v>
      </c>
      <c r="S24" s="61">
        <f t="shared" si="7"/>
        <v>31.111111111111111</v>
      </c>
      <c r="T24" s="61">
        <f t="shared" si="1"/>
        <v>54.117647058823529</v>
      </c>
      <c r="U24" s="61">
        <f t="shared" si="17"/>
        <v>22.659430122116689</v>
      </c>
      <c r="V24" s="61"/>
      <c r="Y24" s="163" t="s">
        <v>31</v>
      </c>
      <c r="Z24" s="163" t="s">
        <v>57</v>
      </c>
      <c r="AA24" s="163" t="s">
        <v>200</v>
      </c>
      <c r="AB24" s="163">
        <f t="shared" ref="AB24:AB31" si="22">RANK(AH24,$AH$23:$AH$31,1)</f>
        <v>5</v>
      </c>
      <c r="AC24" s="166">
        <f t="shared" ref="AC24:AC31" si="23">MIN($AH$23:$AH$31)</f>
        <v>-26.530612244897959</v>
      </c>
      <c r="AD24" s="166">
        <f t="shared" ref="AD24:AD31" si="24">MAX($AH$23:$AH$31)</f>
        <v>51.851851851851848</v>
      </c>
      <c r="AE24" s="163"/>
      <c r="AF24" s="163">
        <f t="shared" si="10"/>
        <v>12</v>
      </c>
      <c r="AG24" s="168" t="str">
        <f t="shared" si="11"/>
        <v>N/A</v>
      </c>
      <c r="AH24" s="166">
        <f t="shared" si="12"/>
        <v>20.398009950248756</v>
      </c>
      <c r="AI24" s="166">
        <f t="shared" si="13"/>
        <v>-3.9018960949394832</v>
      </c>
      <c r="AJ24" s="166">
        <f t="shared" si="14"/>
        <v>50.856232109175735</v>
      </c>
      <c r="AK24" s="168">
        <f t="shared" si="15"/>
        <v>5</v>
      </c>
    </row>
    <row r="25" spans="1:37" x14ac:dyDescent="0.2">
      <c r="A25" s="62" t="s">
        <v>48</v>
      </c>
      <c r="B25" s="62" t="s">
        <v>160</v>
      </c>
      <c r="C25" s="62" t="s">
        <v>201</v>
      </c>
      <c r="D25" s="62"/>
      <c r="E25" s="62">
        <f t="shared" si="2"/>
        <v>13</v>
      </c>
      <c r="F25" s="128" t="s">
        <v>79</v>
      </c>
      <c r="G25" s="129">
        <v>21.428571428571427</v>
      </c>
      <c r="H25" s="129">
        <v>-20.612614488013069</v>
      </c>
      <c r="I25" s="129">
        <v>85.946298007116596</v>
      </c>
      <c r="J25" s="129"/>
      <c r="K25" s="129"/>
      <c r="L25" s="129"/>
      <c r="M25" s="60">
        <f t="shared" si="0"/>
        <v>5</v>
      </c>
      <c r="N25" s="61">
        <f t="shared" si="3"/>
        <v>-26.530612244897959</v>
      </c>
      <c r="O25" s="61">
        <f t="shared" si="16"/>
        <v>7.8838174273858916</v>
      </c>
      <c r="P25" s="129">
        <f t="shared" si="4"/>
        <v>21.994134897360702</v>
      </c>
      <c r="Q25" s="129">
        <f t="shared" si="5"/>
        <v>15.519984938069143</v>
      </c>
      <c r="R25" s="129">
        <f t="shared" si="6"/>
        <v>28.831159229865122</v>
      </c>
      <c r="S25" s="61">
        <f t="shared" si="7"/>
        <v>31.111111111111111</v>
      </c>
      <c r="T25" s="61">
        <f t="shared" si="1"/>
        <v>54.117647058823529</v>
      </c>
      <c r="U25" s="61">
        <f t="shared" si="17"/>
        <v>22.857142857142858</v>
      </c>
      <c r="V25" s="61"/>
      <c r="Y25" s="163" t="s">
        <v>34</v>
      </c>
      <c r="Z25" s="163" t="s">
        <v>59</v>
      </c>
      <c r="AA25" s="163" t="s">
        <v>200</v>
      </c>
      <c r="AB25" s="163">
        <f t="shared" si="22"/>
        <v>6</v>
      </c>
      <c r="AC25" s="166">
        <f t="shared" si="23"/>
        <v>-26.530612244897959</v>
      </c>
      <c r="AD25" s="166">
        <f t="shared" si="24"/>
        <v>51.851851851851848</v>
      </c>
      <c r="AE25" s="163"/>
      <c r="AF25" s="163">
        <f t="shared" si="10"/>
        <v>15</v>
      </c>
      <c r="AG25" s="168" t="str">
        <f t="shared" si="11"/>
        <v>N/A</v>
      </c>
      <c r="AH25" s="166">
        <f t="shared" si="12"/>
        <v>23.076923076923077</v>
      </c>
      <c r="AI25" s="166">
        <f t="shared" si="13"/>
        <v>-2.7263203484784837</v>
      </c>
      <c r="AJ25" s="166">
        <f t="shared" si="14"/>
        <v>55.741555338133431</v>
      </c>
      <c r="AK25" s="168">
        <f t="shared" si="15"/>
        <v>5</v>
      </c>
    </row>
    <row r="26" spans="1:37" x14ac:dyDescent="0.2">
      <c r="A26" s="62" t="s">
        <v>49</v>
      </c>
      <c r="B26" s="62" t="s">
        <v>70</v>
      </c>
      <c r="C26" s="62" t="s">
        <v>200</v>
      </c>
      <c r="D26" s="62"/>
      <c r="E26" s="62">
        <f t="shared" si="2"/>
        <v>10</v>
      </c>
      <c r="F26" s="128" t="s">
        <v>79</v>
      </c>
      <c r="G26" s="129">
        <v>15.463917525773196</v>
      </c>
      <c r="H26" s="129">
        <v>-16.868187119814838</v>
      </c>
      <c r="I26" s="129">
        <v>60.437110519585005</v>
      </c>
      <c r="J26" s="129"/>
      <c r="K26" s="129"/>
      <c r="L26" s="129"/>
      <c r="M26" s="60">
        <f t="shared" si="0"/>
        <v>5</v>
      </c>
      <c r="N26" s="61">
        <f t="shared" si="3"/>
        <v>-26.530612244897959</v>
      </c>
      <c r="O26" s="61">
        <f t="shared" si="16"/>
        <v>7.8838174273858916</v>
      </c>
      <c r="P26" s="129">
        <f t="shared" si="4"/>
        <v>21.994134897360702</v>
      </c>
      <c r="Q26" s="129">
        <f t="shared" si="5"/>
        <v>15.519984938069143</v>
      </c>
      <c r="R26" s="129">
        <f t="shared" si="6"/>
        <v>28.831159229865122</v>
      </c>
      <c r="S26" s="61">
        <f t="shared" si="7"/>
        <v>31.111111111111111</v>
      </c>
      <c r="T26" s="61">
        <f t="shared" si="1"/>
        <v>54.117647058823529</v>
      </c>
      <c r="U26" s="61">
        <f t="shared" si="17"/>
        <v>20.437956204379564</v>
      </c>
      <c r="V26" s="61"/>
      <c r="Y26" s="163" t="s">
        <v>39</v>
      </c>
      <c r="Z26" s="163" t="s">
        <v>158</v>
      </c>
      <c r="AA26" s="163" t="s">
        <v>200</v>
      </c>
      <c r="AB26" s="163">
        <f t="shared" si="22"/>
        <v>3</v>
      </c>
      <c r="AC26" s="166">
        <f t="shared" si="23"/>
        <v>-26.530612244897959</v>
      </c>
      <c r="AD26" s="166">
        <f t="shared" si="24"/>
        <v>51.851851851851848</v>
      </c>
      <c r="AE26" s="163"/>
      <c r="AF26" s="163">
        <f t="shared" si="10"/>
        <v>6</v>
      </c>
      <c r="AG26" s="168" t="str">
        <f t="shared" si="11"/>
        <v>N/A</v>
      </c>
      <c r="AH26" s="166">
        <f t="shared" si="12"/>
        <v>5.6338028169014089</v>
      </c>
      <c r="AI26" s="166">
        <f t="shared" si="13"/>
        <v>-20.128149865095533</v>
      </c>
      <c r="AJ26" s="166">
        <f t="shared" si="14"/>
        <v>39.735990348086418</v>
      </c>
      <c r="AK26" s="168">
        <f t="shared" si="15"/>
        <v>5</v>
      </c>
    </row>
    <row r="27" spans="1:37" x14ac:dyDescent="0.2">
      <c r="A27" s="62" t="s">
        <v>50</v>
      </c>
      <c r="B27" s="62" t="s">
        <v>161</v>
      </c>
      <c r="C27" s="62" t="s">
        <v>163</v>
      </c>
      <c r="D27" s="62"/>
      <c r="E27" s="62">
        <f t="shared" si="2"/>
        <v>9</v>
      </c>
      <c r="F27" s="128" t="s">
        <v>79</v>
      </c>
      <c r="G27" s="129">
        <v>9.7345132743362832</v>
      </c>
      <c r="H27" s="129">
        <v>-19.470566745896754</v>
      </c>
      <c r="I27" s="129">
        <v>49.580455692065037</v>
      </c>
      <c r="J27" s="129"/>
      <c r="K27" s="129"/>
      <c r="L27" s="129"/>
      <c r="M27" s="60">
        <f t="shared" si="0"/>
        <v>5</v>
      </c>
      <c r="N27" s="61">
        <f t="shared" si="3"/>
        <v>-26.530612244897959</v>
      </c>
      <c r="O27" s="61">
        <f t="shared" si="16"/>
        <v>7.8838174273858916</v>
      </c>
      <c r="P27" s="129">
        <f t="shared" si="4"/>
        <v>21.994134897360702</v>
      </c>
      <c r="Q27" s="129">
        <f t="shared" si="5"/>
        <v>15.519984938069143</v>
      </c>
      <c r="R27" s="129">
        <f t="shared" si="6"/>
        <v>28.831159229865122</v>
      </c>
      <c r="S27" s="61">
        <f t="shared" si="7"/>
        <v>31.111111111111111</v>
      </c>
      <c r="T27" s="61">
        <f t="shared" si="1"/>
        <v>54.117647058823529</v>
      </c>
      <c r="U27" s="61">
        <f t="shared" si="17"/>
        <v>22.659430122116689</v>
      </c>
      <c r="V27" s="61"/>
      <c r="Y27" s="163" t="s">
        <v>40</v>
      </c>
      <c r="Z27" s="163" t="s">
        <v>63</v>
      </c>
      <c r="AA27" s="163" t="s">
        <v>200</v>
      </c>
      <c r="AB27" s="163">
        <f t="shared" si="22"/>
        <v>2</v>
      </c>
      <c r="AC27" s="166">
        <f t="shared" si="23"/>
        <v>-26.530612244897959</v>
      </c>
      <c r="AD27" s="166">
        <f t="shared" si="24"/>
        <v>51.851851851851848</v>
      </c>
      <c r="AE27" s="163"/>
      <c r="AF27" s="163">
        <f t="shared" si="10"/>
        <v>5</v>
      </c>
      <c r="AG27" s="168" t="str">
        <f t="shared" si="11"/>
        <v>N/A</v>
      </c>
      <c r="AH27" s="166">
        <f t="shared" si="12"/>
        <v>4</v>
      </c>
      <c r="AI27" s="166">
        <f t="shared" si="13"/>
        <v>-25.578417441817692</v>
      </c>
      <c r="AJ27" s="166">
        <f t="shared" si="14"/>
        <v>45.400537462479051</v>
      </c>
      <c r="AK27" s="168">
        <f t="shared" si="15"/>
        <v>5</v>
      </c>
    </row>
    <row r="28" spans="1:37" x14ac:dyDescent="0.2">
      <c r="A28" s="62" t="s">
        <v>51</v>
      </c>
      <c r="B28" s="62" t="s">
        <v>71</v>
      </c>
      <c r="C28" s="62" t="s">
        <v>200</v>
      </c>
      <c r="D28" s="62"/>
      <c r="E28" s="62">
        <f t="shared" si="2"/>
        <v>1</v>
      </c>
      <c r="F28" s="128" t="s">
        <v>79</v>
      </c>
      <c r="G28" s="129">
        <v>-26.530612244897959</v>
      </c>
      <c r="H28" s="129">
        <v>-57.051240109196868</v>
      </c>
      <c r="I28" s="129">
        <v>26.099912422686522</v>
      </c>
      <c r="J28" s="129"/>
      <c r="K28" s="129"/>
      <c r="L28" s="129"/>
      <c r="M28" s="60">
        <f t="shared" si="0"/>
        <v>5</v>
      </c>
      <c r="N28" s="61">
        <f t="shared" si="3"/>
        <v>-26.530612244897959</v>
      </c>
      <c r="O28" s="61">
        <f t="shared" si="16"/>
        <v>7.8838174273858916</v>
      </c>
      <c r="P28" s="129">
        <f t="shared" si="4"/>
        <v>21.994134897360702</v>
      </c>
      <c r="Q28" s="129">
        <f t="shared" si="5"/>
        <v>15.519984938069143</v>
      </c>
      <c r="R28" s="129">
        <f t="shared" si="6"/>
        <v>28.831159229865122</v>
      </c>
      <c r="S28" s="61">
        <f t="shared" si="7"/>
        <v>31.111111111111111</v>
      </c>
      <c r="T28" s="61">
        <f t="shared" si="1"/>
        <v>54.117647058823529</v>
      </c>
      <c r="U28" s="61">
        <f t="shared" si="17"/>
        <v>20.437956204379564</v>
      </c>
      <c r="V28" s="61"/>
      <c r="Y28" s="163" t="s">
        <v>42</v>
      </c>
      <c r="Z28" s="163" t="s">
        <v>65</v>
      </c>
      <c r="AA28" s="163" t="s">
        <v>200</v>
      </c>
      <c r="AB28" s="163">
        <f t="shared" si="22"/>
        <v>8</v>
      </c>
      <c r="AC28" s="166">
        <f t="shared" si="23"/>
        <v>-26.530612244897959</v>
      </c>
      <c r="AD28" s="166">
        <f t="shared" si="24"/>
        <v>51.851851851851848</v>
      </c>
      <c r="AE28" s="163"/>
      <c r="AF28" s="163">
        <f t="shared" si="10"/>
        <v>23</v>
      </c>
      <c r="AG28" s="168" t="str">
        <f t="shared" si="11"/>
        <v>N/A</v>
      </c>
      <c r="AH28" s="166">
        <f t="shared" si="12"/>
        <v>33.333333333333329</v>
      </c>
      <c r="AI28" s="166">
        <f t="shared" si="13"/>
        <v>-17.199190073411096</v>
      </c>
      <c r="AJ28" s="166">
        <f t="shared" si="14"/>
        <v>115.08714986050039</v>
      </c>
      <c r="AK28" s="168">
        <f t="shared" si="15"/>
        <v>5</v>
      </c>
    </row>
    <row r="29" spans="1:37" x14ac:dyDescent="0.2">
      <c r="A29" s="62" t="s">
        <v>52</v>
      </c>
      <c r="B29" s="62" t="s">
        <v>72</v>
      </c>
      <c r="C29" s="62" t="s">
        <v>201</v>
      </c>
      <c r="D29" s="62"/>
      <c r="E29" s="62">
        <f t="shared" si="2"/>
        <v>2</v>
      </c>
      <c r="F29" s="128" t="s">
        <v>79</v>
      </c>
      <c r="G29" s="129">
        <v>-14.782608695652174</v>
      </c>
      <c r="H29" s="129">
        <v>-38.973362893713372</v>
      </c>
      <c r="I29" s="129">
        <v>19.054147197537663</v>
      </c>
      <c r="J29" s="129"/>
      <c r="K29" s="129"/>
      <c r="L29" s="129"/>
      <c r="M29" s="60">
        <f t="shared" si="0"/>
        <v>5</v>
      </c>
      <c r="N29" s="61">
        <f t="shared" si="3"/>
        <v>-26.530612244897959</v>
      </c>
      <c r="O29" s="61">
        <f t="shared" si="16"/>
        <v>7.8838174273858916</v>
      </c>
      <c r="P29" s="129">
        <f t="shared" si="4"/>
        <v>21.994134897360702</v>
      </c>
      <c r="Q29" s="129">
        <f t="shared" si="5"/>
        <v>15.519984938069143</v>
      </c>
      <c r="R29" s="129">
        <f t="shared" si="6"/>
        <v>28.831159229865122</v>
      </c>
      <c r="S29" s="61">
        <f t="shared" si="7"/>
        <v>31.111111111111111</v>
      </c>
      <c r="T29" s="61">
        <f t="shared" si="1"/>
        <v>54.117647058823529</v>
      </c>
      <c r="U29" s="61">
        <f t="shared" si="17"/>
        <v>22.857142857142858</v>
      </c>
      <c r="V29" s="61"/>
      <c r="Y29" s="163" t="s">
        <v>44</v>
      </c>
      <c r="Z29" s="163" t="s">
        <v>66</v>
      </c>
      <c r="AA29" s="163" t="s">
        <v>200</v>
      </c>
      <c r="AB29" s="163">
        <f t="shared" si="22"/>
        <v>9</v>
      </c>
      <c r="AC29" s="166">
        <f t="shared" si="23"/>
        <v>-26.530612244897959</v>
      </c>
      <c r="AD29" s="166">
        <f t="shared" si="24"/>
        <v>51.851851851851848</v>
      </c>
      <c r="AE29" s="163"/>
      <c r="AF29" s="163">
        <f t="shared" si="10"/>
        <v>25</v>
      </c>
      <c r="AG29" s="168" t="str">
        <f t="shared" si="11"/>
        <v>N/A</v>
      </c>
      <c r="AH29" s="166">
        <f t="shared" si="12"/>
        <v>51.851851851851848</v>
      </c>
      <c r="AI29" s="166">
        <f t="shared" si="13"/>
        <v>13.982681166037469</v>
      </c>
      <c r="AJ29" s="166">
        <f t="shared" si="14"/>
        <v>102.34876018597059</v>
      </c>
      <c r="AK29" s="168">
        <f t="shared" si="15"/>
        <v>5</v>
      </c>
    </row>
    <row r="30" spans="1:37" x14ac:dyDescent="0.2">
      <c r="A30" s="62" t="s">
        <v>53</v>
      </c>
      <c r="B30" s="62" t="s">
        <v>162</v>
      </c>
      <c r="C30" s="62" t="s">
        <v>163</v>
      </c>
      <c r="D30" s="62"/>
      <c r="E30" s="62">
        <f t="shared" si="2"/>
        <v>18</v>
      </c>
      <c r="F30" s="128" t="s">
        <v>79</v>
      </c>
      <c r="G30" s="129">
        <v>28.695652173913043</v>
      </c>
      <c r="H30" s="129">
        <v>8.7267675423252875</v>
      </c>
      <c r="I30" s="129">
        <v>52.336320131215963</v>
      </c>
      <c r="J30" s="129"/>
      <c r="K30" s="129"/>
      <c r="L30" s="129"/>
      <c r="M30" s="60">
        <f t="shared" si="0"/>
        <v>5</v>
      </c>
      <c r="N30" s="61">
        <f t="shared" si="3"/>
        <v>-26.530612244897959</v>
      </c>
      <c r="O30" s="61">
        <f t="shared" si="16"/>
        <v>7.8838174273858916</v>
      </c>
      <c r="P30" s="129">
        <f>$G$32</f>
        <v>21.994134897360702</v>
      </c>
      <c r="Q30" s="129">
        <f t="shared" si="5"/>
        <v>15.519984938069143</v>
      </c>
      <c r="R30" s="129">
        <f t="shared" si="6"/>
        <v>28.831159229865122</v>
      </c>
      <c r="S30" s="61">
        <f t="shared" si="7"/>
        <v>31.111111111111111</v>
      </c>
      <c r="T30" s="61">
        <f t="shared" si="1"/>
        <v>54.117647058823529</v>
      </c>
      <c r="U30" s="61">
        <f t="shared" si="17"/>
        <v>22.659430122116689</v>
      </c>
      <c r="V30" s="61"/>
      <c r="Y30" s="163" t="s">
        <v>49</v>
      </c>
      <c r="Z30" s="163" t="s">
        <v>70</v>
      </c>
      <c r="AA30" s="163" t="s">
        <v>200</v>
      </c>
      <c r="AB30" s="163">
        <f t="shared" si="22"/>
        <v>4</v>
      </c>
      <c r="AC30" s="166">
        <f t="shared" si="23"/>
        <v>-26.530612244897959</v>
      </c>
      <c r="AD30" s="166">
        <f t="shared" si="24"/>
        <v>51.851851851851848</v>
      </c>
      <c r="AE30" s="163"/>
      <c r="AF30" s="163">
        <f t="shared" si="10"/>
        <v>10</v>
      </c>
      <c r="AG30" s="168" t="str">
        <f t="shared" si="11"/>
        <v>N/A</v>
      </c>
      <c r="AH30" s="166">
        <f t="shared" si="12"/>
        <v>15.463917525773196</v>
      </c>
      <c r="AI30" s="166">
        <f t="shared" si="13"/>
        <v>-16.868187119814838</v>
      </c>
      <c r="AJ30" s="166">
        <f t="shared" si="14"/>
        <v>60.437110519585005</v>
      </c>
      <c r="AK30" s="168">
        <f t="shared" si="15"/>
        <v>5</v>
      </c>
    </row>
    <row r="31" spans="1:37" x14ac:dyDescent="0.2">
      <c r="A31" s="62" t="s">
        <v>54</v>
      </c>
      <c r="B31" s="62" t="s">
        <v>73</v>
      </c>
      <c r="C31" s="62" t="s">
        <v>201</v>
      </c>
      <c r="D31" s="62"/>
      <c r="E31" s="62">
        <f t="shared" si="2"/>
        <v>4</v>
      </c>
      <c r="F31" s="128" t="s">
        <v>79</v>
      </c>
      <c r="G31" s="129">
        <v>-4.4776119402985071</v>
      </c>
      <c r="H31" s="129">
        <v>-37.238258455421715</v>
      </c>
      <c r="I31" s="129">
        <v>45.552141469726678</v>
      </c>
      <c r="J31" s="129"/>
      <c r="K31" s="129"/>
      <c r="L31" s="129"/>
      <c r="M31" s="60">
        <f t="shared" si="0"/>
        <v>5</v>
      </c>
      <c r="N31" s="61">
        <f t="shared" si="3"/>
        <v>-26.530612244897959</v>
      </c>
      <c r="O31" s="61">
        <f t="shared" si="16"/>
        <v>7.8838174273858916</v>
      </c>
      <c r="P31" s="129">
        <f t="shared" si="4"/>
        <v>21.994134897360702</v>
      </c>
      <c r="Q31" s="129">
        <f t="shared" si="5"/>
        <v>15.519984938069143</v>
      </c>
      <c r="R31" s="129">
        <f t="shared" si="6"/>
        <v>28.831159229865122</v>
      </c>
      <c r="S31" s="61">
        <f t="shared" si="7"/>
        <v>31.111111111111111</v>
      </c>
      <c r="T31" s="61">
        <f t="shared" si="1"/>
        <v>54.117647058823529</v>
      </c>
      <c r="U31" s="61">
        <f t="shared" si="17"/>
        <v>22.857142857142858</v>
      </c>
      <c r="V31" s="61"/>
      <c r="Y31" s="163" t="s">
        <v>51</v>
      </c>
      <c r="Z31" s="163" t="s">
        <v>71</v>
      </c>
      <c r="AA31" s="163" t="s">
        <v>200</v>
      </c>
      <c r="AB31" s="163">
        <f t="shared" si="22"/>
        <v>1</v>
      </c>
      <c r="AC31" s="166">
        <f t="shared" si="23"/>
        <v>-26.530612244897959</v>
      </c>
      <c r="AD31" s="166">
        <f t="shared" si="24"/>
        <v>51.851851851851848</v>
      </c>
      <c r="AE31" s="163"/>
      <c r="AF31" s="163">
        <f t="shared" si="10"/>
        <v>1</v>
      </c>
      <c r="AG31" s="168" t="str">
        <f t="shared" si="11"/>
        <v>N/A</v>
      </c>
      <c r="AH31" s="166">
        <f t="shared" si="12"/>
        <v>-26.530612244897959</v>
      </c>
      <c r="AI31" s="166">
        <f t="shared" si="13"/>
        <v>-57.051240109196868</v>
      </c>
      <c r="AJ31" s="166">
        <f t="shared" si="14"/>
        <v>26.099912422686522</v>
      </c>
      <c r="AK31" s="168">
        <f t="shared" si="15"/>
        <v>5</v>
      </c>
    </row>
    <row r="32" spans="1:37" x14ac:dyDescent="0.2">
      <c r="A32" s="62"/>
      <c r="B32" s="62" t="s">
        <v>171</v>
      </c>
      <c r="C32" s="62"/>
      <c r="D32" s="62"/>
      <c r="E32" s="62"/>
      <c r="F32" s="128">
        <v>375</v>
      </c>
      <c r="G32" s="129">
        <v>21.994134897360702</v>
      </c>
      <c r="H32" s="129">
        <v>15.519984938069143</v>
      </c>
      <c r="I32" s="129">
        <v>28.831159229865122</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167</v>
      </c>
      <c r="G44" s="129">
        <v>22.659430122116689</v>
      </c>
      <c r="H44" s="129">
        <v>12.912541606144345</v>
      </c>
      <c r="I44" s="129">
        <v>33.247913829342643</v>
      </c>
      <c r="J44" s="129">
        <f>VLOOKUP($C44,$AA$6:$AD$13,3,FALSE)</f>
        <v>7.8838174273858916</v>
      </c>
      <c r="K44" s="129">
        <f>VLOOKUP($C44,$AA$6:$AD$13,4,FALSE)</f>
        <v>31.111111111111111</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5</v>
      </c>
      <c r="N44" s="61">
        <f>MIN($G$6:$G$31)</f>
        <v>-26.530612244897959</v>
      </c>
      <c r="O44" s="61">
        <f>VLOOKUP(7,$E$5:$G$39,3,FALSE)</f>
        <v>7.8838174273858916</v>
      </c>
      <c r="P44" s="129">
        <f>$G$32</f>
        <v>21.994134897360702</v>
      </c>
      <c r="Q44" s="129">
        <f>$H$32</f>
        <v>15.519984938069143</v>
      </c>
      <c r="R44" s="129">
        <f>$I$32</f>
        <v>28.831159229865122</v>
      </c>
      <c r="S44" s="61">
        <f>VLOOKUP(20,$E$5:$G$39,3,FALSE)</f>
        <v>31.111111111111111</v>
      </c>
      <c r="T44" s="61">
        <f>MAX($G$6:$G$31)</f>
        <v>54.117647058823529</v>
      </c>
    </row>
    <row r="45" spans="1:22" x14ac:dyDescent="0.2">
      <c r="C45" s="62" t="s">
        <v>201</v>
      </c>
      <c r="D45" s="62"/>
      <c r="E45" s="62"/>
      <c r="F45" s="128">
        <v>96</v>
      </c>
      <c r="G45" s="129">
        <v>22.857142857142858</v>
      </c>
      <c r="H45" s="129">
        <v>10.10113172438154</v>
      </c>
      <c r="I45" s="129">
        <v>37.091724379020107</v>
      </c>
      <c r="J45" s="129">
        <f>VLOOKUP($C45,$AA$14:$AD$22,3,FALSE)</f>
        <v>-14.782608695652174</v>
      </c>
      <c r="K45" s="129">
        <f>VLOOKUP($C45,$AA$14:$AD$22,4,FALSE)</f>
        <v>54.117647058823529</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5</v>
      </c>
      <c r="N45" s="61">
        <f>MIN($G$6:$G$31)</f>
        <v>-26.530612244897959</v>
      </c>
      <c r="O45" s="61">
        <f>VLOOKUP(7,$E$5:$G$39,3,FALSE)</f>
        <v>7.8838174273858916</v>
      </c>
      <c r="P45" s="129">
        <f>$G$32</f>
        <v>21.994134897360702</v>
      </c>
      <c r="Q45" s="129">
        <f t="shared" ref="Q45:Q46" si="25">$H$32</f>
        <v>15.519984938069143</v>
      </c>
      <c r="R45" s="129">
        <f t="shared" ref="R45:R46" si="26">$I$32</f>
        <v>28.831159229865122</v>
      </c>
      <c r="S45" s="61">
        <f>VLOOKUP(20,$E$5:$G$39,3,FALSE)</f>
        <v>31.111111111111111</v>
      </c>
      <c r="T45" s="61">
        <f t="shared" ref="T45:T46" si="27">MAX($G$6:$G$31)</f>
        <v>54.117647058823529</v>
      </c>
    </row>
    <row r="46" spans="1:22" x14ac:dyDescent="0.2">
      <c r="C46" s="62" t="s">
        <v>200</v>
      </c>
      <c r="D46" s="62"/>
      <c r="E46" s="62"/>
      <c r="F46" s="128">
        <v>112</v>
      </c>
      <c r="G46" s="129">
        <v>20.437956204379564</v>
      </c>
      <c r="H46" s="129">
        <v>9.3515643709599203</v>
      </c>
      <c r="I46" s="129">
        <v>32.648726295582108</v>
      </c>
      <c r="J46" s="129">
        <f>VLOOKUP($C46,$AA$23:$AD$31,3,FALSE)</f>
        <v>-26.530612244897959</v>
      </c>
      <c r="K46" s="129">
        <f>VLOOKUP($C46,$AA$23:$AD$31,4,FALSE)</f>
        <v>51.851851851851848</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5</v>
      </c>
      <c r="N46" s="61">
        <f>MIN($G$6:$G$31)</f>
        <v>-26.530612244897959</v>
      </c>
      <c r="O46" s="61">
        <f>VLOOKUP(7,$E$5:$G$39,3,FALSE)</f>
        <v>7.8838174273858916</v>
      </c>
      <c r="P46" s="129">
        <f t="shared" ref="P46" si="28">$G$32</f>
        <v>21.994134897360702</v>
      </c>
      <c r="Q46" s="129">
        <f t="shared" si="25"/>
        <v>15.519984938069143</v>
      </c>
      <c r="R46" s="129">
        <f t="shared" si="26"/>
        <v>28.831159229865122</v>
      </c>
      <c r="S46" s="61">
        <f>VLOOKUP(20,$E$5:$G$39,3,FALSE)</f>
        <v>31.111111111111111</v>
      </c>
      <c r="T46" s="61">
        <f t="shared" si="27"/>
        <v>54.117647058823529</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K2:N2" xr:uid="{00000000-0002-0000-4100-000000000000}">
      <formula1>"High = Worst,Low = Worst"</formula1>
    </dataValidation>
    <dataValidation type="list" allowBlank="1" showInputMessage="1" showErrorMessage="1" sqref="C2:D2" xr:uid="{00000000-0002-0000-4100-000001000000}">
      <formula1>"Better / Worse,Higher / Lower,Significance not measured"</formula1>
    </dataValidation>
  </dataValidations>
  <pageMargins left="0.75" right="0.75" top="1" bottom="1" header="0.5" footer="0.5"/>
  <pageSetup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9">
    <tabColor theme="6" tint="0.39997558519241921"/>
  </sheetPr>
  <dimension ref="A1:AK55"/>
  <sheetViews>
    <sheetView workbookViewId="0">
      <selection activeCell="A13" activeCellId="1" sqref="A31:XFD31 A13:XFD13"/>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8" width="7.33203125" style="21" customWidth="1"/>
    <col min="9" max="9" width="6.886718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5.554687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133</v>
      </c>
      <c r="D2" s="444"/>
      <c r="F2" s="137" t="s">
        <v>135</v>
      </c>
      <c r="G2" s="138"/>
      <c r="H2" s="138"/>
      <c r="I2" s="139"/>
      <c r="J2" s="140"/>
      <c r="K2" s="445" t="s">
        <v>137</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21</v>
      </c>
      <c r="F6" s="128">
        <v>39</v>
      </c>
      <c r="G6" s="129">
        <v>31.2</v>
      </c>
      <c r="H6" s="129">
        <v>23.740883229426025</v>
      </c>
      <c r="I6" s="129">
        <v>39.780175574007053</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5</v>
      </c>
      <c r="N6" s="61">
        <f>MIN($G$6:$G$32)</f>
        <v>6.1224489795918364</v>
      </c>
      <c r="O6" s="61">
        <f>VLOOKUP(7,$E$5:$G$39,3,FALSE)</f>
        <v>19.347319347319345</v>
      </c>
      <c r="P6" s="129">
        <f>$G$32</f>
        <v>25.308531568592382</v>
      </c>
      <c r="Q6" s="129">
        <f>$H$32</f>
        <v>24.186097930935482</v>
      </c>
      <c r="R6" s="129">
        <f>$I$32</f>
        <v>26.464871889718271</v>
      </c>
      <c r="S6" s="61">
        <f>VLOOKUP(20,$E$5:$G$39,3,FALSE)</f>
        <v>30.375426621160408</v>
      </c>
      <c r="T6" s="61">
        <f t="shared" ref="T6:T31" si="1">MAX($G$6:$G$31)</f>
        <v>37.878787878787875</v>
      </c>
      <c r="U6" s="61">
        <f>VLOOKUP(C6,$C$43:$I$46,5,FALSE)</f>
        <v>24.080749819754868</v>
      </c>
      <c r="V6" s="61"/>
      <c r="Y6" s="159" t="s">
        <v>33</v>
      </c>
      <c r="Z6" s="159" t="s">
        <v>58</v>
      </c>
      <c r="AA6" s="159" t="s">
        <v>163</v>
      </c>
      <c r="AB6" s="159">
        <f>RANK(AH6,$AH$6:$AH$13,1)</f>
        <v>8</v>
      </c>
      <c r="AC6" s="164">
        <f>MIN($AH$6:$AH$13)</f>
        <v>17.127071823204421</v>
      </c>
      <c r="AD6" s="164">
        <f>MAX($AH$6:$AH$13)</f>
        <v>28.623188405797105</v>
      </c>
      <c r="AE6" s="159"/>
      <c r="AF6" s="159">
        <f>VLOOKUP($Y6,$A$6:$I$31,5,FALSE)</f>
        <v>15</v>
      </c>
      <c r="AG6" s="160">
        <f>VLOOKUP($Y6,$A$6:$I$31,6,FALSE)</f>
        <v>79</v>
      </c>
      <c r="AH6" s="161">
        <f>VLOOKUP($Y6,$A$6:$I$31,7,FALSE)</f>
        <v>28.623188405797105</v>
      </c>
      <c r="AI6" s="161">
        <f>VLOOKUP($Y6,$A$6:$I$31,8,FALSE)</f>
        <v>23.612733397454569</v>
      </c>
      <c r="AJ6" s="161">
        <f>VLOOKUP($Y6,$A$6:$I$31,9,FALSE)</f>
        <v>34.220533875638296</v>
      </c>
      <c r="AK6" s="160">
        <f>VLOOKUP($Y6,$A$6:$M$31,13,FALSE)</f>
        <v>5</v>
      </c>
    </row>
    <row r="7" spans="1:37" x14ac:dyDescent="0.2">
      <c r="A7" s="62" t="s">
        <v>30</v>
      </c>
      <c r="B7" s="62" t="s">
        <v>56</v>
      </c>
      <c r="C7" s="62" t="s">
        <v>200</v>
      </c>
      <c r="D7" s="62"/>
      <c r="E7" s="62">
        <f t="shared" ref="E7:E31" si="2">RANK(G7,$G$6:$G$31,1)</f>
        <v>18</v>
      </c>
      <c r="F7" s="128">
        <v>90</v>
      </c>
      <c r="G7" s="129">
        <v>29.702970297029704</v>
      </c>
      <c r="H7" s="129">
        <v>24.837957328751411</v>
      </c>
      <c r="I7" s="129">
        <v>35.07619492670495</v>
      </c>
      <c r="J7" s="129"/>
      <c r="K7" s="129"/>
      <c r="L7" s="129"/>
      <c r="M7" s="60">
        <f t="shared" si="0"/>
        <v>5</v>
      </c>
      <c r="N7" s="61">
        <f t="shared" ref="N7:N31" si="3">MIN($G$6:$G$32)</f>
        <v>6.1224489795918364</v>
      </c>
      <c r="O7" s="61">
        <f>VLOOKUP(7,$E$5:$G$39,3,FALSE)</f>
        <v>19.347319347319345</v>
      </c>
      <c r="P7" s="129">
        <f t="shared" ref="P7:P31" si="4">$G$32</f>
        <v>25.308531568592382</v>
      </c>
      <c r="Q7" s="129">
        <f t="shared" ref="Q7:Q31" si="5">$H$32</f>
        <v>24.186097930935482</v>
      </c>
      <c r="R7" s="129">
        <f t="shared" ref="R7:R31" si="6">$I$32</f>
        <v>26.464871889718271</v>
      </c>
      <c r="S7" s="61">
        <f t="shared" ref="S7:S31" si="7">VLOOKUP(20,$E$5:$G$39,3,FALSE)</f>
        <v>30.375426621160408</v>
      </c>
      <c r="T7" s="61">
        <f t="shared" si="1"/>
        <v>37.878787878787875</v>
      </c>
      <c r="U7" s="61">
        <f>VLOOKUP(C7,$C$43:$I$46,5,FALSE)</f>
        <v>28.237909949972209</v>
      </c>
      <c r="V7" s="61"/>
      <c r="Y7" s="159" t="s">
        <v>35</v>
      </c>
      <c r="Z7" s="159" t="s">
        <v>60</v>
      </c>
      <c r="AA7" s="159" t="s">
        <v>163</v>
      </c>
      <c r="AB7" s="159">
        <f t="shared" ref="AB7:AB12" si="8">RANK(AH7,$AH$6:$AH$13,1)</f>
        <v>2</v>
      </c>
      <c r="AC7" s="164">
        <f>MIN($AH$6:$AH$13)</f>
        <v>17.127071823204421</v>
      </c>
      <c r="AD7" s="164">
        <f t="shared" ref="AD7:AD13" si="9">MAX($AH$6:$AH$13)</f>
        <v>28.623188405797105</v>
      </c>
      <c r="AE7" s="159"/>
      <c r="AF7" s="159">
        <f t="shared" ref="AF7:AF31" si="10">VLOOKUP($Y7,$A$6:$I$31,5,FALSE)</f>
        <v>7</v>
      </c>
      <c r="AG7" s="160">
        <f t="shared" ref="AG7:AG31" si="11">VLOOKUP($Y7,$A$6:$I$31,6,FALSE)</f>
        <v>83</v>
      </c>
      <c r="AH7" s="161">
        <f t="shared" ref="AH7:AH31" si="12">VLOOKUP($Y7,$A$6:$I$31,7,FALSE)</f>
        <v>19.347319347319345</v>
      </c>
      <c r="AI7" s="161">
        <f t="shared" ref="AI7:AI31" si="13">VLOOKUP($Y7,$A$6:$I$31,8,FALSE)</f>
        <v>15.888055737748566</v>
      </c>
      <c r="AJ7" s="161">
        <f t="shared" ref="AJ7:AJ31" si="14">VLOOKUP($Y7,$A$6:$I$31,9,FALSE)</f>
        <v>23.350666745869038</v>
      </c>
      <c r="AK7" s="160">
        <f t="shared" ref="AK7:AK31" si="15">VLOOKUP($Y7,$A$6:$M$31,13,FALSE)</f>
        <v>3</v>
      </c>
    </row>
    <row r="8" spans="1:37" x14ac:dyDescent="0.2">
      <c r="A8" s="62" t="s">
        <v>31</v>
      </c>
      <c r="B8" s="62" t="s">
        <v>57</v>
      </c>
      <c r="C8" s="62" t="s">
        <v>200</v>
      </c>
      <c r="D8" s="62"/>
      <c r="E8" s="62">
        <f t="shared" si="2"/>
        <v>22</v>
      </c>
      <c r="F8" s="128">
        <v>105</v>
      </c>
      <c r="G8" s="129">
        <v>33.980582524271846</v>
      </c>
      <c r="H8" s="129">
        <v>28.925080067597253</v>
      </c>
      <c r="I8" s="129">
        <v>39.42949787958522</v>
      </c>
      <c r="J8" s="129"/>
      <c r="K8" s="129"/>
      <c r="L8" s="129"/>
      <c r="M8" s="60">
        <f t="shared" si="0"/>
        <v>4</v>
      </c>
      <c r="N8" s="61">
        <f t="shared" si="3"/>
        <v>6.1224489795918364</v>
      </c>
      <c r="O8" s="61">
        <f t="shared" ref="O8:O31" si="16">VLOOKUP(7,$E$5:$G$39,3,FALSE)</f>
        <v>19.347319347319345</v>
      </c>
      <c r="P8" s="129">
        <f t="shared" si="4"/>
        <v>25.308531568592382</v>
      </c>
      <c r="Q8" s="129">
        <f t="shared" si="5"/>
        <v>24.186097930935482</v>
      </c>
      <c r="R8" s="129">
        <f t="shared" si="6"/>
        <v>26.464871889718271</v>
      </c>
      <c r="S8" s="61">
        <f t="shared" si="7"/>
        <v>30.375426621160408</v>
      </c>
      <c r="T8" s="61">
        <f t="shared" si="1"/>
        <v>37.878787878787875</v>
      </c>
      <c r="U8" s="61">
        <f t="shared" ref="U8:U31" si="17">VLOOKUP(C8,$C$43:$I$46,5,FALSE)</f>
        <v>28.237909949972209</v>
      </c>
      <c r="V8" s="61"/>
      <c r="Y8" s="159" t="s">
        <v>41</v>
      </c>
      <c r="Z8" s="159" t="s">
        <v>64</v>
      </c>
      <c r="AA8" s="159" t="s">
        <v>163</v>
      </c>
      <c r="AB8" s="159">
        <f t="shared" si="8"/>
        <v>4</v>
      </c>
      <c r="AC8" s="164">
        <f t="shared" ref="AC8:AC13" si="18">MIN($AH$6:$AH$13)</f>
        <v>17.127071823204421</v>
      </c>
      <c r="AD8" s="164">
        <f>MAX($AH$6:$AH$13)</f>
        <v>28.623188405797105</v>
      </c>
      <c r="AE8" s="159"/>
      <c r="AF8" s="159">
        <f t="shared" si="10"/>
        <v>10</v>
      </c>
      <c r="AG8" s="160">
        <f t="shared" si="11"/>
        <v>89</v>
      </c>
      <c r="AH8" s="161">
        <f t="shared" si="12"/>
        <v>25.356125356125357</v>
      </c>
      <c r="AI8" s="161">
        <f t="shared" si="13"/>
        <v>21.088488652856629</v>
      </c>
      <c r="AJ8" s="161">
        <f t="shared" si="14"/>
        <v>30.157343619685378</v>
      </c>
      <c r="AK8" s="160">
        <f t="shared" si="15"/>
        <v>5</v>
      </c>
    </row>
    <row r="9" spans="1:37" x14ac:dyDescent="0.2">
      <c r="A9" s="62" t="s">
        <v>32</v>
      </c>
      <c r="B9" s="62" t="s">
        <v>156</v>
      </c>
      <c r="C9" s="62" t="s">
        <v>201</v>
      </c>
      <c r="D9" s="62"/>
      <c r="E9" s="62">
        <f t="shared" si="2"/>
        <v>24</v>
      </c>
      <c r="F9" s="128">
        <v>78</v>
      </c>
      <c r="G9" s="129">
        <v>35.944700460829495</v>
      </c>
      <c r="H9" s="129">
        <v>29.855937883216022</v>
      </c>
      <c r="I9" s="129">
        <v>42.522436935650212</v>
      </c>
      <c r="J9" s="129"/>
      <c r="K9" s="129"/>
      <c r="L9" s="129"/>
      <c r="M9" s="60">
        <f t="shared" si="0"/>
        <v>4</v>
      </c>
      <c r="N9" s="61">
        <f t="shared" si="3"/>
        <v>6.1224489795918364</v>
      </c>
      <c r="O9" s="61">
        <f t="shared" si="16"/>
        <v>19.347319347319345</v>
      </c>
      <c r="P9" s="129">
        <f t="shared" si="4"/>
        <v>25.308531568592382</v>
      </c>
      <c r="Q9" s="129">
        <f t="shared" si="5"/>
        <v>24.186097930935482</v>
      </c>
      <c r="R9" s="129">
        <f t="shared" si="6"/>
        <v>26.464871889718271</v>
      </c>
      <c r="S9" s="61">
        <f t="shared" si="7"/>
        <v>30.375426621160408</v>
      </c>
      <c r="T9" s="61">
        <f t="shared" si="1"/>
        <v>37.878787878787875</v>
      </c>
      <c r="U9" s="61">
        <f t="shared" si="17"/>
        <v>24.080749819754868</v>
      </c>
      <c r="V9" s="61"/>
      <c r="X9" s="63"/>
      <c r="Y9" s="159" t="s">
        <v>45</v>
      </c>
      <c r="Z9" s="159" t="s">
        <v>67</v>
      </c>
      <c r="AA9" s="159" t="s">
        <v>163</v>
      </c>
      <c r="AB9" s="159">
        <f t="shared" si="8"/>
        <v>3</v>
      </c>
      <c r="AC9" s="164">
        <f t="shared" si="18"/>
        <v>17.127071823204421</v>
      </c>
      <c r="AD9" s="164">
        <f t="shared" si="9"/>
        <v>28.623188405797105</v>
      </c>
      <c r="AE9" s="159"/>
      <c r="AF9" s="159">
        <f t="shared" si="10"/>
        <v>8</v>
      </c>
      <c r="AG9" s="160">
        <f t="shared" si="11"/>
        <v>45</v>
      </c>
      <c r="AH9" s="161">
        <f t="shared" si="12"/>
        <v>21.226415094339622</v>
      </c>
      <c r="AI9" s="161">
        <f t="shared" si="13"/>
        <v>16.259349361356946</v>
      </c>
      <c r="AJ9" s="161">
        <f t="shared" si="14"/>
        <v>27.217682036327869</v>
      </c>
      <c r="AK9" s="160">
        <f t="shared" si="15"/>
        <v>5</v>
      </c>
    </row>
    <row r="10" spans="1:37" x14ac:dyDescent="0.2">
      <c r="A10" s="62" t="s">
        <v>33</v>
      </c>
      <c r="B10" s="62" t="s">
        <v>58</v>
      </c>
      <c r="C10" s="62" t="s">
        <v>163</v>
      </c>
      <c r="D10" s="62"/>
      <c r="E10" s="62">
        <f t="shared" si="2"/>
        <v>15</v>
      </c>
      <c r="F10" s="128">
        <v>79</v>
      </c>
      <c r="G10" s="129">
        <v>28.623188405797105</v>
      </c>
      <c r="H10" s="129">
        <v>23.612733397454569</v>
      </c>
      <c r="I10" s="129">
        <v>34.220533875638296</v>
      </c>
      <c r="J10" s="129"/>
      <c r="K10" s="129"/>
      <c r="L10" s="129"/>
      <c r="M10" s="60">
        <f t="shared" si="0"/>
        <v>5</v>
      </c>
      <c r="N10" s="61">
        <f t="shared" si="3"/>
        <v>6.1224489795918364</v>
      </c>
      <c r="O10" s="61">
        <f t="shared" si="16"/>
        <v>19.347319347319345</v>
      </c>
      <c r="P10" s="129">
        <f t="shared" si="4"/>
        <v>25.308531568592382</v>
      </c>
      <c r="Q10" s="129">
        <f t="shared" si="5"/>
        <v>24.186097930935482</v>
      </c>
      <c r="R10" s="129">
        <f t="shared" si="6"/>
        <v>26.464871889718271</v>
      </c>
      <c r="S10" s="61">
        <f t="shared" si="7"/>
        <v>30.375426621160408</v>
      </c>
      <c r="T10" s="61">
        <f t="shared" si="1"/>
        <v>37.878787878787875</v>
      </c>
      <c r="U10" s="61">
        <f t="shared" si="17"/>
        <v>23.825363825363823</v>
      </c>
      <c r="V10" s="61"/>
      <c r="Y10" s="159" t="s">
        <v>46</v>
      </c>
      <c r="Z10" s="159" t="s">
        <v>68</v>
      </c>
      <c r="AA10" s="159" t="s">
        <v>163</v>
      </c>
      <c r="AB10" s="159">
        <f t="shared" si="8"/>
        <v>7</v>
      </c>
      <c r="AC10" s="164">
        <f t="shared" si="18"/>
        <v>17.127071823204421</v>
      </c>
      <c r="AD10" s="164">
        <f t="shared" si="9"/>
        <v>28.623188405797105</v>
      </c>
      <c r="AE10" s="159"/>
      <c r="AF10" s="159">
        <f t="shared" si="10"/>
        <v>13</v>
      </c>
      <c r="AG10" s="160">
        <f t="shared" si="11"/>
        <v>77</v>
      </c>
      <c r="AH10" s="161">
        <f t="shared" si="12"/>
        <v>25.838926174496645</v>
      </c>
      <c r="AI10" s="161">
        <f t="shared" si="13"/>
        <v>21.198481210887316</v>
      </c>
      <c r="AJ10" s="161">
        <f t="shared" si="14"/>
        <v>31.094354716087931</v>
      </c>
      <c r="AK10" s="160">
        <f t="shared" si="15"/>
        <v>5</v>
      </c>
    </row>
    <row r="11" spans="1:37" x14ac:dyDescent="0.2">
      <c r="A11" s="62" t="s">
        <v>34</v>
      </c>
      <c r="B11" s="62" t="s">
        <v>59</v>
      </c>
      <c r="C11" s="62" t="s">
        <v>200</v>
      </c>
      <c r="D11" s="62"/>
      <c r="E11" s="62">
        <f t="shared" si="2"/>
        <v>20</v>
      </c>
      <c r="F11" s="128">
        <v>89</v>
      </c>
      <c r="G11" s="129">
        <v>30.375426621160408</v>
      </c>
      <c r="H11" s="129">
        <v>25.391705056737429</v>
      </c>
      <c r="I11" s="129">
        <v>35.867075823508387</v>
      </c>
      <c r="J11" s="129"/>
      <c r="K11" s="129"/>
      <c r="L11" s="129"/>
      <c r="M11" s="60">
        <f t="shared" si="0"/>
        <v>5</v>
      </c>
      <c r="N11" s="61">
        <f t="shared" si="3"/>
        <v>6.1224489795918364</v>
      </c>
      <c r="O11" s="61">
        <f t="shared" si="16"/>
        <v>19.347319347319345</v>
      </c>
      <c r="P11" s="129">
        <f t="shared" si="4"/>
        <v>25.308531568592382</v>
      </c>
      <c r="Q11" s="129">
        <f t="shared" si="5"/>
        <v>24.186097930935482</v>
      </c>
      <c r="R11" s="129">
        <f t="shared" si="6"/>
        <v>26.464871889718271</v>
      </c>
      <c r="S11" s="61">
        <f t="shared" si="7"/>
        <v>30.375426621160408</v>
      </c>
      <c r="T11" s="61">
        <f t="shared" si="1"/>
        <v>37.878787878787875</v>
      </c>
      <c r="U11" s="61">
        <f t="shared" si="17"/>
        <v>28.237909949972209</v>
      </c>
      <c r="V11" s="61"/>
      <c r="Y11" s="159" t="s">
        <v>47</v>
      </c>
      <c r="Z11" s="159" t="s">
        <v>69</v>
      </c>
      <c r="AA11" s="159" t="s">
        <v>163</v>
      </c>
      <c r="AB11" s="159">
        <f t="shared" si="8"/>
        <v>5</v>
      </c>
      <c r="AC11" s="164">
        <f t="shared" si="18"/>
        <v>17.127071823204421</v>
      </c>
      <c r="AD11" s="164">
        <f t="shared" si="9"/>
        <v>28.623188405797105</v>
      </c>
      <c r="AE11" s="159"/>
      <c r="AF11" s="159">
        <f t="shared" si="10"/>
        <v>11</v>
      </c>
      <c r="AG11" s="160">
        <f t="shared" si="11"/>
        <v>22</v>
      </c>
      <c r="AH11" s="161">
        <f t="shared" si="12"/>
        <v>25.581395348837209</v>
      </c>
      <c r="AI11" s="161">
        <f t="shared" si="13"/>
        <v>17.543075268015517</v>
      </c>
      <c r="AJ11" s="161">
        <f t="shared" si="14"/>
        <v>35.707906459892818</v>
      </c>
      <c r="AK11" s="160">
        <f t="shared" si="15"/>
        <v>5</v>
      </c>
    </row>
    <row r="12" spans="1:37" x14ac:dyDescent="0.2">
      <c r="A12" s="62" t="s">
        <v>35</v>
      </c>
      <c r="B12" s="62" t="s">
        <v>60</v>
      </c>
      <c r="C12" s="62" t="s">
        <v>163</v>
      </c>
      <c r="D12" s="62"/>
      <c r="E12" s="62">
        <f t="shared" si="2"/>
        <v>7</v>
      </c>
      <c r="F12" s="128">
        <v>83</v>
      </c>
      <c r="G12" s="129">
        <v>19.347319347319345</v>
      </c>
      <c r="H12" s="129">
        <v>15.888055737748566</v>
      </c>
      <c r="I12" s="129">
        <v>23.350666745869038</v>
      </c>
      <c r="J12" s="129"/>
      <c r="K12" s="129"/>
      <c r="L12" s="129"/>
      <c r="M12" s="60">
        <f t="shared" si="0"/>
        <v>3</v>
      </c>
      <c r="N12" s="61">
        <f t="shared" si="3"/>
        <v>6.1224489795918364</v>
      </c>
      <c r="O12" s="61">
        <f t="shared" si="16"/>
        <v>19.347319347319345</v>
      </c>
      <c r="P12" s="129">
        <f t="shared" si="4"/>
        <v>25.308531568592382</v>
      </c>
      <c r="Q12" s="129">
        <f t="shared" si="5"/>
        <v>24.186097930935482</v>
      </c>
      <c r="R12" s="129">
        <f t="shared" si="6"/>
        <v>26.464871889718271</v>
      </c>
      <c r="S12" s="61">
        <f t="shared" si="7"/>
        <v>30.375426621160408</v>
      </c>
      <c r="T12" s="61">
        <f t="shared" si="1"/>
        <v>37.878787878787875</v>
      </c>
      <c r="U12" s="61">
        <f t="shared" si="17"/>
        <v>23.825363825363823</v>
      </c>
      <c r="V12" s="61"/>
      <c r="Y12" s="159" t="s">
        <v>50</v>
      </c>
      <c r="Z12" s="159" t="s">
        <v>161</v>
      </c>
      <c r="AA12" s="159" t="s">
        <v>163</v>
      </c>
      <c r="AB12" s="159">
        <f t="shared" si="8"/>
        <v>1</v>
      </c>
      <c r="AC12" s="164">
        <f t="shared" si="18"/>
        <v>17.127071823204421</v>
      </c>
      <c r="AD12" s="164">
        <f t="shared" si="9"/>
        <v>28.623188405797105</v>
      </c>
      <c r="AE12" s="159"/>
      <c r="AF12" s="159">
        <f t="shared" si="10"/>
        <v>6</v>
      </c>
      <c r="AG12" s="160">
        <f t="shared" si="11"/>
        <v>31</v>
      </c>
      <c r="AH12" s="161">
        <f t="shared" si="12"/>
        <v>17.127071823204421</v>
      </c>
      <c r="AI12" s="161">
        <f t="shared" si="13"/>
        <v>12.33624633501578</v>
      </c>
      <c r="AJ12" s="161">
        <f t="shared" si="14"/>
        <v>23.28425744198794</v>
      </c>
      <c r="AK12" s="160">
        <f t="shared" si="15"/>
        <v>3</v>
      </c>
    </row>
    <row r="13" spans="1:37" x14ac:dyDescent="0.2">
      <c r="A13" s="62" t="s">
        <v>36</v>
      </c>
      <c r="B13" s="62" t="s">
        <v>61</v>
      </c>
      <c r="C13" s="62" t="s">
        <v>201</v>
      </c>
      <c r="D13" s="62"/>
      <c r="E13" s="62">
        <f t="shared" si="2"/>
        <v>4</v>
      </c>
      <c r="F13" s="128" t="s">
        <v>79</v>
      </c>
      <c r="G13" s="129">
        <v>14.285714285714286</v>
      </c>
      <c r="H13" s="129">
        <v>4.9810124997252698</v>
      </c>
      <c r="I13" s="129">
        <v>34.636060280620939</v>
      </c>
      <c r="J13" s="129"/>
      <c r="K13" s="129"/>
      <c r="L13" s="129"/>
      <c r="M13" s="60">
        <f t="shared" si="0"/>
        <v>5</v>
      </c>
      <c r="N13" s="61">
        <f t="shared" si="3"/>
        <v>6.1224489795918364</v>
      </c>
      <c r="O13" s="61">
        <f t="shared" si="16"/>
        <v>19.347319347319345</v>
      </c>
      <c r="P13" s="129">
        <f t="shared" si="4"/>
        <v>25.308531568592382</v>
      </c>
      <c r="Q13" s="129">
        <f t="shared" si="5"/>
        <v>24.186097930935482</v>
      </c>
      <c r="R13" s="129">
        <f t="shared" si="6"/>
        <v>26.464871889718271</v>
      </c>
      <c r="S13" s="61">
        <f t="shared" si="7"/>
        <v>30.375426621160408</v>
      </c>
      <c r="T13" s="61">
        <f t="shared" si="1"/>
        <v>37.878787878787875</v>
      </c>
      <c r="U13" s="61">
        <f t="shared" si="17"/>
        <v>24.080749819754868</v>
      </c>
      <c r="V13" s="61"/>
      <c r="Y13" s="159" t="s">
        <v>53</v>
      </c>
      <c r="Z13" s="159" t="s">
        <v>162</v>
      </c>
      <c r="AA13" s="159" t="s">
        <v>163</v>
      </c>
      <c r="AB13" s="159">
        <f>RANK(AH13,$AH$6:$AH$13,1)</f>
        <v>6</v>
      </c>
      <c r="AC13" s="164">
        <f t="shared" si="18"/>
        <v>17.127071823204421</v>
      </c>
      <c r="AD13" s="164">
        <f t="shared" si="9"/>
        <v>28.623188405797105</v>
      </c>
      <c r="AE13" s="159"/>
      <c r="AF13" s="159">
        <f t="shared" si="10"/>
        <v>12</v>
      </c>
      <c r="AG13" s="160">
        <f t="shared" si="11"/>
        <v>147</v>
      </c>
      <c r="AH13" s="161">
        <f t="shared" si="12"/>
        <v>25.6993006993007</v>
      </c>
      <c r="AI13" s="161">
        <f t="shared" si="13"/>
        <v>22.288672771843846</v>
      </c>
      <c r="AJ13" s="161">
        <f t="shared" si="14"/>
        <v>29.434150282728229</v>
      </c>
      <c r="AK13" s="160">
        <f t="shared" si="15"/>
        <v>5</v>
      </c>
    </row>
    <row r="14" spans="1:37" x14ac:dyDescent="0.2">
      <c r="A14" s="62" t="s">
        <v>37</v>
      </c>
      <c r="B14" s="62" t="s">
        <v>157</v>
      </c>
      <c r="C14" s="62" t="s">
        <v>201</v>
      </c>
      <c r="D14" s="62"/>
      <c r="E14" s="62">
        <f t="shared" si="2"/>
        <v>25</v>
      </c>
      <c r="F14" s="128">
        <v>53</v>
      </c>
      <c r="G14" s="129">
        <v>36.551724137931039</v>
      </c>
      <c r="H14" s="129">
        <v>29.154432711473017</v>
      </c>
      <c r="I14" s="129">
        <v>44.643190404420793</v>
      </c>
      <c r="J14" s="129"/>
      <c r="K14" s="129"/>
      <c r="L14" s="129"/>
      <c r="M14" s="60">
        <f t="shared" si="0"/>
        <v>4</v>
      </c>
      <c r="N14" s="61">
        <f t="shared" si="3"/>
        <v>6.1224489795918364</v>
      </c>
      <c r="O14" s="61">
        <f t="shared" si="16"/>
        <v>19.347319347319345</v>
      </c>
      <c r="P14" s="129">
        <f t="shared" si="4"/>
        <v>25.308531568592382</v>
      </c>
      <c r="Q14" s="129">
        <f t="shared" si="5"/>
        <v>24.186097930935482</v>
      </c>
      <c r="R14" s="129">
        <f t="shared" si="6"/>
        <v>26.464871889718271</v>
      </c>
      <c r="S14" s="61">
        <f t="shared" si="7"/>
        <v>30.375426621160408</v>
      </c>
      <c r="T14" s="61">
        <f t="shared" si="1"/>
        <v>37.878787878787875</v>
      </c>
      <c r="U14" s="61">
        <f t="shared" si="17"/>
        <v>24.080749819754868</v>
      </c>
      <c r="V14" s="61"/>
      <c r="Y14" s="162" t="s">
        <v>29</v>
      </c>
      <c r="Z14" s="162" t="s">
        <v>55</v>
      </c>
      <c r="AA14" s="162" t="s">
        <v>201</v>
      </c>
      <c r="AB14" s="162">
        <f>RANK(AH14,$AH$14:$AH$22,1)</f>
        <v>7</v>
      </c>
      <c r="AC14" s="165">
        <f t="shared" ref="AC14:AC22" si="19">MIN($AH$14:$AH$22)</f>
        <v>6.1224489795918364</v>
      </c>
      <c r="AD14" s="165">
        <f>MAX($AH$14:$AH$22)</f>
        <v>36.551724137931039</v>
      </c>
      <c r="AE14" s="162"/>
      <c r="AF14" s="162">
        <f t="shared" si="10"/>
        <v>21</v>
      </c>
      <c r="AG14" s="167">
        <f t="shared" si="11"/>
        <v>39</v>
      </c>
      <c r="AH14" s="165">
        <f t="shared" si="12"/>
        <v>31.2</v>
      </c>
      <c r="AI14" s="165">
        <f t="shared" si="13"/>
        <v>23.740883229426025</v>
      </c>
      <c r="AJ14" s="165">
        <f t="shared" si="14"/>
        <v>39.780175574007053</v>
      </c>
      <c r="AK14" s="167">
        <f t="shared" si="15"/>
        <v>5</v>
      </c>
    </row>
    <row r="15" spans="1:37" x14ac:dyDescent="0.2">
      <c r="A15" s="62" t="s">
        <v>38</v>
      </c>
      <c r="B15" s="62" t="s">
        <v>62</v>
      </c>
      <c r="C15" s="62" t="s">
        <v>201</v>
      </c>
      <c r="D15" s="62"/>
      <c r="E15" s="62">
        <f t="shared" si="2"/>
        <v>16</v>
      </c>
      <c r="F15" s="128">
        <v>52</v>
      </c>
      <c r="G15" s="129">
        <v>29.213483146067414</v>
      </c>
      <c r="H15" s="129">
        <v>23.02853423884892</v>
      </c>
      <c r="I15" s="129">
        <v>36.276675651175033</v>
      </c>
      <c r="J15" s="129"/>
      <c r="K15" s="129"/>
      <c r="L15" s="129"/>
      <c r="M15" s="60">
        <f t="shared" si="0"/>
        <v>5</v>
      </c>
      <c r="N15" s="61">
        <f t="shared" si="3"/>
        <v>6.1224489795918364</v>
      </c>
      <c r="O15" s="61">
        <f t="shared" si="16"/>
        <v>19.347319347319345</v>
      </c>
      <c r="P15" s="129">
        <f t="shared" si="4"/>
        <v>25.308531568592382</v>
      </c>
      <c r="Q15" s="129">
        <f t="shared" si="5"/>
        <v>24.186097930935482</v>
      </c>
      <c r="R15" s="129">
        <f t="shared" si="6"/>
        <v>26.464871889718271</v>
      </c>
      <c r="S15" s="61">
        <f t="shared" si="7"/>
        <v>30.375426621160408</v>
      </c>
      <c r="T15" s="61">
        <f t="shared" si="1"/>
        <v>37.878787878787875</v>
      </c>
      <c r="U15" s="61">
        <f t="shared" si="17"/>
        <v>24.080749819754868</v>
      </c>
      <c r="V15" s="61"/>
      <c r="Y15" s="162" t="s">
        <v>32</v>
      </c>
      <c r="Z15" s="162" t="s">
        <v>156</v>
      </c>
      <c r="AA15" s="162" t="s">
        <v>201</v>
      </c>
      <c r="AB15" s="162">
        <f>RANK(AH15,$AH$14:$AH$22,1)</f>
        <v>8</v>
      </c>
      <c r="AC15" s="165">
        <f t="shared" si="19"/>
        <v>6.1224489795918364</v>
      </c>
      <c r="AD15" s="165">
        <f t="shared" ref="AD15:AD22" si="20">MAX($AH$14:$AH$22)</f>
        <v>36.551724137931039</v>
      </c>
      <c r="AE15" s="162"/>
      <c r="AF15" s="162">
        <f t="shared" si="10"/>
        <v>24</v>
      </c>
      <c r="AG15" s="167">
        <f t="shared" si="11"/>
        <v>78</v>
      </c>
      <c r="AH15" s="165">
        <f t="shared" si="12"/>
        <v>35.944700460829495</v>
      </c>
      <c r="AI15" s="165">
        <f t="shared" si="13"/>
        <v>29.855937883216022</v>
      </c>
      <c r="AJ15" s="165">
        <f t="shared" si="14"/>
        <v>42.522436935650212</v>
      </c>
      <c r="AK15" s="167">
        <f t="shared" si="15"/>
        <v>4</v>
      </c>
    </row>
    <row r="16" spans="1:37" x14ac:dyDescent="0.2">
      <c r="A16" s="62" t="s">
        <v>39</v>
      </c>
      <c r="B16" s="62" t="s">
        <v>158</v>
      </c>
      <c r="C16" s="62" t="s">
        <v>200</v>
      </c>
      <c r="D16" s="62"/>
      <c r="E16" s="62">
        <f t="shared" si="2"/>
        <v>19</v>
      </c>
      <c r="F16" s="128">
        <v>68</v>
      </c>
      <c r="G16" s="129">
        <v>29.955947136563875</v>
      </c>
      <c r="H16" s="129">
        <v>24.371036401352768</v>
      </c>
      <c r="I16" s="129">
        <v>36.207968572496334</v>
      </c>
      <c r="J16" s="129"/>
      <c r="K16" s="129"/>
      <c r="L16" s="129"/>
      <c r="M16" s="60">
        <f t="shared" si="0"/>
        <v>5</v>
      </c>
      <c r="N16" s="61">
        <f t="shared" si="3"/>
        <v>6.1224489795918364</v>
      </c>
      <c r="O16" s="61">
        <f t="shared" si="16"/>
        <v>19.347319347319345</v>
      </c>
      <c r="P16" s="129">
        <f t="shared" si="4"/>
        <v>25.308531568592382</v>
      </c>
      <c r="Q16" s="129">
        <f t="shared" si="5"/>
        <v>24.186097930935482</v>
      </c>
      <c r="R16" s="129">
        <f t="shared" si="6"/>
        <v>26.464871889718271</v>
      </c>
      <c r="S16" s="61">
        <f t="shared" si="7"/>
        <v>30.375426621160408</v>
      </c>
      <c r="T16" s="61">
        <f t="shared" si="1"/>
        <v>37.878787878787875</v>
      </c>
      <c r="U16" s="61">
        <f t="shared" si="17"/>
        <v>28.237909949972209</v>
      </c>
      <c r="V16" s="61"/>
      <c r="Y16" s="162" t="s">
        <v>36</v>
      </c>
      <c r="Z16" s="162" t="s">
        <v>61</v>
      </c>
      <c r="AA16" s="162" t="s">
        <v>201</v>
      </c>
      <c r="AB16" s="162">
        <f>RANK(AH16,$AH$14:$AH$22,1)</f>
        <v>3</v>
      </c>
      <c r="AC16" s="165">
        <f t="shared" si="19"/>
        <v>6.1224489795918364</v>
      </c>
      <c r="AD16" s="165">
        <f t="shared" si="20"/>
        <v>36.551724137931039</v>
      </c>
      <c r="AE16" s="162"/>
      <c r="AF16" s="162">
        <f t="shared" si="10"/>
        <v>4</v>
      </c>
      <c r="AG16" s="167" t="str">
        <f t="shared" si="11"/>
        <v>N/A</v>
      </c>
      <c r="AH16" s="165">
        <f t="shared" si="12"/>
        <v>14.285714285714286</v>
      </c>
      <c r="AI16" s="165">
        <f t="shared" si="13"/>
        <v>4.9810124997252698</v>
      </c>
      <c r="AJ16" s="165">
        <f t="shared" si="14"/>
        <v>34.636060280620939</v>
      </c>
      <c r="AK16" s="167">
        <f t="shared" si="15"/>
        <v>5</v>
      </c>
    </row>
    <row r="17" spans="1:37" x14ac:dyDescent="0.2">
      <c r="A17" s="62" t="s">
        <v>40</v>
      </c>
      <c r="B17" s="62" t="s">
        <v>63</v>
      </c>
      <c r="C17" s="62" t="s">
        <v>200</v>
      </c>
      <c r="D17" s="62"/>
      <c r="E17" s="62">
        <f t="shared" si="2"/>
        <v>17</v>
      </c>
      <c r="F17" s="128">
        <v>49</v>
      </c>
      <c r="G17" s="129">
        <v>29.696969696969699</v>
      </c>
      <c r="H17" s="129">
        <v>23.251337813475736</v>
      </c>
      <c r="I17" s="129">
        <v>37.066465368293436</v>
      </c>
      <c r="J17" s="129"/>
      <c r="K17" s="129"/>
      <c r="L17" s="129"/>
      <c r="M17" s="60">
        <f t="shared" si="0"/>
        <v>5</v>
      </c>
      <c r="N17" s="61">
        <f t="shared" si="3"/>
        <v>6.1224489795918364</v>
      </c>
      <c r="O17" s="61">
        <f t="shared" si="16"/>
        <v>19.347319347319345</v>
      </c>
      <c r="P17" s="129">
        <f t="shared" si="4"/>
        <v>25.308531568592382</v>
      </c>
      <c r="Q17" s="129">
        <f t="shared" si="5"/>
        <v>24.186097930935482</v>
      </c>
      <c r="R17" s="129">
        <f t="shared" si="6"/>
        <v>26.464871889718271</v>
      </c>
      <c r="S17" s="61">
        <f t="shared" si="7"/>
        <v>30.375426621160408</v>
      </c>
      <c r="T17" s="61">
        <f t="shared" si="1"/>
        <v>37.878787878787875</v>
      </c>
      <c r="U17" s="61">
        <f t="shared" si="17"/>
        <v>28.237909949972209</v>
      </c>
      <c r="V17" s="61"/>
      <c r="Y17" s="162" t="s">
        <v>37</v>
      </c>
      <c r="Z17" s="162" t="s">
        <v>157</v>
      </c>
      <c r="AA17" s="162" t="s">
        <v>201</v>
      </c>
      <c r="AB17" s="162">
        <f t="shared" ref="AB17:AB22" si="21">RANK(AH17,$AH$14:$AH$22,1)</f>
        <v>9</v>
      </c>
      <c r="AC17" s="165">
        <f t="shared" si="19"/>
        <v>6.1224489795918364</v>
      </c>
      <c r="AD17" s="165">
        <f>MAX($AH$14:$AH$22)</f>
        <v>36.551724137931039</v>
      </c>
      <c r="AE17" s="162"/>
      <c r="AF17" s="162">
        <f t="shared" si="10"/>
        <v>25</v>
      </c>
      <c r="AG17" s="167">
        <f t="shared" si="11"/>
        <v>53</v>
      </c>
      <c r="AH17" s="165">
        <f t="shared" si="12"/>
        <v>36.551724137931039</v>
      </c>
      <c r="AI17" s="165">
        <f t="shared" si="13"/>
        <v>29.154432711473017</v>
      </c>
      <c r="AJ17" s="165">
        <f t="shared" si="14"/>
        <v>44.643190404420793</v>
      </c>
      <c r="AK17" s="167">
        <f t="shared" si="15"/>
        <v>4</v>
      </c>
    </row>
    <row r="18" spans="1:37" x14ac:dyDescent="0.2">
      <c r="A18" s="62" t="s">
        <v>41</v>
      </c>
      <c r="B18" s="62" t="s">
        <v>64</v>
      </c>
      <c r="C18" s="62" t="s">
        <v>163</v>
      </c>
      <c r="D18" s="62"/>
      <c r="E18" s="62">
        <f t="shared" si="2"/>
        <v>10</v>
      </c>
      <c r="F18" s="128">
        <v>89</v>
      </c>
      <c r="G18" s="129">
        <v>25.356125356125357</v>
      </c>
      <c r="H18" s="129">
        <v>21.088488652856629</v>
      </c>
      <c r="I18" s="129">
        <v>30.157343619685378</v>
      </c>
      <c r="J18" s="129"/>
      <c r="K18" s="129"/>
      <c r="L18" s="129"/>
      <c r="M18" s="60">
        <f t="shared" si="0"/>
        <v>5</v>
      </c>
      <c r="N18" s="61">
        <f t="shared" si="3"/>
        <v>6.1224489795918364</v>
      </c>
      <c r="O18" s="61">
        <f t="shared" si="16"/>
        <v>19.347319347319345</v>
      </c>
      <c r="P18" s="129">
        <f t="shared" si="4"/>
        <v>25.308531568592382</v>
      </c>
      <c r="Q18" s="129">
        <f t="shared" si="5"/>
        <v>24.186097930935482</v>
      </c>
      <c r="R18" s="129">
        <f t="shared" si="6"/>
        <v>26.464871889718271</v>
      </c>
      <c r="S18" s="61">
        <f t="shared" si="7"/>
        <v>30.375426621160408</v>
      </c>
      <c r="T18" s="61">
        <f t="shared" si="1"/>
        <v>37.878787878787875</v>
      </c>
      <c r="U18" s="61">
        <f t="shared" si="17"/>
        <v>23.825363825363823</v>
      </c>
      <c r="V18" s="61"/>
      <c r="Y18" s="162" t="s">
        <v>38</v>
      </c>
      <c r="Z18" s="162" t="s">
        <v>62</v>
      </c>
      <c r="AA18" s="162" t="s">
        <v>201</v>
      </c>
      <c r="AB18" s="162">
        <f t="shared" si="21"/>
        <v>6</v>
      </c>
      <c r="AC18" s="165">
        <f t="shared" si="19"/>
        <v>6.1224489795918364</v>
      </c>
      <c r="AD18" s="165">
        <f t="shared" si="20"/>
        <v>36.551724137931039</v>
      </c>
      <c r="AE18" s="162"/>
      <c r="AF18" s="162">
        <f t="shared" si="10"/>
        <v>16</v>
      </c>
      <c r="AG18" s="167">
        <f t="shared" si="11"/>
        <v>52</v>
      </c>
      <c r="AH18" s="165">
        <f t="shared" si="12"/>
        <v>29.213483146067414</v>
      </c>
      <c r="AI18" s="165">
        <f t="shared" si="13"/>
        <v>23.02853423884892</v>
      </c>
      <c r="AJ18" s="165">
        <f t="shared" si="14"/>
        <v>36.276675651175033</v>
      </c>
      <c r="AK18" s="167">
        <f t="shared" si="15"/>
        <v>5</v>
      </c>
    </row>
    <row r="19" spans="1:37" x14ac:dyDescent="0.2">
      <c r="A19" s="62" t="s">
        <v>42</v>
      </c>
      <c r="B19" s="62" t="s">
        <v>65</v>
      </c>
      <c r="C19" s="62" t="s">
        <v>200</v>
      </c>
      <c r="D19" s="62"/>
      <c r="E19" s="62">
        <f t="shared" si="2"/>
        <v>26</v>
      </c>
      <c r="F19" s="128">
        <v>25</v>
      </c>
      <c r="G19" s="129">
        <v>37.878787878787875</v>
      </c>
      <c r="H19" s="129">
        <v>27.149446993737943</v>
      </c>
      <c r="I19" s="129">
        <v>49.941524085378198</v>
      </c>
      <c r="J19" s="129"/>
      <c r="K19" s="129"/>
      <c r="L19" s="129"/>
      <c r="M19" s="60">
        <f t="shared" si="0"/>
        <v>4</v>
      </c>
      <c r="N19" s="61">
        <f t="shared" si="3"/>
        <v>6.1224489795918364</v>
      </c>
      <c r="O19" s="61">
        <f t="shared" si="16"/>
        <v>19.347319347319345</v>
      </c>
      <c r="P19" s="129">
        <f t="shared" si="4"/>
        <v>25.308531568592382</v>
      </c>
      <c r="Q19" s="129">
        <f t="shared" si="5"/>
        <v>24.186097930935482</v>
      </c>
      <c r="R19" s="129">
        <f t="shared" si="6"/>
        <v>26.464871889718271</v>
      </c>
      <c r="S19" s="61">
        <f t="shared" si="7"/>
        <v>30.375426621160408</v>
      </c>
      <c r="T19" s="61">
        <f t="shared" si="1"/>
        <v>37.878787878787875</v>
      </c>
      <c r="U19" s="61">
        <f t="shared" si="17"/>
        <v>28.237909949972209</v>
      </c>
      <c r="V19" s="61"/>
      <c r="Y19" s="162" t="s">
        <v>43</v>
      </c>
      <c r="Z19" s="162" t="s">
        <v>159</v>
      </c>
      <c r="AA19" s="162" t="s">
        <v>201</v>
      </c>
      <c r="AB19" s="162">
        <f t="shared" si="21"/>
        <v>4</v>
      </c>
      <c r="AC19" s="165">
        <f t="shared" si="19"/>
        <v>6.1224489795918364</v>
      </c>
      <c r="AD19" s="165">
        <f t="shared" si="20"/>
        <v>36.551724137931039</v>
      </c>
      <c r="AE19" s="162"/>
      <c r="AF19" s="162">
        <f t="shared" si="10"/>
        <v>5</v>
      </c>
      <c r="AG19" s="167">
        <f t="shared" si="11"/>
        <v>50</v>
      </c>
      <c r="AH19" s="165">
        <f t="shared" si="12"/>
        <v>15.576323987538942</v>
      </c>
      <c r="AI19" s="165">
        <f t="shared" si="13"/>
        <v>12.01899441851214</v>
      </c>
      <c r="AJ19" s="165">
        <f t="shared" si="14"/>
        <v>19.947817698906807</v>
      </c>
      <c r="AK19" s="167">
        <f t="shared" si="15"/>
        <v>3</v>
      </c>
    </row>
    <row r="20" spans="1:37" x14ac:dyDescent="0.2">
      <c r="A20" s="62" t="s">
        <v>43</v>
      </c>
      <c r="B20" s="62" t="s">
        <v>159</v>
      </c>
      <c r="C20" s="62" t="s">
        <v>201</v>
      </c>
      <c r="D20" s="62"/>
      <c r="E20" s="62">
        <f t="shared" si="2"/>
        <v>5</v>
      </c>
      <c r="F20" s="128">
        <v>50</v>
      </c>
      <c r="G20" s="129">
        <v>15.576323987538942</v>
      </c>
      <c r="H20" s="129">
        <v>12.01899441851214</v>
      </c>
      <c r="I20" s="129">
        <v>19.947817698906807</v>
      </c>
      <c r="J20" s="129"/>
      <c r="K20" s="129"/>
      <c r="L20" s="129"/>
      <c r="M20" s="60">
        <f t="shared" si="0"/>
        <v>3</v>
      </c>
      <c r="N20" s="61">
        <f t="shared" si="3"/>
        <v>6.1224489795918364</v>
      </c>
      <c r="O20" s="61">
        <f t="shared" si="16"/>
        <v>19.347319347319345</v>
      </c>
      <c r="P20" s="129">
        <f t="shared" si="4"/>
        <v>25.308531568592382</v>
      </c>
      <c r="Q20" s="129">
        <f t="shared" si="5"/>
        <v>24.186097930935482</v>
      </c>
      <c r="R20" s="129">
        <f t="shared" si="6"/>
        <v>26.464871889718271</v>
      </c>
      <c r="S20" s="61">
        <f t="shared" si="7"/>
        <v>30.375426621160408</v>
      </c>
      <c r="T20" s="61">
        <f t="shared" si="1"/>
        <v>37.878787878787875</v>
      </c>
      <c r="U20" s="61">
        <f t="shared" si="17"/>
        <v>24.080749819754868</v>
      </c>
      <c r="V20" s="61"/>
      <c r="Y20" s="162" t="s">
        <v>48</v>
      </c>
      <c r="Z20" s="162" t="s">
        <v>160</v>
      </c>
      <c r="AA20" s="162" t="s">
        <v>201</v>
      </c>
      <c r="AB20" s="162">
        <f t="shared" si="21"/>
        <v>5</v>
      </c>
      <c r="AC20" s="165">
        <f t="shared" si="19"/>
        <v>6.1224489795918364</v>
      </c>
      <c r="AD20" s="165">
        <f t="shared" si="20"/>
        <v>36.551724137931039</v>
      </c>
      <c r="AE20" s="162"/>
      <c r="AF20" s="162">
        <f t="shared" si="10"/>
        <v>14</v>
      </c>
      <c r="AG20" s="167">
        <f t="shared" si="11"/>
        <v>26</v>
      </c>
      <c r="AH20" s="165">
        <f t="shared" si="12"/>
        <v>28.571428571428569</v>
      </c>
      <c r="AI20" s="165">
        <f t="shared" si="13"/>
        <v>20.306214476044961</v>
      </c>
      <c r="AJ20" s="165">
        <f t="shared" si="14"/>
        <v>38.57252854947847</v>
      </c>
      <c r="AK20" s="167">
        <f t="shared" si="15"/>
        <v>5</v>
      </c>
    </row>
    <row r="21" spans="1:37" x14ac:dyDescent="0.2">
      <c r="A21" s="62" t="s">
        <v>44</v>
      </c>
      <c r="B21" s="62" t="s">
        <v>66</v>
      </c>
      <c r="C21" s="62" t="s">
        <v>200</v>
      </c>
      <c r="D21" s="62"/>
      <c r="E21" s="62">
        <f t="shared" si="2"/>
        <v>3</v>
      </c>
      <c r="F21" s="128">
        <v>25</v>
      </c>
      <c r="G21" s="129">
        <v>11.467889908256879</v>
      </c>
      <c r="H21" s="129">
        <v>7.8894215592546599</v>
      </c>
      <c r="I21" s="129">
        <v>16.380820399536322</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3</v>
      </c>
      <c r="N21" s="61">
        <f t="shared" si="3"/>
        <v>6.1224489795918364</v>
      </c>
      <c r="O21" s="61">
        <f t="shared" si="16"/>
        <v>19.347319347319345</v>
      </c>
      <c r="P21" s="129">
        <f t="shared" si="4"/>
        <v>25.308531568592382</v>
      </c>
      <c r="Q21" s="129">
        <f t="shared" si="5"/>
        <v>24.186097930935482</v>
      </c>
      <c r="R21" s="129">
        <f t="shared" si="6"/>
        <v>26.464871889718271</v>
      </c>
      <c r="S21" s="61">
        <f t="shared" si="7"/>
        <v>30.375426621160408</v>
      </c>
      <c r="T21" s="61">
        <f t="shared" si="1"/>
        <v>37.878787878787875</v>
      </c>
      <c r="U21" s="61">
        <f t="shared" si="17"/>
        <v>28.237909949972209</v>
      </c>
      <c r="V21" s="61"/>
      <c r="Y21" s="162" t="s">
        <v>52</v>
      </c>
      <c r="Z21" s="162" t="s">
        <v>72</v>
      </c>
      <c r="AA21" s="162" t="s">
        <v>201</v>
      </c>
      <c r="AB21" s="162">
        <f t="shared" si="21"/>
        <v>2</v>
      </c>
      <c r="AC21" s="165">
        <f t="shared" si="19"/>
        <v>6.1224489795918364</v>
      </c>
      <c r="AD21" s="165">
        <f t="shared" si="20"/>
        <v>36.551724137931039</v>
      </c>
      <c r="AE21" s="162"/>
      <c r="AF21" s="162">
        <f t="shared" si="10"/>
        <v>2</v>
      </c>
      <c r="AG21" s="167">
        <f t="shared" si="11"/>
        <v>16</v>
      </c>
      <c r="AH21" s="165">
        <f t="shared" si="12"/>
        <v>9.6969696969696972</v>
      </c>
      <c r="AI21" s="165">
        <f t="shared" si="13"/>
        <v>6.0572005169180754</v>
      </c>
      <c r="AJ21" s="165">
        <f t="shared" si="14"/>
        <v>15.170677440922217</v>
      </c>
      <c r="AK21" s="167">
        <f t="shared" si="15"/>
        <v>3</v>
      </c>
    </row>
    <row r="22" spans="1:37" x14ac:dyDescent="0.2">
      <c r="A22" s="62" t="s">
        <v>45</v>
      </c>
      <c r="B22" s="62" t="s">
        <v>67</v>
      </c>
      <c r="C22" s="62" t="s">
        <v>163</v>
      </c>
      <c r="D22" s="62"/>
      <c r="E22" s="62">
        <f t="shared" si="2"/>
        <v>8</v>
      </c>
      <c r="F22" s="128">
        <v>45</v>
      </c>
      <c r="G22" s="129">
        <v>21.226415094339622</v>
      </c>
      <c r="H22" s="129">
        <v>16.259349361356946</v>
      </c>
      <c r="I22" s="129">
        <v>27.217682036327869</v>
      </c>
      <c r="J22" s="129"/>
      <c r="K22" s="129"/>
      <c r="L22" s="129"/>
      <c r="M22" s="60">
        <f t="shared" si="0"/>
        <v>5</v>
      </c>
      <c r="N22" s="61">
        <f t="shared" si="3"/>
        <v>6.1224489795918364</v>
      </c>
      <c r="O22" s="61">
        <f t="shared" si="16"/>
        <v>19.347319347319345</v>
      </c>
      <c r="P22" s="129">
        <f t="shared" si="4"/>
        <v>25.308531568592382</v>
      </c>
      <c r="Q22" s="129">
        <f t="shared" si="5"/>
        <v>24.186097930935482</v>
      </c>
      <c r="R22" s="129">
        <f t="shared" si="6"/>
        <v>26.464871889718271</v>
      </c>
      <c r="S22" s="61">
        <f t="shared" si="7"/>
        <v>30.375426621160408</v>
      </c>
      <c r="T22" s="61">
        <f t="shared" si="1"/>
        <v>37.878787878787875</v>
      </c>
      <c r="U22" s="61">
        <f>VLOOKUP(C22,$C$43:$I$46,5,FALSE)</f>
        <v>23.825363825363823</v>
      </c>
      <c r="V22" s="61"/>
      <c r="Y22" s="162" t="s">
        <v>54</v>
      </c>
      <c r="Z22" s="162" t="s">
        <v>73</v>
      </c>
      <c r="AA22" s="162" t="s">
        <v>201</v>
      </c>
      <c r="AB22" s="162">
        <f t="shared" si="21"/>
        <v>1</v>
      </c>
      <c r="AC22" s="165">
        <f t="shared" si="19"/>
        <v>6.1224489795918364</v>
      </c>
      <c r="AD22" s="165">
        <f t="shared" si="20"/>
        <v>36.551724137931039</v>
      </c>
      <c r="AE22" s="162"/>
      <c r="AF22" s="162">
        <f t="shared" si="10"/>
        <v>1</v>
      </c>
      <c r="AG22" s="167" t="str">
        <f t="shared" si="11"/>
        <v>N/A</v>
      </c>
      <c r="AH22" s="165">
        <f t="shared" si="12"/>
        <v>6.1224489795918364</v>
      </c>
      <c r="AI22" s="165">
        <f t="shared" si="13"/>
        <v>2.8359323681385677</v>
      </c>
      <c r="AJ22" s="165">
        <f t="shared" si="14"/>
        <v>12.719087173151769</v>
      </c>
      <c r="AK22" s="167">
        <f t="shared" si="15"/>
        <v>3</v>
      </c>
    </row>
    <row r="23" spans="1:37" x14ac:dyDescent="0.2">
      <c r="A23" s="62" t="s">
        <v>46</v>
      </c>
      <c r="B23" s="62" t="s">
        <v>68</v>
      </c>
      <c r="C23" s="62" t="s">
        <v>163</v>
      </c>
      <c r="D23" s="62"/>
      <c r="E23" s="62">
        <f t="shared" si="2"/>
        <v>13</v>
      </c>
      <c r="F23" s="128">
        <v>77</v>
      </c>
      <c r="G23" s="129">
        <v>25.838926174496645</v>
      </c>
      <c r="H23" s="129">
        <v>21.198481210887316</v>
      </c>
      <c r="I23" s="129">
        <v>31.094354716087931</v>
      </c>
      <c r="J23" s="129"/>
      <c r="K23" s="129"/>
      <c r="L23" s="129"/>
      <c r="M23" s="60">
        <f t="shared" si="0"/>
        <v>5</v>
      </c>
      <c r="N23" s="61">
        <f t="shared" si="3"/>
        <v>6.1224489795918364</v>
      </c>
      <c r="O23" s="61">
        <f t="shared" si="16"/>
        <v>19.347319347319345</v>
      </c>
      <c r="P23" s="129">
        <f t="shared" si="4"/>
        <v>25.308531568592382</v>
      </c>
      <c r="Q23" s="129">
        <f t="shared" si="5"/>
        <v>24.186097930935482</v>
      </c>
      <c r="R23" s="129">
        <f t="shared" si="6"/>
        <v>26.464871889718271</v>
      </c>
      <c r="S23" s="61">
        <f t="shared" si="7"/>
        <v>30.375426621160408</v>
      </c>
      <c r="T23" s="61">
        <f t="shared" si="1"/>
        <v>37.878787878787875</v>
      </c>
      <c r="U23" s="61">
        <f t="shared" si="17"/>
        <v>23.825363825363823</v>
      </c>
      <c r="V23" s="61"/>
      <c r="Y23" s="163" t="s">
        <v>30</v>
      </c>
      <c r="Z23" s="163" t="s">
        <v>56</v>
      </c>
      <c r="AA23" s="163" t="s">
        <v>200</v>
      </c>
      <c r="AB23" s="163">
        <f>RANK(AH23,$AH$23:$AH$31,1)</f>
        <v>4</v>
      </c>
      <c r="AC23" s="166">
        <f>MIN($AH$23:$AH$31)</f>
        <v>11.467889908256879</v>
      </c>
      <c r="AD23" s="166">
        <f>MAX($AH$23:$AH$31)</f>
        <v>37.878787878787875</v>
      </c>
      <c r="AE23" s="163"/>
      <c r="AF23" s="163">
        <f t="shared" si="10"/>
        <v>18</v>
      </c>
      <c r="AG23" s="168">
        <f t="shared" si="11"/>
        <v>90</v>
      </c>
      <c r="AH23" s="166">
        <f t="shared" si="12"/>
        <v>29.702970297029704</v>
      </c>
      <c r="AI23" s="166">
        <f t="shared" si="13"/>
        <v>24.837957328751411</v>
      </c>
      <c r="AJ23" s="166">
        <f t="shared" si="14"/>
        <v>35.07619492670495</v>
      </c>
      <c r="AK23" s="168">
        <f t="shared" si="15"/>
        <v>5</v>
      </c>
    </row>
    <row r="24" spans="1:37" x14ac:dyDescent="0.2">
      <c r="A24" s="62" t="s">
        <v>47</v>
      </c>
      <c r="B24" s="62" t="s">
        <v>69</v>
      </c>
      <c r="C24" s="62" t="s">
        <v>163</v>
      </c>
      <c r="D24" s="62"/>
      <c r="E24" s="62">
        <f t="shared" si="2"/>
        <v>11</v>
      </c>
      <c r="F24" s="128">
        <v>22</v>
      </c>
      <c r="G24" s="129">
        <v>25.581395348837209</v>
      </c>
      <c r="H24" s="129">
        <v>17.543075268015517</v>
      </c>
      <c r="I24" s="129">
        <v>35.707906459892818</v>
      </c>
      <c r="J24" s="129"/>
      <c r="K24" s="129"/>
      <c r="L24" s="129"/>
      <c r="M24" s="60">
        <f t="shared" si="0"/>
        <v>5</v>
      </c>
      <c r="N24" s="61">
        <f t="shared" si="3"/>
        <v>6.1224489795918364</v>
      </c>
      <c r="O24" s="61">
        <f t="shared" si="16"/>
        <v>19.347319347319345</v>
      </c>
      <c r="P24" s="129">
        <f t="shared" si="4"/>
        <v>25.308531568592382</v>
      </c>
      <c r="Q24" s="129">
        <f t="shared" si="5"/>
        <v>24.186097930935482</v>
      </c>
      <c r="R24" s="129">
        <f t="shared" si="6"/>
        <v>26.464871889718271</v>
      </c>
      <c r="S24" s="61">
        <f t="shared" si="7"/>
        <v>30.375426621160408</v>
      </c>
      <c r="T24" s="61">
        <f t="shared" si="1"/>
        <v>37.878787878787875</v>
      </c>
      <c r="U24" s="61">
        <f t="shared" si="17"/>
        <v>23.825363825363823</v>
      </c>
      <c r="V24" s="61"/>
      <c r="Y24" s="163" t="s">
        <v>31</v>
      </c>
      <c r="Z24" s="163" t="s">
        <v>57</v>
      </c>
      <c r="AA24" s="163" t="s">
        <v>200</v>
      </c>
      <c r="AB24" s="163">
        <f t="shared" ref="AB24:AB31" si="22">RANK(AH24,$AH$23:$AH$31,1)</f>
        <v>7</v>
      </c>
      <c r="AC24" s="166">
        <f t="shared" ref="AC24:AC31" si="23">MIN($AH$23:$AH$31)</f>
        <v>11.467889908256879</v>
      </c>
      <c r="AD24" s="166">
        <f t="shared" ref="AD24:AD31" si="24">MAX($AH$23:$AH$31)</f>
        <v>37.878787878787875</v>
      </c>
      <c r="AE24" s="163"/>
      <c r="AF24" s="163">
        <f t="shared" si="10"/>
        <v>22</v>
      </c>
      <c r="AG24" s="168">
        <f t="shared" si="11"/>
        <v>105</v>
      </c>
      <c r="AH24" s="166">
        <f t="shared" si="12"/>
        <v>33.980582524271846</v>
      </c>
      <c r="AI24" s="166">
        <f t="shared" si="13"/>
        <v>28.925080067597253</v>
      </c>
      <c r="AJ24" s="166">
        <f t="shared" si="14"/>
        <v>39.42949787958522</v>
      </c>
      <c r="AK24" s="168">
        <f t="shared" si="15"/>
        <v>4</v>
      </c>
    </row>
    <row r="25" spans="1:37" x14ac:dyDescent="0.2">
      <c r="A25" s="62" t="s">
        <v>48</v>
      </c>
      <c r="B25" s="62" t="s">
        <v>160</v>
      </c>
      <c r="C25" s="62" t="s">
        <v>201</v>
      </c>
      <c r="D25" s="62"/>
      <c r="E25" s="62">
        <f t="shared" si="2"/>
        <v>14</v>
      </c>
      <c r="F25" s="128">
        <v>26</v>
      </c>
      <c r="G25" s="129">
        <v>28.571428571428569</v>
      </c>
      <c r="H25" s="129">
        <v>20.306214476044961</v>
      </c>
      <c r="I25" s="129">
        <v>38.57252854947847</v>
      </c>
      <c r="J25" s="129"/>
      <c r="K25" s="129"/>
      <c r="L25" s="129"/>
      <c r="M25" s="60">
        <f t="shared" si="0"/>
        <v>5</v>
      </c>
      <c r="N25" s="61">
        <f t="shared" si="3"/>
        <v>6.1224489795918364</v>
      </c>
      <c r="O25" s="61">
        <f t="shared" si="16"/>
        <v>19.347319347319345</v>
      </c>
      <c r="P25" s="129">
        <f t="shared" si="4"/>
        <v>25.308531568592382</v>
      </c>
      <c r="Q25" s="129">
        <f t="shared" si="5"/>
        <v>24.186097930935482</v>
      </c>
      <c r="R25" s="129">
        <f t="shared" si="6"/>
        <v>26.464871889718271</v>
      </c>
      <c r="S25" s="61">
        <f t="shared" si="7"/>
        <v>30.375426621160408</v>
      </c>
      <c r="T25" s="61">
        <f t="shared" si="1"/>
        <v>37.878787878787875</v>
      </c>
      <c r="U25" s="61">
        <f t="shared" si="17"/>
        <v>24.080749819754868</v>
      </c>
      <c r="V25" s="61"/>
      <c r="Y25" s="163" t="s">
        <v>34</v>
      </c>
      <c r="Z25" s="163" t="s">
        <v>59</v>
      </c>
      <c r="AA25" s="163" t="s">
        <v>200</v>
      </c>
      <c r="AB25" s="163">
        <f t="shared" si="22"/>
        <v>6</v>
      </c>
      <c r="AC25" s="166">
        <f t="shared" si="23"/>
        <v>11.467889908256879</v>
      </c>
      <c r="AD25" s="166">
        <f t="shared" si="24"/>
        <v>37.878787878787875</v>
      </c>
      <c r="AE25" s="163"/>
      <c r="AF25" s="163">
        <f t="shared" si="10"/>
        <v>20</v>
      </c>
      <c r="AG25" s="168">
        <f t="shared" si="11"/>
        <v>89</v>
      </c>
      <c r="AH25" s="166">
        <f t="shared" si="12"/>
        <v>30.375426621160408</v>
      </c>
      <c r="AI25" s="166">
        <f t="shared" si="13"/>
        <v>25.391705056737429</v>
      </c>
      <c r="AJ25" s="166">
        <f t="shared" si="14"/>
        <v>35.867075823508387</v>
      </c>
      <c r="AK25" s="168">
        <f t="shared" si="15"/>
        <v>5</v>
      </c>
    </row>
    <row r="26" spans="1:37" x14ac:dyDescent="0.2">
      <c r="A26" s="62" t="s">
        <v>49</v>
      </c>
      <c r="B26" s="62" t="s">
        <v>70</v>
      </c>
      <c r="C26" s="62" t="s">
        <v>200</v>
      </c>
      <c r="D26" s="62"/>
      <c r="E26" s="62">
        <f t="shared" si="2"/>
        <v>9</v>
      </c>
      <c r="F26" s="128">
        <v>34</v>
      </c>
      <c r="G26" s="129">
        <v>22.516556291390728</v>
      </c>
      <c r="H26" s="129">
        <v>16.58415443311959</v>
      </c>
      <c r="I26" s="129">
        <v>29.812630619058382</v>
      </c>
      <c r="J26" s="129"/>
      <c r="K26" s="129"/>
      <c r="L26" s="129"/>
      <c r="M26" s="60">
        <f t="shared" si="0"/>
        <v>5</v>
      </c>
      <c r="N26" s="61">
        <f t="shared" si="3"/>
        <v>6.1224489795918364</v>
      </c>
      <c r="O26" s="61">
        <f t="shared" si="16"/>
        <v>19.347319347319345</v>
      </c>
      <c r="P26" s="129">
        <f t="shared" si="4"/>
        <v>25.308531568592382</v>
      </c>
      <c r="Q26" s="129">
        <f t="shared" si="5"/>
        <v>24.186097930935482</v>
      </c>
      <c r="R26" s="129">
        <f t="shared" si="6"/>
        <v>26.464871889718271</v>
      </c>
      <c r="S26" s="61">
        <f t="shared" si="7"/>
        <v>30.375426621160408</v>
      </c>
      <c r="T26" s="61">
        <f t="shared" si="1"/>
        <v>37.878787878787875</v>
      </c>
      <c r="U26" s="61">
        <f t="shared" si="17"/>
        <v>28.237909949972209</v>
      </c>
      <c r="V26" s="61"/>
      <c r="Y26" s="163" t="s">
        <v>39</v>
      </c>
      <c r="Z26" s="163" t="s">
        <v>158</v>
      </c>
      <c r="AA26" s="163" t="s">
        <v>200</v>
      </c>
      <c r="AB26" s="163">
        <f t="shared" si="22"/>
        <v>5</v>
      </c>
      <c r="AC26" s="166">
        <f t="shared" si="23"/>
        <v>11.467889908256879</v>
      </c>
      <c r="AD26" s="166">
        <f t="shared" si="24"/>
        <v>37.878787878787875</v>
      </c>
      <c r="AE26" s="163"/>
      <c r="AF26" s="163">
        <f t="shared" si="10"/>
        <v>19</v>
      </c>
      <c r="AG26" s="168">
        <f t="shared" si="11"/>
        <v>68</v>
      </c>
      <c r="AH26" s="166">
        <f t="shared" si="12"/>
        <v>29.955947136563875</v>
      </c>
      <c r="AI26" s="166">
        <f t="shared" si="13"/>
        <v>24.371036401352768</v>
      </c>
      <c r="AJ26" s="166">
        <f t="shared" si="14"/>
        <v>36.207968572496334</v>
      </c>
      <c r="AK26" s="168">
        <f t="shared" si="15"/>
        <v>5</v>
      </c>
    </row>
    <row r="27" spans="1:37" x14ac:dyDescent="0.2">
      <c r="A27" s="62" t="s">
        <v>50</v>
      </c>
      <c r="B27" s="62" t="s">
        <v>161</v>
      </c>
      <c r="C27" s="62" t="s">
        <v>163</v>
      </c>
      <c r="D27" s="62"/>
      <c r="E27" s="62">
        <f t="shared" si="2"/>
        <v>6</v>
      </c>
      <c r="F27" s="128">
        <v>31</v>
      </c>
      <c r="G27" s="129">
        <v>17.127071823204421</v>
      </c>
      <c r="H27" s="129">
        <v>12.33624633501578</v>
      </c>
      <c r="I27" s="129">
        <v>23.28425744198794</v>
      </c>
      <c r="J27" s="129"/>
      <c r="K27" s="129"/>
      <c r="L27" s="129"/>
      <c r="M27" s="60">
        <f t="shared" si="0"/>
        <v>3</v>
      </c>
      <c r="N27" s="61">
        <f t="shared" si="3"/>
        <v>6.1224489795918364</v>
      </c>
      <c r="O27" s="61">
        <f t="shared" si="16"/>
        <v>19.347319347319345</v>
      </c>
      <c r="P27" s="129">
        <f t="shared" si="4"/>
        <v>25.308531568592382</v>
      </c>
      <c r="Q27" s="129">
        <f t="shared" si="5"/>
        <v>24.186097930935482</v>
      </c>
      <c r="R27" s="129">
        <f t="shared" si="6"/>
        <v>26.464871889718271</v>
      </c>
      <c r="S27" s="61">
        <f t="shared" si="7"/>
        <v>30.375426621160408</v>
      </c>
      <c r="T27" s="61">
        <f t="shared" si="1"/>
        <v>37.878787878787875</v>
      </c>
      <c r="U27" s="61">
        <f t="shared" si="17"/>
        <v>23.825363825363823</v>
      </c>
      <c r="V27" s="61"/>
      <c r="Y27" s="163" t="s">
        <v>40</v>
      </c>
      <c r="Z27" s="163" t="s">
        <v>63</v>
      </c>
      <c r="AA27" s="163" t="s">
        <v>200</v>
      </c>
      <c r="AB27" s="163">
        <f t="shared" si="22"/>
        <v>3</v>
      </c>
      <c r="AC27" s="166">
        <f t="shared" si="23"/>
        <v>11.467889908256879</v>
      </c>
      <c r="AD27" s="166">
        <f t="shared" si="24"/>
        <v>37.878787878787875</v>
      </c>
      <c r="AE27" s="163"/>
      <c r="AF27" s="163">
        <f t="shared" si="10"/>
        <v>17</v>
      </c>
      <c r="AG27" s="168">
        <f t="shared" si="11"/>
        <v>49</v>
      </c>
      <c r="AH27" s="166">
        <f t="shared" si="12"/>
        <v>29.696969696969699</v>
      </c>
      <c r="AI27" s="166">
        <f t="shared" si="13"/>
        <v>23.251337813475736</v>
      </c>
      <c r="AJ27" s="166">
        <f t="shared" si="14"/>
        <v>37.066465368293436</v>
      </c>
      <c r="AK27" s="168">
        <f t="shared" si="15"/>
        <v>5</v>
      </c>
    </row>
    <row r="28" spans="1:37" x14ac:dyDescent="0.2">
      <c r="A28" s="62" t="s">
        <v>51</v>
      </c>
      <c r="B28" s="62" t="s">
        <v>71</v>
      </c>
      <c r="C28" s="62" t="s">
        <v>200</v>
      </c>
      <c r="D28" s="62"/>
      <c r="E28" s="62">
        <f t="shared" si="2"/>
        <v>23</v>
      </c>
      <c r="F28" s="128">
        <v>23</v>
      </c>
      <c r="G28" s="129">
        <v>34.328358208955223</v>
      </c>
      <c r="H28" s="129">
        <v>24.089006272762916</v>
      </c>
      <c r="I28" s="129">
        <v>46.267335409651011</v>
      </c>
      <c r="J28" s="129"/>
      <c r="K28" s="129"/>
      <c r="L28" s="129"/>
      <c r="M28" s="60">
        <f t="shared" si="0"/>
        <v>5</v>
      </c>
      <c r="N28" s="61">
        <f t="shared" si="3"/>
        <v>6.1224489795918364</v>
      </c>
      <c r="O28" s="61">
        <f t="shared" si="16"/>
        <v>19.347319347319345</v>
      </c>
      <c r="P28" s="129">
        <f t="shared" si="4"/>
        <v>25.308531568592382</v>
      </c>
      <c r="Q28" s="129">
        <f t="shared" si="5"/>
        <v>24.186097930935482</v>
      </c>
      <c r="R28" s="129">
        <f t="shared" si="6"/>
        <v>26.464871889718271</v>
      </c>
      <c r="S28" s="61">
        <f t="shared" si="7"/>
        <v>30.375426621160408</v>
      </c>
      <c r="T28" s="61">
        <f t="shared" si="1"/>
        <v>37.878787878787875</v>
      </c>
      <c r="U28" s="61">
        <f t="shared" si="17"/>
        <v>28.237909949972209</v>
      </c>
      <c r="V28" s="61"/>
      <c r="Y28" s="163" t="s">
        <v>42</v>
      </c>
      <c r="Z28" s="163" t="s">
        <v>65</v>
      </c>
      <c r="AA28" s="163" t="s">
        <v>200</v>
      </c>
      <c r="AB28" s="163">
        <f t="shared" si="22"/>
        <v>9</v>
      </c>
      <c r="AC28" s="166">
        <f t="shared" si="23"/>
        <v>11.467889908256879</v>
      </c>
      <c r="AD28" s="166">
        <f t="shared" si="24"/>
        <v>37.878787878787875</v>
      </c>
      <c r="AE28" s="163"/>
      <c r="AF28" s="163">
        <f t="shared" si="10"/>
        <v>26</v>
      </c>
      <c r="AG28" s="168">
        <f t="shared" si="11"/>
        <v>25</v>
      </c>
      <c r="AH28" s="166">
        <f t="shared" si="12"/>
        <v>37.878787878787875</v>
      </c>
      <c r="AI28" s="166">
        <f t="shared" si="13"/>
        <v>27.149446993737943</v>
      </c>
      <c r="AJ28" s="166">
        <f t="shared" si="14"/>
        <v>49.941524085378198</v>
      </c>
      <c r="AK28" s="168">
        <f t="shared" si="15"/>
        <v>4</v>
      </c>
    </row>
    <row r="29" spans="1:37" x14ac:dyDescent="0.2">
      <c r="A29" s="62" t="s">
        <v>52</v>
      </c>
      <c r="B29" s="62" t="s">
        <v>72</v>
      </c>
      <c r="C29" s="62" t="s">
        <v>201</v>
      </c>
      <c r="D29" s="62"/>
      <c r="E29" s="62">
        <f t="shared" si="2"/>
        <v>2</v>
      </c>
      <c r="F29" s="128">
        <v>16</v>
      </c>
      <c r="G29" s="129">
        <v>9.6969696969696972</v>
      </c>
      <c r="H29" s="129">
        <v>6.0572005169180754</v>
      </c>
      <c r="I29" s="129">
        <v>15.170677440922217</v>
      </c>
      <c r="J29" s="129"/>
      <c r="K29" s="129"/>
      <c r="L29" s="129"/>
      <c r="M29" s="60">
        <f t="shared" si="0"/>
        <v>3</v>
      </c>
      <c r="N29" s="61">
        <f t="shared" si="3"/>
        <v>6.1224489795918364</v>
      </c>
      <c r="O29" s="61">
        <f t="shared" si="16"/>
        <v>19.347319347319345</v>
      </c>
      <c r="P29" s="129">
        <f t="shared" si="4"/>
        <v>25.308531568592382</v>
      </c>
      <c r="Q29" s="129">
        <f t="shared" si="5"/>
        <v>24.186097930935482</v>
      </c>
      <c r="R29" s="129">
        <f t="shared" si="6"/>
        <v>26.464871889718271</v>
      </c>
      <c r="S29" s="61">
        <f t="shared" si="7"/>
        <v>30.375426621160408</v>
      </c>
      <c r="T29" s="61">
        <f t="shared" si="1"/>
        <v>37.878787878787875</v>
      </c>
      <c r="U29" s="61">
        <f t="shared" si="17"/>
        <v>24.080749819754868</v>
      </c>
      <c r="V29" s="61"/>
      <c r="Y29" s="163" t="s">
        <v>44</v>
      </c>
      <c r="Z29" s="163" t="s">
        <v>66</v>
      </c>
      <c r="AA29" s="163" t="s">
        <v>200</v>
      </c>
      <c r="AB29" s="163">
        <f t="shared" si="22"/>
        <v>1</v>
      </c>
      <c r="AC29" s="166">
        <f t="shared" si="23"/>
        <v>11.467889908256879</v>
      </c>
      <c r="AD29" s="166">
        <f t="shared" si="24"/>
        <v>37.878787878787875</v>
      </c>
      <c r="AE29" s="163"/>
      <c r="AF29" s="163">
        <f t="shared" si="10"/>
        <v>3</v>
      </c>
      <c r="AG29" s="168">
        <f t="shared" si="11"/>
        <v>25</v>
      </c>
      <c r="AH29" s="166">
        <f t="shared" si="12"/>
        <v>11.467889908256879</v>
      </c>
      <c r="AI29" s="166">
        <f t="shared" si="13"/>
        <v>7.8894215592546599</v>
      </c>
      <c r="AJ29" s="166">
        <f t="shared" si="14"/>
        <v>16.380820399536322</v>
      </c>
      <c r="AK29" s="168">
        <f t="shared" si="15"/>
        <v>3</v>
      </c>
    </row>
    <row r="30" spans="1:37" x14ac:dyDescent="0.2">
      <c r="A30" s="62" t="s">
        <v>53</v>
      </c>
      <c r="B30" s="62" t="s">
        <v>162</v>
      </c>
      <c r="C30" s="62" t="s">
        <v>163</v>
      </c>
      <c r="D30" s="62"/>
      <c r="E30" s="62">
        <f t="shared" si="2"/>
        <v>12</v>
      </c>
      <c r="F30" s="128">
        <v>147</v>
      </c>
      <c r="G30" s="129">
        <v>25.6993006993007</v>
      </c>
      <c r="H30" s="129">
        <v>22.288672771843846</v>
      </c>
      <c r="I30" s="129">
        <v>29.434150282728229</v>
      </c>
      <c r="J30" s="129"/>
      <c r="K30" s="129"/>
      <c r="L30" s="129"/>
      <c r="M30" s="60">
        <f t="shared" si="0"/>
        <v>5</v>
      </c>
      <c r="N30" s="61">
        <f t="shared" si="3"/>
        <v>6.1224489795918364</v>
      </c>
      <c r="O30" s="61">
        <f t="shared" si="16"/>
        <v>19.347319347319345</v>
      </c>
      <c r="P30" s="129">
        <f>$G$32</f>
        <v>25.308531568592382</v>
      </c>
      <c r="Q30" s="129">
        <f t="shared" si="5"/>
        <v>24.186097930935482</v>
      </c>
      <c r="R30" s="129">
        <f t="shared" si="6"/>
        <v>26.464871889718271</v>
      </c>
      <c r="S30" s="61">
        <f t="shared" si="7"/>
        <v>30.375426621160408</v>
      </c>
      <c r="T30" s="61">
        <f t="shared" si="1"/>
        <v>37.878787878787875</v>
      </c>
      <c r="U30" s="61">
        <f t="shared" si="17"/>
        <v>23.825363825363823</v>
      </c>
      <c r="V30" s="61"/>
      <c r="Y30" s="163" t="s">
        <v>49</v>
      </c>
      <c r="Z30" s="163" t="s">
        <v>70</v>
      </c>
      <c r="AA30" s="163" t="s">
        <v>200</v>
      </c>
      <c r="AB30" s="163">
        <f t="shared" si="22"/>
        <v>2</v>
      </c>
      <c r="AC30" s="166">
        <f t="shared" si="23"/>
        <v>11.467889908256879</v>
      </c>
      <c r="AD30" s="166">
        <f t="shared" si="24"/>
        <v>37.878787878787875</v>
      </c>
      <c r="AE30" s="163"/>
      <c r="AF30" s="163">
        <f t="shared" si="10"/>
        <v>9</v>
      </c>
      <c r="AG30" s="168">
        <f t="shared" si="11"/>
        <v>34</v>
      </c>
      <c r="AH30" s="166">
        <f t="shared" si="12"/>
        <v>22.516556291390728</v>
      </c>
      <c r="AI30" s="166">
        <f t="shared" si="13"/>
        <v>16.58415443311959</v>
      </c>
      <c r="AJ30" s="166">
        <f t="shared" si="14"/>
        <v>29.812630619058382</v>
      </c>
      <c r="AK30" s="168">
        <f t="shared" si="15"/>
        <v>5</v>
      </c>
    </row>
    <row r="31" spans="1:37" x14ac:dyDescent="0.2">
      <c r="A31" s="62" t="s">
        <v>54</v>
      </c>
      <c r="B31" s="62" t="s">
        <v>73</v>
      </c>
      <c r="C31" s="62" t="s">
        <v>201</v>
      </c>
      <c r="D31" s="62"/>
      <c r="E31" s="62">
        <f t="shared" si="2"/>
        <v>1</v>
      </c>
      <c r="F31" s="128" t="s">
        <v>79</v>
      </c>
      <c r="G31" s="129">
        <v>6.1224489795918364</v>
      </c>
      <c r="H31" s="129">
        <v>2.8359323681385677</v>
      </c>
      <c r="I31" s="129">
        <v>12.719087173151769</v>
      </c>
      <c r="J31" s="129"/>
      <c r="K31" s="129"/>
      <c r="L31" s="129"/>
      <c r="M31" s="60">
        <f t="shared" si="0"/>
        <v>3</v>
      </c>
      <c r="N31" s="61">
        <f t="shared" si="3"/>
        <v>6.1224489795918364</v>
      </c>
      <c r="O31" s="61">
        <f t="shared" si="16"/>
        <v>19.347319347319345</v>
      </c>
      <c r="P31" s="129">
        <f t="shared" si="4"/>
        <v>25.308531568592382</v>
      </c>
      <c r="Q31" s="129">
        <f t="shared" si="5"/>
        <v>24.186097930935482</v>
      </c>
      <c r="R31" s="129">
        <f t="shared" si="6"/>
        <v>26.464871889718271</v>
      </c>
      <c r="S31" s="61">
        <f t="shared" si="7"/>
        <v>30.375426621160408</v>
      </c>
      <c r="T31" s="61">
        <f t="shared" si="1"/>
        <v>37.878787878787875</v>
      </c>
      <c r="U31" s="61">
        <f t="shared" si="17"/>
        <v>24.080749819754868</v>
      </c>
      <c r="V31" s="61"/>
      <c r="Y31" s="163" t="s">
        <v>51</v>
      </c>
      <c r="Z31" s="163" t="s">
        <v>71</v>
      </c>
      <c r="AA31" s="163" t="s">
        <v>200</v>
      </c>
      <c r="AB31" s="163">
        <f t="shared" si="22"/>
        <v>8</v>
      </c>
      <c r="AC31" s="166">
        <f t="shared" si="23"/>
        <v>11.467889908256879</v>
      </c>
      <c r="AD31" s="166">
        <f t="shared" si="24"/>
        <v>37.878787878787875</v>
      </c>
      <c r="AE31" s="163"/>
      <c r="AF31" s="163">
        <f t="shared" si="10"/>
        <v>23</v>
      </c>
      <c r="AG31" s="168">
        <f t="shared" si="11"/>
        <v>23</v>
      </c>
      <c r="AH31" s="166">
        <f t="shared" si="12"/>
        <v>34.328358208955223</v>
      </c>
      <c r="AI31" s="166">
        <f t="shared" si="13"/>
        <v>24.089006272762916</v>
      </c>
      <c r="AJ31" s="166">
        <f t="shared" si="14"/>
        <v>46.267335409651011</v>
      </c>
      <c r="AK31" s="168">
        <f t="shared" si="15"/>
        <v>5</v>
      </c>
    </row>
    <row r="32" spans="1:37" x14ac:dyDescent="0.2">
      <c r="A32" s="62"/>
      <c r="B32" s="62" t="s">
        <v>171</v>
      </c>
      <c r="C32" s="62"/>
      <c r="D32" s="62"/>
      <c r="E32" s="62"/>
      <c r="F32" s="128">
        <v>1415</v>
      </c>
      <c r="G32" s="129">
        <v>25.308531568592382</v>
      </c>
      <c r="H32" s="129">
        <v>24.186097930935482</v>
      </c>
      <c r="I32" s="129">
        <v>26.464871889718271</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573</v>
      </c>
      <c r="G44" s="129">
        <v>23.825363825363823</v>
      </c>
      <c r="H44" s="129">
        <v>22.165340206785814</v>
      </c>
      <c r="I44" s="129">
        <v>25.568870552922146</v>
      </c>
      <c r="J44" s="129">
        <f>VLOOKUP($C44,$AA$6:$AD$13,3,FALSE)</f>
        <v>17.127071823204421</v>
      </c>
      <c r="K44" s="129">
        <f>VLOOKUP($C44,$AA$6:$AD$13,4,FALSE)</f>
        <v>28.623188405797105</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5</v>
      </c>
      <c r="N44" s="61">
        <f>MIN($G$6:$G$31)</f>
        <v>6.1224489795918364</v>
      </c>
      <c r="O44" s="61">
        <f>VLOOKUP(7,$E$5:$G$39,3,FALSE)</f>
        <v>19.347319347319345</v>
      </c>
      <c r="P44" s="129">
        <f>$G$32</f>
        <v>25.308531568592382</v>
      </c>
      <c r="Q44" s="129">
        <f>$H$32</f>
        <v>24.186097930935482</v>
      </c>
      <c r="R44" s="129">
        <f>$I$32</f>
        <v>26.464871889718271</v>
      </c>
      <c r="S44" s="61">
        <f>VLOOKUP(20,$E$5:$G$39,3,FALSE)</f>
        <v>30.375426621160408</v>
      </c>
      <c r="T44" s="61">
        <f>MAX($G$6:$G$31)</f>
        <v>37.878787878787875</v>
      </c>
    </row>
    <row r="45" spans="1:22" x14ac:dyDescent="0.2">
      <c r="C45" s="62" t="s">
        <v>201</v>
      </c>
      <c r="D45" s="62"/>
      <c r="E45" s="62"/>
      <c r="F45" s="128">
        <v>334</v>
      </c>
      <c r="G45" s="129">
        <v>24.080749819754868</v>
      </c>
      <c r="H45" s="129">
        <v>21.904109101335155</v>
      </c>
      <c r="I45" s="129">
        <v>26.400566788205417</v>
      </c>
      <c r="J45" s="129">
        <f>VLOOKUP($C45,$AA$14:$AD$22,3,FALSE)</f>
        <v>6.1224489795918364</v>
      </c>
      <c r="K45" s="129">
        <f>VLOOKUP($C45,$AA$14:$AD$22,4,FALSE)</f>
        <v>36.551724137931039</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5</v>
      </c>
      <c r="N45" s="61">
        <f>MIN($G$6:$G$31)</f>
        <v>6.1224489795918364</v>
      </c>
      <c r="O45" s="61">
        <f>VLOOKUP(7,$E$5:$G$39,3,FALSE)</f>
        <v>19.347319347319345</v>
      </c>
      <c r="P45" s="129">
        <f>$G$32</f>
        <v>25.308531568592382</v>
      </c>
      <c r="Q45" s="129">
        <f t="shared" ref="Q45:Q46" si="25">$H$32</f>
        <v>24.186097930935482</v>
      </c>
      <c r="R45" s="129">
        <f t="shared" ref="R45:R46" si="26">$I$32</f>
        <v>26.464871889718271</v>
      </c>
      <c r="S45" s="61">
        <f>VLOOKUP(20,$E$5:$G$39,3,FALSE)</f>
        <v>30.375426621160408</v>
      </c>
      <c r="T45" s="61">
        <f t="shared" ref="T45:T46" si="27">MAX($G$6:$G$31)</f>
        <v>37.878787878787875</v>
      </c>
    </row>
    <row r="46" spans="1:22" x14ac:dyDescent="0.2">
      <c r="C46" s="62" t="s">
        <v>200</v>
      </c>
      <c r="D46" s="62"/>
      <c r="E46" s="62"/>
      <c r="F46" s="128">
        <v>508</v>
      </c>
      <c r="G46" s="129">
        <v>28.237909949972209</v>
      </c>
      <c r="H46" s="129">
        <v>26.205822219403132</v>
      </c>
      <c r="I46" s="129">
        <v>30.362738140186696</v>
      </c>
      <c r="J46" s="129">
        <f>VLOOKUP($C46,$AA$23:$AD$31,3,FALSE)</f>
        <v>11.467889908256879</v>
      </c>
      <c r="K46" s="129">
        <f>VLOOKUP($C46,$AA$23:$AD$31,4,FALSE)</f>
        <v>37.878787878787875</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5</v>
      </c>
      <c r="N46" s="61">
        <f>MIN($G$6:$G$31)</f>
        <v>6.1224489795918364</v>
      </c>
      <c r="O46" s="61">
        <f>VLOOKUP(7,$E$5:$G$39,3,FALSE)</f>
        <v>19.347319347319345</v>
      </c>
      <c r="P46" s="129">
        <f t="shared" ref="P46" si="28">$G$32</f>
        <v>25.308531568592382</v>
      </c>
      <c r="Q46" s="129">
        <f t="shared" si="25"/>
        <v>24.186097930935482</v>
      </c>
      <c r="R46" s="129">
        <f t="shared" si="26"/>
        <v>26.464871889718271</v>
      </c>
      <c r="S46" s="61">
        <f>VLOOKUP(20,$E$5:$G$39,3,FALSE)</f>
        <v>30.375426621160408</v>
      </c>
      <c r="T46" s="61">
        <f t="shared" si="27"/>
        <v>37.878787878787875</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K2:N2" xr:uid="{00000000-0002-0000-4200-000000000000}">
      <formula1>"High = Worst,Low = Worst"</formula1>
    </dataValidation>
    <dataValidation type="list" allowBlank="1" showInputMessage="1" showErrorMessage="1" sqref="C2:D2" xr:uid="{00000000-0002-0000-4200-000001000000}">
      <formula1>"Better / Worse,Higher / Lower,Significance not measured"</formula1>
    </dataValidation>
  </dataValidations>
  <pageMargins left="0.75" right="0.75" top="1" bottom="1" header="0.5" footer="0.5"/>
  <pageSetup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3">
    <tabColor theme="6" tint="0.39997558519241921"/>
  </sheetPr>
  <dimension ref="A1:AK57"/>
  <sheetViews>
    <sheetView workbookViewId="0">
      <selection activeCell="D94" sqref="D94"/>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8" width="7.33203125" style="21" customWidth="1"/>
    <col min="9" max="9" width="6.886718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5.554687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4</v>
      </c>
      <c r="F6" s="128" t="s">
        <v>79</v>
      </c>
      <c r="G6" s="129">
        <v>1.7703591299949419</v>
      </c>
      <c r="H6" s="129">
        <v>1.6034185673009844</v>
      </c>
      <c r="I6" s="129">
        <v>1.9543355558475504</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2</v>
      </c>
      <c r="N6" s="61">
        <f>MIN($G$6:$G$32)</f>
        <v>1.5315170078994036</v>
      </c>
      <c r="O6" s="61">
        <f>VLOOKUP(7,$E$5:$G$39,3,FALSE)</f>
        <v>1.9610040340654415</v>
      </c>
      <c r="P6" s="129">
        <f>$G$32</f>
        <v>2.9116025921911395</v>
      </c>
      <c r="Q6" s="129">
        <f>$H$32</f>
        <v>2.8335136828969896</v>
      </c>
      <c r="R6" s="129">
        <f>$I$32</f>
        <v>2.9917772944020906</v>
      </c>
      <c r="S6" s="61">
        <f>VLOOKUP(20,$E$5:$G$39,3,FALSE)</f>
        <v>3.3333333333333335</v>
      </c>
      <c r="T6" s="61">
        <f t="shared" ref="T6:T31" si="1">MAX($G$6:$G$31)</f>
        <v>4.3053960964408731</v>
      </c>
      <c r="U6" s="61">
        <f>VLOOKUP(C6,$C$43:$I$46,5,FALSE)</f>
        <v>2.4674384949348771</v>
      </c>
      <c r="V6" s="61"/>
      <c r="Y6" s="159" t="s">
        <v>33</v>
      </c>
      <c r="Z6" s="159" t="s">
        <v>58</v>
      </c>
      <c r="AA6" s="159" t="s">
        <v>163</v>
      </c>
      <c r="AB6" s="159">
        <f>RANK(AH6,$AH$6:$AH$13,1)</f>
        <v>6</v>
      </c>
      <c r="AC6" s="164">
        <f>MIN($AH$6:$AH$13)</f>
        <v>2.5936599423631126</v>
      </c>
      <c r="AD6" s="164">
        <f>MAX($AH$6:$AH$13)</f>
        <v>4.3053960964408731</v>
      </c>
      <c r="AE6" s="159"/>
      <c r="AF6" s="159">
        <f>VLOOKUP($Y6,$A$6:$I$31,5,FALSE)</f>
        <v>22</v>
      </c>
      <c r="AG6" s="160" t="str">
        <f>VLOOKUP($Y6,$A$6:$I$31,6,FALSE)</f>
        <v>N/A</v>
      </c>
      <c r="AH6" s="161">
        <f>VLOOKUP($Y6,$A$6:$I$31,7,FALSE)</f>
        <v>3.4373347435219457</v>
      </c>
      <c r="AI6" s="161">
        <f>VLOOKUP($Y6,$A$6:$I$31,8,FALSE)</f>
        <v>3.2538741914218412</v>
      </c>
      <c r="AJ6" s="161">
        <f>VLOOKUP($Y6,$A$6:$I$31,9,FALSE)</f>
        <v>3.6307510104446328</v>
      </c>
      <c r="AK6" s="160">
        <f>VLOOKUP($Y6,$A$6:$M$31,13,FALSE)</f>
        <v>1</v>
      </c>
    </row>
    <row r="7" spans="1:37" x14ac:dyDescent="0.2">
      <c r="A7" s="62" t="s">
        <v>30</v>
      </c>
      <c r="B7" s="62" t="s">
        <v>56</v>
      </c>
      <c r="C7" s="62" t="s">
        <v>200</v>
      </c>
      <c r="D7" s="62"/>
      <c r="E7" s="62">
        <f t="shared" ref="E7:E31" si="2">RANK(G7,$G$6:$G$31,1)</f>
        <v>15</v>
      </c>
      <c r="F7" s="128" t="s">
        <v>79</v>
      </c>
      <c r="G7" s="129">
        <v>3.0427892234548337</v>
      </c>
      <c r="H7" s="129">
        <v>2.7859764694252402</v>
      </c>
      <c r="I7" s="129">
        <v>3.3224660378152837</v>
      </c>
      <c r="J7" s="129"/>
      <c r="K7" s="129"/>
      <c r="L7" s="129"/>
      <c r="M7" s="60">
        <f t="shared" si="0"/>
        <v>5</v>
      </c>
      <c r="N7" s="61">
        <f t="shared" ref="N7:N31" si="3">MIN($G$6:$G$32)</f>
        <v>1.5315170078994036</v>
      </c>
      <c r="O7" s="61">
        <f>VLOOKUP(7,$E$5:$G$39,3,FALSE)</f>
        <v>1.9610040340654415</v>
      </c>
      <c r="P7" s="129">
        <f t="shared" ref="P7:P31" si="4">$G$32</f>
        <v>2.9116025921911395</v>
      </c>
      <c r="Q7" s="129">
        <f t="shared" ref="Q7:Q31" si="5">$H$32</f>
        <v>2.8335136828969896</v>
      </c>
      <c r="R7" s="129">
        <f t="shared" ref="R7:R31" si="6">$I$32</f>
        <v>2.9917772944020906</v>
      </c>
      <c r="S7" s="61">
        <f t="shared" ref="S7:S31" si="7">VLOOKUP(20,$E$5:$G$39,3,FALSE)</f>
        <v>3.3333333333333335</v>
      </c>
      <c r="T7" s="61">
        <f t="shared" si="1"/>
        <v>4.3053960964408731</v>
      </c>
      <c r="U7" s="61">
        <f>VLOOKUP(C7,$C$43:$I$46,5,FALSE)</f>
        <v>3.0599755201958385</v>
      </c>
      <c r="V7" s="61"/>
      <c r="Y7" s="159" t="s">
        <v>35</v>
      </c>
      <c r="Z7" s="159" t="s">
        <v>60</v>
      </c>
      <c r="AA7" s="159" t="s">
        <v>163</v>
      </c>
      <c r="AB7" s="159">
        <f t="shared" ref="AB7:AB12" si="8">RANK(AH7,$AH$6:$AH$13,1)</f>
        <v>7</v>
      </c>
      <c r="AC7" s="164">
        <f>MIN($AH$6:$AH$13)</f>
        <v>2.5936599423631126</v>
      </c>
      <c r="AD7" s="164">
        <f t="shared" ref="AD7:AD13" si="9">MAX($AH$6:$AH$13)</f>
        <v>4.3053960964408731</v>
      </c>
      <c r="AE7" s="159"/>
      <c r="AF7" s="159">
        <f t="shared" ref="AF7:AF31" si="10">VLOOKUP($Y7,$A$6:$I$31,5,FALSE)</f>
        <v>24</v>
      </c>
      <c r="AG7" s="160" t="str">
        <f t="shared" ref="AG7:AG31" si="11">VLOOKUP($Y7,$A$6:$I$31,6,FALSE)</f>
        <v>N/A</v>
      </c>
      <c r="AH7" s="161">
        <f t="shared" ref="AH7:AH31" si="12">VLOOKUP($Y7,$A$6:$I$31,7,FALSE)</f>
        <v>3.4668967280163603</v>
      </c>
      <c r="AI7" s="161">
        <f t="shared" ref="AI7:AI31" si="13">VLOOKUP($Y7,$A$6:$I$31,8,FALSE)</f>
        <v>3.2698591293310653</v>
      </c>
      <c r="AJ7" s="161">
        <f t="shared" ref="AJ7:AJ31" si="14">VLOOKUP($Y7,$A$6:$I$31,9,FALSE)</f>
        <v>3.6753564292866545</v>
      </c>
      <c r="AK7" s="160">
        <f t="shared" ref="AK7:AK31" si="15">VLOOKUP($Y7,$A$6:$M$31,13,FALSE)</f>
        <v>1</v>
      </c>
    </row>
    <row r="8" spans="1:37" x14ac:dyDescent="0.2">
      <c r="A8" s="62" t="s">
        <v>31</v>
      </c>
      <c r="B8" s="62" t="s">
        <v>57</v>
      </c>
      <c r="C8" s="62" t="s">
        <v>200</v>
      </c>
      <c r="D8" s="62"/>
      <c r="E8" s="62">
        <f t="shared" si="2"/>
        <v>13</v>
      </c>
      <c r="F8" s="128" t="s">
        <v>79</v>
      </c>
      <c r="G8" s="129">
        <v>2.9917555438828876</v>
      </c>
      <c r="H8" s="129">
        <v>2.8362660406450724</v>
      </c>
      <c r="I8" s="129">
        <v>3.1554924444894481</v>
      </c>
      <c r="J8" s="129"/>
      <c r="K8" s="129"/>
      <c r="L8" s="129"/>
      <c r="M8" s="60">
        <f t="shared" si="0"/>
        <v>5</v>
      </c>
      <c r="N8" s="61">
        <f t="shared" si="3"/>
        <v>1.5315170078994036</v>
      </c>
      <c r="O8" s="61">
        <f t="shared" ref="O8:O31" si="16">VLOOKUP(7,$E$5:$G$39,3,FALSE)</f>
        <v>1.9610040340654415</v>
      </c>
      <c r="P8" s="129">
        <f t="shared" si="4"/>
        <v>2.9116025921911395</v>
      </c>
      <c r="Q8" s="129">
        <f t="shared" si="5"/>
        <v>2.8335136828969896</v>
      </c>
      <c r="R8" s="129">
        <f t="shared" si="6"/>
        <v>2.9917772944020906</v>
      </c>
      <c r="S8" s="61">
        <f t="shared" si="7"/>
        <v>3.3333333333333335</v>
      </c>
      <c r="T8" s="61">
        <f t="shared" si="1"/>
        <v>4.3053960964408731</v>
      </c>
      <c r="U8" s="61">
        <f t="shared" ref="U8:U31" si="17">VLOOKUP(C8,$C$43:$I$46,5,FALSE)</f>
        <v>3.0599755201958385</v>
      </c>
      <c r="V8" s="61"/>
      <c r="Y8" s="159" t="s">
        <v>41</v>
      </c>
      <c r="Z8" s="159" t="s">
        <v>64</v>
      </c>
      <c r="AA8" s="159" t="s">
        <v>163</v>
      </c>
      <c r="AB8" s="159">
        <f t="shared" si="8"/>
        <v>3</v>
      </c>
      <c r="AC8" s="164">
        <f t="shared" ref="AC8:AC13" si="18">MIN($AH$6:$AH$13)</f>
        <v>2.5936599423631126</v>
      </c>
      <c r="AD8" s="164">
        <f>MAX($AH$6:$AH$13)</f>
        <v>4.3053960964408731</v>
      </c>
      <c r="AE8" s="159"/>
      <c r="AF8" s="159">
        <f t="shared" si="10"/>
        <v>18</v>
      </c>
      <c r="AG8" s="160" t="str">
        <f t="shared" si="11"/>
        <v>N/A</v>
      </c>
      <c r="AH8" s="161">
        <f t="shared" si="12"/>
        <v>3.2410678627384719</v>
      </c>
      <c r="AI8" s="161">
        <f t="shared" si="13"/>
        <v>3.0541395872718597</v>
      </c>
      <c r="AJ8" s="161">
        <f t="shared" si="14"/>
        <v>3.4390312103636833</v>
      </c>
      <c r="AK8" s="160">
        <f t="shared" si="15"/>
        <v>1</v>
      </c>
    </row>
    <row r="9" spans="1:37" x14ac:dyDescent="0.2">
      <c r="A9" s="62" t="s">
        <v>32</v>
      </c>
      <c r="B9" s="62" t="s">
        <v>156</v>
      </c>
      <c r="C9" s="62" t="s">
        <v>201</v>
      </c>
      <c r="D9" s="62"/>
      <c r="E9" s="62">
        <f t="shared" si="2"/>
        <v>19</v>
      </c>
      <c r="F9" s="128" t="s">
        <v>79</v>
      </c>
      <c r="G9" s="129">
        <v>3.3084292232462595</v>
      </c>
      <c r="H9" s="129">
        <v>3.1621979342189874</v>
      </c>
      <c r="I9" s="129">
        <v>3.4611810707866995</v>
      </c>
      <c r="J9" s="129"/>
      <c r="K9" s="129"/>
      <c r="L9" s="129"/>
      <c r="M9" s="60">
        <f t="shared" si="0"/>
        <v>1</v>
      </c>
      <c r="N9" s="61">
        <f t="shared" si="3"/>
        <v>1.5315170078994036</v>
      </c>
      <c r="O9" s="61">
        <f t="shared" si="16"/>
        <v>1.9610040340654415</v>
      </c>
      <c r="P9" s="129">
        <f t="shared" si="4"/>
        <v>2.9116025921911395</v>
      </c>
      <c r="Q9" s="129">
        <f t="shared" si="5"/>
        <v>2.8335136828969896</v>
      </c>
      <c r="R9" s="129">
        <f t="shared" si="6"/>
        <v>2.9917772944020906</v>
      </c>
      <c r="S9" s="61">
        <f t="shared" si="7"/>
        <v>3.3333333333333335</v>
      </c>
      <c r="T9" s="61">
        <f t="shared" si="1"/>
        <v>4.3053960964408731</v>
      </c>
      <c r="U9" s="61">
        <f t="shared" si="17"/>
        <v>2.4674384949348771</v>
      </c>
      <c r="V9" s="61"/>
      <c r="X9" s="63"/>
      <c r="Y9" s="159" t="s">
        <v>45</v>
      </c>
      <c r="Z9" s="159" t="s">
        <v>67</v>
      </c>
      <c r="AA9" s="159" t="s">
        <v>163</v>
      </c>
      <c r="AB9" s="159">
        <f t="shared" si="8"/>
        <v>2</v>
      </c>
      <c r="AC9" s="164">
        <f t="shared" si="18"/>
        <v>2.5936599423631126</v>
      </c>
      <c r="AD9" s="164">
        <f t="shared" si="9"/>
        <v>4.3053960964408731</v>
      </c>
      <c r="AE9" s="159"/>
      <c r="AF9" s="159">
        <f t="shared" si="10"/>
        <v>12</v>
      </c>
      <c r="AG9" s="160" t="str">
        <f t="shared" si="11"/>
        <v>N/A</v>
      </c>
      <c r="AH9" s="161">
        <f t="shared" si="12"/>
        <v>2.9323279637457635</v>
      </c>
      <c r="AI9" s="161">
        <f t="shared" si="13"/>
        <v>2.735053843623533</v>
      </c>
      <c r="AJ9" s="161">
        <f t="shared" si="14"/>
        <v>3.1433712355568315</v>
      </c>
      <c r="AK9" s="160">
        <f t="shared" si="15"/>
        <v>5</v>
      </c>
    </row>
    <row r="10" spans="1:37" x14ac:dyDescent="0.2">
      <c r="A10" s="62" t="s">
        <v>33</v>
      </c>
      <c r="B10" s="62" t="s">
        <v>58</v>
      </c>
      <c r="C10" s="62" t="s">
        <v>163</v>
      </c>
      <c r="D10" s="62"/>
      <c r="E10" s="62">
        <f t="shared" si="2"/>
        <v>22</v>
      </c>
      <c r="F10" s="128" t="s">
        <v>79</v>
      </c>
      <c r="G10" s="129">
        <v>3.4373347435219457</v>
      </c>
      <c r="H10" s="129">
        <v>3.2538741914218412</v>
      </c>
      <c r="I10" s="129">
        <v>3.6307510104446328</v>
      </c>
      <c r="J10" s="129"/>
      <c r="K10" s="129"/>
      <c r="L10" s="129"/>
      <c r="M10" s="60">
        <f t="shared" si="0"/>
        <v>1</v>
      </c>
      <c r="N10" s="61">
        <f t="shared" si="3"/>
        <v>1.5315170078994036</v>
      </c>
      <c r="O10" s="61">
        <f t="shared" si="16"/>
        <v>1.9610040340654415</v>
      </c>
      <c r="P10" s="129">
        <f t="shared" si="4"/>
        <v>2.9116025921911395</v>
      </c>
      <c r="Q10" s="129">
        <f t="shared" si="5"/>
        <v>2.8335136828969896</v>
      </c>
      <c r="R10" s="129">
        <f t="shared" si="6"/>
        <v>2.9917772944020906</v>
      </c>
      <c r="S10" s="61">
        <f t="shared" si="7"/>
        <v>3.3333333333333335</v>
      </c>
      <c r="T10" s="61">
        <f t="shared" si="1"/>
        <v>4.3053960964408731</v>
      </c>
      <c r="U10" s="61">
        <f t="shared" si="17"/>
        <v>3.3432669025889368</v>
      </c>
      <c r="V10" s="61"/>
      <c r="Y10" s="159" t="s">
        <v>46</v>
      </c>
      <c r="Z10" s="159" t="s">
        <v>68</v>
      </c>
      <c r="AA10" s="159" t="s">
        <v>163</v>
      </c>
      <c r="AB10" s="159">
        <f t="shared" si="8"/>
        <v>4</v>
      </c>
      <c r="AC10" s="164">
        <f t="shared" si="18"/>
        <v>2.5936599423631126</v>
      </c>
      <c r="AD10" s="164">
        <f t="shared" si="9"/>
        <v>4.3053960964408731</v>
      </c>
      <c r="AE10" s="159"/>
      <c r="AF10" s="159">
        <f t="shared" si="10"/>
        <v>20</v>
      </c>
      <c r="AG10" s="160" t="str">
        <f t="shared" si="11"/>
        <v>N/A</v>
      </c>
      <c r="AH10" s="161">
        <f t="shared" si="12"/>
        <v>3.3333333333333335</v>
      </c>
      <c r="AI10" s="161">
        <f t="shared" si="13"/>
        <v>3.145853595798024</v>
      </c>
      <c r="AJ10" s="161">
        <f t="shared" si="14"/>
        <v>3.5315786805068416</v>
      </c>
      <c r="AK10" s="160">
        <f t="shared" si="15"/>
        <v>1</v>
      </c>
    </row>
    <row r="11" spans="1:37" x14ac:dyDescent="0.2">
      <c r="A11" s="62" t="s">
        <v>34</v>
      </c>
      <c r="B11" s="62" t="s">
        <v>59</v>
      </c>
      <c r="C11" s="62" t="s">
        <v>200</v>
      </c>
      <c r="D11" s="62"/>
      <c r="E11" s="62">
        <f t="shared" si="2"/>
        <v>17</v>
      </c>
      <c r="F11" s="128" t="s">
        <v>79</v>
      </c>
      <c r="G11" s="129">
        <v>3.2145352900069879</v>
      </c>
      <c r="H11" s="129">
        <v>3.0518241746351507</v>
      </c>
      <c r="I11" s="129">
        <v>3.3856185626321129</v>
      </c>
      <c r="J11" s="129"/>
      <c r="K11" s="129"/>
      <c r="L11" s="129"/>
      <c r="M11" s="60">
        <f t="shared" si="0"/>
        <v>1</v>
      </c>
      <c r="N11" s="61">
        <f t="shared" si="3"/>
        <v>1.5315170078994036</v>
      </c>
      <c r="O11" s="61">
        <f t="shared" si="16"/>
        <v>1.9610040340654415</v>
      </c>
      <c r="P11" s="129">
        <f t="shared" si="4"/>
        <v>2.9116025921911395</v>
      </c>
      <c r="Q11" s="129">
        <f t="shared" si="5"/>
        <v>2.8335136828969896</v>
      </c>
      <c r="R11" s="129">
        <f t="shared" si="6"/>
        <v>2.9917772944020906</v>
      </c>
      <c r="S11" s="61">
        <f t="shared" si="7"/>
        <v>3.3333333333333335</v>
      </c>
      <c r="T11" s="61">
        <f t="shared" si="1"/>
        <v>4.3053960964408731</v>
      </c>
      <c r="U11" s="61">
        <f t="shared" si="17"/>
        <v>3.0599755201958385</v>
      </c>
      <c r="V11" s="61"/>
      <c r="Y11" s="159" t="s">
        <v>47</v>
      </c>
      <c r="Z11" s="159" t="s">
        <v>69</v>
      </c>
      <c r="AA11" s="159" t="s">
        <v>163</v>
      </c>
      <c r="AB11" s="159">
        <f t="shared" si="8"/>
        <v>8</v>
      </c>
      <c r="AC11" s="164">
        <f t="shared" si="18"/>
        <v>2.5936599423631126</v>
      </c>
      <c r="AD11" s="164">
        <f t="shared" si="9"/>
        <v>4.3053960964408731</v>
      </c>
      <c r="AE11" s="159"/>
      <c r="AF11" s="159">
        <f t="shared" si="10"/>
        <v>26</v>
      </c>
      <c r="AG11" s="160" t="str">
        <f t="shared" si="11"/>
        <v>N/A</v>
      </c>
      <c r="AH11" s="161">
        <f t="shared" si="12"/>
        <v>4.3053960964408731</v>
      </c>
      <c r="AI11" s="161">
        <f t="shared" si="13"/>
        <v>3.7878212620930456</v>
      </c>
      <c r="AJ11" s="161">
        <f t="shared" si="14"/>
        <v>4.8900987550661998</v>
      </c>
      <c r="AK11" s="160">
        <f t="shared" si="15"/>
        <v>1</v>
      </c>
    </row>
    <row r="12" spans="1:37" x14ac:dyDescent="0.2">
      <c r="A12" s="62" t="s">
        <v>35</v>
      </c>
      <c r="B12" s="62" t="s">
        <v>60</v>
      </c>
      <c r="C12" s="62" t="s">
        <v>163</v>
      </c>
      <c r="D12" s="62"/>
      <c r="E12" s="62">
        <f t="shared" si="2"/>
        <v>24</v>
      </c>
      <c r="F12" s="128" t="s">
        <v>79</v>
      </c>
      <c r="G12" s="129">
        <v>3.4668967280163603</v>
      </c>
      <c r="H12" s="129">
        <v>3.2698591293310653</v>
      </c>
      <c r="I12" s="129">
        <v>3.6753564292866545</v>
      </c>
      <c r="J12" s="129"/>
      <c r="K12" s="129"/>
      <c r="L12" s="129"/>
      <c r="M12" s="60">
        <f t="shared" si="0"/>
        <v>1</v>
      </c>
      <c r="N12" s="61">
        <f t="shared" si="3"/>
        <v>1.5315170078994036</v>
      </c>
      <c r="O12" s="61">
        <f t="shared" si="16"/>
        <v>1.9610040340654415</v>
      </c>
      <c r="P12" s="129">
        <f t="shared" si="4"/>
        <v>2.9116025921911395</v>
      </c>
      <c r="Q12" s="129">
        <f t="shared" si="5"/>
        <v>2.8335136828969896</v>
      </c>
      <c r="R12" s="129">
        <f t="shared" si="6"/>
        <v>2.9917772944020906</v>
      </c>
      <c r="S12" s="61">
        <f t="shared" si="7"/>
        <v>3.3333333333333335</v>
      </c>
      <c r="T12" s="61">
        <f t="shared" si="1"/>
        <v>4.3053960964408731</v>
      </c>
      <c r="U12" s="61">
        <f t="shared" si="17"/>
        <v>3.3432669025889368</v>
      </c>
      <c r="V12" s="61"/>
      <c r="Y12" s="159" t="s">
        <v>50</v>
      </c>
      <c r="Z12" s="159" t="s">
        <v>161</v>
      </c>
      <c r="AA12" s="159" t="s">
        <v>163</v>
      </c>
      <c r="AB12" s="159">
        <f t="shared" si="8"/>
        <v>1</v>
      </c>
      <c r="AC12" s="164">
        <f t="shared" si="18"/>
        <v>2.5936599423631126</v>
      </c>
      <c r="AD12" s="164">
        <f t="shared" si="9"/>
        <v>4.3053960964408731</v>
      </c>
      <c r="AE12" s="159"/>
      <c r="AF12" s="159">
        <f t="shared" si="10"/>
        <v>10</v>
      </c>
      <c r="AG12" s="160" t="str">
        <f t="shared" si="11"/>
        <v>N/A</v>
      </c>
      <c r="AH12" s="161">
        <f t="shared" si="12"/>
        <v>2.5936599423631126</v>
      </c>
      <c r="AI12" s="161">
        <f t="shared" si="13"/>
        <v>2.3775181008698838</v>
      </c>
      <c r="AJ12" s="161">
        <f t="shared" si="14"/>
        <v>2.8288819887565797</v>
      </c>
      <c r="AK12" s="160">
        <f t="shared" si="15"/>
        <v>2</v>
      </c>
    </row>
    <row r="13" spans="1:37" x14ac:dyDescent="0.2">
      <c r="A13" s="62" t="s">
        <v>36</v>
      </c>
      <c r="B13" s="62" t="s">
        <v>61</v>
      </c>
      <c r="C13" s="62" t="s">
        <v>201</v>
      </c>
      <c r="D13" s="62"/>
      <c r="E13" s="62">
        <f t="shared" si="2"/>
        <v>5</v>
      </c>
      <c r="F13" s="128" t="s">
        <v>79</v>
      </c>
      <c r="G13" s="129">
        <v>1.8817258986512602</v>
      </c>
      <c r="H13" s="129">
        <v>1.7653136243998797</v>
      </c>
      <c r="I13" s="129">
        <v>2.0056581568165868</v>
      </c>
      <c r="J13" s="129"/>
      <c r="K13" s="129"/>
      <c r="L13" s="129"/>
      <c r="M13" s="60">
        <f t="shared" si="0"/>
        <v>2</v>
      </c>
      <c r="N13" s="61">
        <f t="shared" si="3"/>
        <v>1.5315170078994036</v>
      </c>
      <c r="O13" s="61">
        <f t="shared" si="16"/>
        <v>1.9610040340654415</v>
      </c>
      <c r="P13" s="129">
        <f t="shared" si="4"/>
        <v>2.9116025921911395</v>
      </c>
      <c r="Q13" s="129">
        <f t="shared" si="5"/>
        <v>2.8335136828969896</v>
      </c>
      <c r="R13" s="129">
        <f t="shared" si="6"/>
        <v>2.9917772944020906</v>
      </c>
      <c r="S13" s="61">
        <f t="shared" si="7"/>
        <v>3.3333333333333335</v>
      </c>
      <c r="T13" s="61">
        <f t="shared" si="1"/>
        <v>4.3053960964408731</v>
      </c>
      <c r="U13" s="61">
        <f t="shared" si="17"/>
        <v>2.4674384949348771</v>
      </c>
      <c r="V13" s="61"/>
      <c r="Y13" s="159" t="s">
        <v>53</v>
      </c>
      <c r="Z13" s="159" t="s">
        <v>162</v>
      </c>
      <c r="AA13" s="159" t="s">
        <v>163</v>
      </c>
      <c r="AB13" s="159">
        <f>RANK(AH13,$AH$6:$AH$13,1)</f>
        <v>5</v>
      </c>
      <c r="AC13" s="164">
        <f t="shared" si="18"/>
        <v>2.5936599423631126</v>
      </c>
      <c r="AD13" s="164">
        <f t="shared" si="9"/>
        <v>4.3053960964408731</v>
      </c>
      <c r="AE13" s="159"/>
      <c r="AF13" s="159">
        <f t="shared" si="10"/>
        <v>21</v>
      </c>
      <c r="AG13" s="160" t="str">
        <f t="shared" si="11"/>
        <v>N/A</v>
      </c>
      <c r="AH13" s="161">
        <f t="shared" si="12"/>
        <v>3.3987217850677895</v>
      </c>
      <c r="AI13" s="161">
        <f t="shared" si="13"/>
        <v>3.2493656084300895</v>
      </c>
      <c r="AJ13" s="161">
        <f t="shared" si="14"/>
        <v>3.5546908469133394</v>
      </c>
      <c r="AK13" s="160">
        <f t="shared" si="15"/>
        <v>1</v>
      </c>
    </row>
    <row r="14" spans="1:37" x14ac:dyDescent="0.2">
      <c r="A14" s="62" t="s">
        <v>37</v>
      </c>
      <c r="B14" s="62" t="s">
        <v>157</v>
      </c>
      <c r="C14" s="62" t="s">
        <v>201</v>
      </c>
      <c r="D14" s="62"/>
      <c r="E14" s="62">
        <f t="shared" si="2"/>
        <v>14</v>
      </c>
      <c r="F14" s="128" t="s">
        <v>79</v>
      </c>
      <c r="G14" s="129">
        <v>3.0419943611811844</v>
      </c>
      <c r="H14" s="129">
        <v>2.8639061907473549</v>
      </c>
      <c r="I14" s="129">
        <v>3.2307883741398307</v>
      </c>
      <c r="J14" s="129"/>
      <c r="K14" s="129"/>
      <c r="L14" s="129"/>
      <c r="M14" s="60">
        <f t="shared" si="0"/>
        <v>5</v>
      </c>
      <c r="N14" s="61">
        <f t="shared" si="3"/>
        <v>1.5315170078994036</v>
      </c>
      <c r="O14" s="61">
        <f t="shared" si="16"/>
        <v>1.9610040340654415</v>
      </c>
      <c r="P14" s="129">
        <f t="shared" si="4"/>
        <v>2.9116025921911395</v>
      </c>
      <c r="Q14" s="129">
        <f t="shared" si="5"/>
        <v>2.8335136828969896</v>
      </c>
      <c r="R14" s="129">
        <f t="shared" si="6"/>
        <v>2.9917772944020906</v>
      </c>
      <c r="S14" s="61">
        <f t="shared" si="7"/>
        <v>3.3333333333333335</v>
      </c>
      <c r="T14" s="61">
        <f t="shared" si="1"/>
        <v>4.3053960964408731</v>
      </c>
      <c r="U14" s="61">
        <f t="shared" si="17"/>
        <v>2.4674384949348771</v>
      </c>
      <c r="V14" s="61"/>
      <c r="Y14" s="162" t="s">
        <v>29</v>
      </c>
      <c r="Z14" s="162" t="s">
        <v>55</v>
      </c>
      <c r="AA14" s="162" t="s">
        <v>201</v>
      </c>
      <c r="AB14" s="162">
        <f>RANK(AH14,$AH$14:$AH$22,1)</f>
        <v>4</v>
      </c>
      <c r="AC14" s="165">
        <f t="shared" ref="AC14:AC22" si="19">MIN($AH$14:$AH$22)</f>
        <v>1.5315170078994036</v>
      </c>
      <c r="AD14" s="165">
        <f>MAX($AH$14:$AH$22)</f>
        <v>3.3084292232462595</v>
      </c>
      <c r="AE14" s="162"/>
      <c r="AF14" s="162">
        <f t="shared" si="10"/>
        <v>4</v>
      </c>
      <c r="AG14" s="167" t="str">
        <f t="shared" si="11"/>
        <v>N/A</v>
      </c>
      <c r="AH14" s="165">
        <f t="shared" si="12"/>
        <v>1.7703591299949419</v>
      </c>
      <c r="AI14" s="165">
        <f t="shared" si="13"/>
        <v>1.6034185673009844</v>
      </c>
      <c r="AJ14" s="165">
        <f t="shared" si="14"/>
        <v>1.9543355558475504</v>
      </c>
      <c r="AK14" s="167">
        <f t="shared" si="15"/>
        <v>2</v>
      </c>
    </row>
    <row r="15" spans="1:37" x14ac:dyDescent="0.2">
      <c r="A15" s="62" t="s">
        <v>38</v>
      </c>
      <c r="B15" s="62" t="s">
        <v>62</v>
      </c>
      <c r="C15" s="62" t="s">
        <v>201</v>
      </c>
      <c r="D15" s="62"/>
      <c r="E15" s="62">
        <f t="shared" si="2"/>
        <v>6</v>
      </c>
      <c r="F15" s="128" t="s">
        <v>79</v>
      </c>
      <c r="G15" s="129">
        <v>1.9584045898383626</v>
      </c>
      <c r="H15" s="129">
        <v>1.7666315162452984</v>
      </c>
      <c r="I15" s="129">
        <v>2.1705352194629812</v>
      </c>
      <c r="J15" s="129"/>
      <c r="K15" s="129"/>
      <c r="L15" s="129"/>
      <c r="M15" s="60">
        <f t="shared" si="0"/>
        <v>2</v>
      </c>
      <c r="N15" s="61">
        <f t="shared" si="3"/>
        <v>1.5315170078994036</v>
      </c>
      <c r="O15" s="61">
        <f t="shared" si="16"/>
        <v>1.9610040340654415</v>
      </c>
      <c r="P15" s="129">
        <f t="shared" si="4"/>
        <v>2.9116025921911395</v>
      </c>
      <c r="Q15" s="129">
        <f t="shared" si="5"/>
        <v>2.8335136828969896</v>
      </c>
      <c r="R15" s="129">
        <f t="shared" si="6"/>
        <v>2.9917772944020906</v>
      </c>
      <c r="S15" s="61">
        <f t="shared" si="7"/>
        <v>3.3333333333333335</v>
      </c>
      <c r="T15" s="61">
        <f t="shared" si="1"/>
        <v>4.3053960964408731</v>
      </c>
      <c r="U15" s="61">
        <f t="shared" si="17"/>
        <v>2.4674384949348771</v>
      </c>
      <c r="V15" s="61"/>
      <c r="Y15" s="162" t="s">
        <v>32</v>
      </c>
      <c r="Z15" s="162" t="s">
        <v>156</v>
      </c>
      <c r="AA15" s="162" t="s">
        <v>201</v>
      </c>
      <c r="AB15" s="162">
        <f>RANK(AH15,$AH$14:$AH$22,1)</f>
        <v>9</v>
      </c>
      <c r="AC15" s="165">
        <f t="shared" si="19"/>
        <v>1.5315170078994036</v>
      </c>
      <c r="AD15" s="165">
        <f t="shared" ref="AD15:AD22" si="20">MAX($AH$14:$AH$22)</f>
        <v>3.3084292232462595</v>
      </c>
      <c r="AE15" s="162"/>
      <c r="AF15" s="162">
        <f t="shared" si="10"/>
        <v>19</v>
      </c>
      <c r="AG15" s="167" t="str">
        <f t="shared" si="11"/>
        <v>N/A</v>
      </c>
      <c r="AH15" s="165">
        <f t="shared" si="12"/>
        <v>3.3084292232462595</v>
      </c>
      <c r="AI15" s="165">
        <f t="shared" si="13"/>
        <v>3.1621979342189874</v>
      </c>
      <c r="AJ15" s="165">
        <f t="shared" si="14"/>
        <v>3.4611810707866995</v>
      </c>
      <c r="AK15" s="167">
        <f t="shared" si="15"/>
        <v>1</v>
      </c>
    </row>
    <row r="16" spans="1:37" x14ac:dyDescent="0.2">
      <c r="A16" s="62" t="s">
        <v>39</v>
      </c>
      <c r="B16" s="62" t="s">
        <v>158</v>
      </c>
      <c r="C16" s="62" t="s">
        <v>200</v>
      </c>
      <c r="D16" s="62"/>
      <c r="E16" s="62">
        <f t="shared" si="2"/>
        <v>16</v>
      </c>
      <c r="F16" s="128" t="s">
        <v>79</v>
      </c>
      <c r="G16" s="129">
        <v>3.0921608889962555</v>
      </c>
      <c r="H16" s="129">
        <v>2.9297072550738381</v>
      </c>
      <c r="I16" s="129">
        <v>3.2633198163985355</v>
      </c>
      <c r="J16" s="129"/>
      <c r="K16" s="129"/>
      <c r="L16" s="129"/>
      <c r="M16" s="60">
        <f t="shared" si="0"/>
        <v>5</v>
      </c>
      <c r="N16" s="61">
        <f t="shared" si="3"/>
        <v>1.5315170078994036</v>
      </c>
      <c r="O16" s="61">
        <f t="shared" si="16"/>
        <v>1.9610040340654415</v>
      </c>
      <c r="P16" s="129">
        <f t="shared" si="4"/>
        <v>2.9116025921911395</v>
      </c>
      <c r="Q16" s="129">
        <f t="shared" si="5"/>
        <v>2.8335136828969896</v>
      </c>
      <c r="R16" s="129">
        <f t="shared" si="6"/>
        <v>2.9917772944020906</v>
      </c>
      <c r="S16" s="61">
        <f t="shared" si="7"/>
        <v>3.3333333333333335</v>
      </c>
      <c r="T16" s="61">
        <f t="shared" si="1"/>
        <v>4.3053960964408731</v>
      </c>
      <c r="U16" s="61">
        <f t="shared" si="17"/>
        <v>3.0599755201958385</v>
      </c>
      <c r="V16" s="61"/>
      <c r="Y16" s="162" t="s">
        <v>36</v>
      </c>
      <c r="Z16" s="162" t="s">
        <v>61</v>
      </c>
      <c r="AA16" s="162" t="s">
        <v>201</v>
      </c>
      <c r="AB16" s="162">
        <f>RANK(AH16,$AH$14:$AH$22,1)</f>
        <v>5</v>
      </c>
      <c r="AC16" s="165">
        <f t="shared" si="19"/>
        <v>1.5315170078994036</v>
      </c>
      <c r="AD16" s="165">
        <f t="shared" si="20"/>
        <v>3.3084292232462595</v>
      </c>
      <c r="AE16" s="162"/>
      <c r="AF16" s="162">
        <f t="shared" si="10"/>
        <v>5</v>
      </c>
      <c r="AG16" s="167" t="str">
        <f t="shared" si="11"/>
        <v>N/A</v>
      </c>
      <c r="AH16" s="165">
        <f t="shared" si="12"/>
        <v>1.8817258986512602</v>
      </c>
      <c r="AI16" s="165">
        <f t="shared" si="13"/>
        <v>1.7653136243998797</v>
      </c>
      <c r="AJ16" s="165">
        <f t="shared" si="14"/>
        <v>2.0056581568165868</v>
      </c>
      <c r="AK16" s="167">
        <f t="shared" si="15"/>
        <v>2</v>
      </c>
    </row>
    <row r="17" spans="1:37" x14ac:dyDescent="0.2">
      <c r="A17" s="62" t="s">
        <v>40</v>
      </c>
      <c r="B17" s="62" t="s">
        <v>63</v>
      </c>
      <c r="C17" s="62" t="s">
        <v>200</v>
      </c>
      <c r="D17" s="62"/>
      <c r="E17" s="62">
        <f t="shared" si="2"/>
        <v>9</v>
      </c>
      <c r="F17" s="128" t="s">
        <v>79</v>
      </c>
      <c r="G17" s="129">
        <v>2.5843132187621141</v>
      </c>
      <c r="H17" s="129">
        <v>2.3458684451697955</v>
      </c>
      <c r="I17" s="129">
        <v>2.8462881917444127</v>
      </c>
      <c r="J17" s="129"/>
      <c r="K17" s="129"/>
      <c r="L17" s="129"/>
      <c r="M17" s="60">
        <f t="shared" si="0"/>
        <v>5</v>
      </c>
      <c r="N17" s="61">
        <f t="shared" si="3"/>
        <v>1.5315170078994036</v>
      </c>
      <c r="O17" s="61">
        <f t="shared" si="16"/>
        <v>1.9610040340654415</v>
      </c>
      <c r="P17" s="129">
        <f t="shared" si="4"/>
        <v>2.9116025921911395</v>
      </c>
      <c r="Q17" s="129">
        <f t="shared" si="5"/>
        <v>2.8335136828969896</v>
      </c>
      <c r="R17" s="129">
        <f t="shared" si="6"/>
        <v>2.9917772944020906</v>
      </c>
      <c r="S17" s="61">
        <f t="shared" si="7"/>
        <v>3.3333333333333335</v>
      </c>
      <c r="T17" s="61">
        <f t="shared" si="1"/>
        <v>4.3053960964408731</v>
      </c>
      <c r="U17" s="61">
        <f t="shared" si="17"/>
        <v>3.0599755201958385</v>
      </c>
      <c r="V17" s="61"/>
      <c r="Y17" s="162" t="s">
        <v>37</v>
      </c>
      <c r="Z17" s="162" t="s">
        <v>157</v>
      </c>
      <c r="AA17" s="162" t="s">
        <v>201</v>
      </c>
      <c r="AB17" s="162">
        <f t="shared" ref="AB17:AB22" si="21">RANK(AH17,$AH$14:$AH$22,1)</f>
        <v>8</v>
      </c>
      <c r="AC17" s="165">
        <f t="shared" si="19"/>
        <v>1.5315170078994036</v>
      </c>
      <c r="AD17" s="165">
        <f>MAX($AH$14:$AH$22)</f>
        <v>3.3084292232462595</v>
      </c>
      <c r="AE17" s="162"/>
      <c r="AF17" s="162">
        <f t="shared" si="10"/>
        <v>14</v>
      </c>
      <c r="AG17" s="167" t="str">
        <f t="shared" si="11"/>
        <v>N/A</v>
      </c>
      <c r="AH17" s="165">
        <f t="shared" si="12"/>
        <v>3.0419943611811844</v>
      </c>
      <c r="AI17" s="165">
        <f t="shared" si="13"/>
        <v>2.8639061907473549</v>
      </c>
      <c r="AJ17" s="165">
        <f t="shared" si="14"/>
        <v>3.2307883741398307</v>
      </c>
      <c r="AK17" s="167">
        <f t="shared" si="15"/>
        <v>5</v>
      </c>
    </row>
    <row r="18" spans="1:37" x14ac:dyDescent="0.2">
      <c r="A18" s="62" t="s">
        <v>41</v>
      </c>
      <c r="B18" s="62" t="s">
        <v>64</v>
      </c>
      <c r="C18" s="62" t="s">
        <v>163</v>
      </c>
      <c r="D18" s="62"/>
      <c r="E18" s="62">
        <f t="shared" si="2"/>
        <v>18</v>
      </c>
      <c r="F18" s="128" t="s">
        <v>79</v>
      </c>
      <c r="G18" s="129">
        <v>3.2410678627384719</v>
      </c>
      <c r="H18" s="129">
        <v>3.0541395872718597</v>
      </c>
      <c r="I18" s="129">
        <v>3.4390312103636833</v>
      </c>
      <c r="J18" s="129"/>
      <c r="K18" s="129"/>
      <c r="L18" s="129"/>
      <c r="M18" s="60">
        <f t="shared" si="0"/>
        <v>1</v>
      </c>
      <c r="N18" s="61">
        <f t="shared" si="3"/>
        <v>1.5315170078994036</v>
      </c>
      <c r="O18" s="61">
        <f t="shared" si="16"/>
        <v>1.9610040340654415</v>
      </c>
      <c r="P18" s="129">
        <f t="shared" si="4"/>
        <v>2.9116025921911395</v>
      </c>
      <c r="Q18" s="129">
        <f t="shared" si="5"/>
        <v>2.8335136828969896</v>
      </c>
      <c r="R18" s="129">
        <f t="shared" si="6"/>
        <v>2.9917772944020906</v>
      </c>
      <c r="S18" s="61">
        <f t="shared" si="7"/>
        <v>3.3333333333333335</v>
      </c>
      <c r="T18" s="61">
        <f t="shared" si="1"/>
        <v>4.3053960964408731</v>
      </c>
      <c r="U18" s="61">
        <f t="shared" si="17"/>
        <v>3.3432669025889368</v>
      </c>
      <c r="V18" s="61"/>
      <c r="Y18" s="162" t="s">
        <v>38</v>
      </c>
      <c r="Z18" s="162" t="s">
        <v>62</v>
      </c>
      <c r="AA18" s="162" t="s">
        <v>201</v>
      </c>
      <c r="AB18" s="162">
        <f t="shared" si="21"/>
        <v>6</v>
      </c>
      <c r="AC18" s="165">
        <f t="shared" si="19"/>
        <v>1.5315170078994036</v>
      </c>
      <c r="AD18" s="165">
        <f t="shared" si="20"/>
        <v>3.3084292232462595</v>
      </c>
      <c r="AE18" s="162"/>
      <c r="AF18" s="162">
        <f t="shared" si="10"/>
        <v>6</v>
      </c>
      <c r="AG18" s="167" t="str">
        <f t="shared" si="11"/>
        <v>N/A</v>
      </c>
      <c r="AH18" s="165">
        <f t="shared" si="12"/>
        <v>1.9584045898383626</v>
      </c>
      <c r="AI18" s="165">
        <f t="shared" si="13"/>
        <v>1.7666315162452984</v>
      </c>
      <c r="AJ18" s="165">
        <f t="shared" si="14"/>
        <v>2.1705352194629812</v>
      </c>
      <c r="AK18" s="167">
        <f t="shared" si="15"/>
        <v>2</v>
      </c>
    </row>
    <row r="19" spans="1:37" x14ac:dyDescent="0.2">
      <c r="A19" s="62" t="s">
        <v>42</v>
      </c>
      <c r="B19" s="62" t="s">
        <v>65</v>
      </c>
      <c r="C19" s="62" t="s">
        <v>200</v>
      </c>
      <c r="D19" s="62"/>
      <c r="E19" s="62">
        <f t="shared" si="2"/>
        <v>23</v>
      </c>
      <c r="F19" s="128" t="s">
        <v>79</v>
      </c>
      <c r="G19" s="129">
        <v>3.4602076124567471</v>
      </c>
      <c r="H19" s="129">
        <v>3.1595753310760961</v>
      </c>
      <c r="I19" s="129">
        <v>3.7883259227118882</v>
      </c>
      <c r="J19" s="129"/>
      <c r="K19" s="129"/>
      <c r="L19" s="129"/>
      <c r="M19" s="60">
        <f t="shared" si="0"/>
        <v>1</v>
      </c>
      <c r="N19" s="61">
        <f t="shared" si="3"/>
        <v>1.5315170078994036</v>
      </c>
      <c r="O19" s="61">
        <f t="shared" si="16"/>
        <v>1.9610040340654415</v>
      </c>
      <c r="P19" s="129">
        <f t="shared" si="4"/>
        <v>2.9116025921911395</v>
      </c>
      <c r="Q19" s="129">
        <f t="shared" si="5"/>
        <v>2.8335136828969896</v>
      </c>
      <c r="R19" s="129">
        <f t="shared" si="6"/>
        <v>2.9917772944020906</v>
      </c>
      <c r="S19" s="61">
        <f t="shared" si="7"/>
        <v>3.3333333333333335</v>
      </c>
      <c r="T19" s="61">
        <f t="shared" si="1"/>
        <v>4.3053960964408731</v>
      </c>
      <c r="U19" s="61">
        <f t="shared" si="17"/>
        <v>3.0599755201958385</v>
      </c>
      <c r="V19" s="61"/>
      <c r="Y19" s="162" t="s">
        <v>43</v>
      </c>
      <c r="Z19" s="162" t="s">
        <v>159</v>
      </c>
      <c r="AA19" s="162" t="s">
        <v>201</v>
      </c>
      <c r="AB19" s="162">
        <f t="shared" si="21"/>
        <v>7</v>
      </c>
      <c r="AC19" s="165">
        <f t="shared" si="19"/>
        <v>1.5315170078994036</v>
      </c>
      <c r="AD19" s="165">
        <f t="shared" si="20"/>
        <v>3.3084292232462595</v>
      </c>
      <c r="AE19" s="162"/>
      <c r="AF19" s="162">
        <f t="shared" si="10"/>
        <v>11</v>
      </c>
      <c r="AG19" s="167" t="str">
        <f t="shared" si="11"/>
        <v>N/A</v>
      </c>
      <c r="AH19" s="165">
        <f t="shared" si="12"/>
        <v>2.8509037971612274</v>
      </c>
      <c r="AI19" s="165">
        <f t="shared" si="13"/>
        <v>2.6766898551885721</v>
      </c>
      <c r="AJ19" s="165">
        <f t="shared" si="14"/>
        <v>3.0361028302480753</v>
      </c>
      <c r="AK19" s="167">
        <f t="shared" si="15"/>
        <v>5</v>
      </c>
    </row>
    <row r="20" spans="1:37" x14ac:dyDescent="0.2">
      <c r="A20" s="62" t="s">
        <v>43</v>
      </c>
      <c r="B20" s="62" t="s">
        <v>159</v>
      </c>
      <c r="C20" s="62" t="s">
        <v>201</v>
      </c>
      <c r="D20" s="62"/>
      <c r="E20" s="62">
        <f t="shared" si="2"/>
        <v>11</v>
      </c>
      <c r="F20" s="128" t="s">
        <v>79</v>
      </c>
      <c r="G20" s="129">
        <v>2.8509037971612274</v>
      </c>
      <c r="H20" s="129">
        <v>2.6766898551885721</v>
      </c>
      <c r="I20" s="129">
        <v>3.0361028302480753</v>
      </c>
      <c r="J20" s="129"/>
      <c r="K20" s="129"/>
      <c r="L20" s="129"/>
      <c r="M20" s="60">
        <f t="shared" si="0"/>
        <v>5</v>
      </c>
      <c r="N20" s="61">
        <f t="shared" si="3"/>
        <v>1.5315170078994036</v>
      </c>
      <c r="O20" s="61">
        <f t="shared" si="16"/>
        <v>1.9610040340654415</v>
      </c>
      <c r="P20" s="129">
        <f t="shared" si="4"/>
        <v>2.9116025921911395</v>
      </c>
      <c r="Q20" s="129">
        <f t="shared" si="5"/>
        <v>2.8335136828969896</v>
      </c>
      <c r="R20" s="129">
        <f t="shared" si="6"/>
        <v>2.9917772944020906</v>
      </c>
      <c r="S20" s="61">
        <f t="shared" si="7"/>
        <v>3.3333333333333335</v>
      </c>
      <c r="T20" s="61">
        <f t="shared" si="1"/>
        <v>4.3053960964408731</v>
      </c>
      <c r="U20" s="61">
        <f t="shared" si="17"/>
        <v>2.4674384949348771</v>
      </c>
      <c r="V20" s="61"/>
      <c r="Y20" s="162" t="s">
        <v>48</v>
      </c>
      <c r="Z20" s="162" t="s">
        <v>160</v>
      </c>
      <c r="AA20" s="162" t="s">
        <v>201</v>
      </c>
      <c r="AB20" s="162">
        <f t="shared" si="21"/>
        <v>1</v>
      </c>
      <c r="AC20" s="165">
        <f t="shared" si="19"/>
        <v>1.5315170078994036</v>
      </c>
      <c r="AD20" s="165">
        <f t="shared" si="20"/>
        <v>3.3084292232462595</v>
      </c>
      <c r="AE20" s="162"/>
      <c r="AF20" s="162">
        <f t="shared" si="10"/>
        <v>1</v>
      </c>
      <c r="AG20" s="167" t="str">
        <f t="shared" si="11"/>
        <v>N/A</v>
      </c>
      <c r="AH20" s="165">
        <f t="shared" si="12"/>
        <v>1.5315170078994036</v>
      </c>
      <c r="AI20" s="165">
        <f t="shared" si="13"/>
        <v>1.3648155186486901</v>
      </c>
      <c r="AJ20" s="165">
        <f t="shared" si="14"/>
        <v>1.718225080446665</v>
      </c>
      <c r="AK20" s="167">
        <f t="shared" si="15"/>
        <v>2</v>
      </c>
    </row>
    <row r="21" spans="1:37" x14ac:dyDescent="0.2">
      <c r="A21" s="62" t="s">
        <v>44</v>
      </c>
      <c r="B21" s="62" t="s">
        <v>66</v>
      </c>
      <c r="C21" s="62" t="s">
        <v>200</v>
      </c>
      <c r="D21" s="62"/>
      <c r="E21" s="62">
        <f t="shared" si="2"/>
        <v>8</v>
      </c>
      <c r="F21" s="128" t="s">
        <v>79</v>
      </c>
      <c r="G21" s="129">
        <v>2.0293911826452065</v>
      </c>
      <c r="H21" s="129">
        <v>1.8107684270605935</v>
      </c>
      <c r="I21" s="129">
        <v>2.2737980661574135</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2</v>
      </c>
      <c r="N21" s="61">
        <f t="shared" si="3"/>
        <v>1.5315170078994036</v>
      </c>
      <c r="O21" s="61">
        <f t="shared" si="16"/>
        <v>1.9610040340654415</v>
      </c>
      <c r="P21" s="129">
        <f t="shared" si="4"/>
        <v>2.9116025921911395</v>
      </c>
      <c r="Q21" s="129">
        <f t="shared" si="5"/>
        <v>2.8335136828969896</v>
      </c>
      <c r="R21" s="129">
        <f t="shared" si="6"/>
        <v>2.9917772944020906</v>
      </c>
      <c r="S21" s="61">
        <f t="shared" si="7"/>
        <v>3.3333333333333335</v>
      </c>
      <c r="T21" s="61">
        <f t="shared" si="1"/>
        <v>4.3053960964408731</v>
      </c>
      <c r="U21" s="61">
        <f t="shared" si="17"/>
        <v>3.0599755201958385</v>
      </c>
      <c r="V21" s="61"/>
      <c r="Y21" s="162" t="s">
        <v>52</v>
      </c>
      <c r="Z21" s="162" t="s">
        <v>72</v>
      </c>
      <c r="AA21" s="162" t="s">
        <v>201</v>
      </c>
      <c r="AB21" s="162">
        <f t="shared" si="21"/>
        <v>2</v>
      </c>
      <c r="AC21" s="165">
        <f t="shared" si="19"/>
        <v>1.5315170078994036</v>
      </c>
      <c r="AD21" s="165">
        <f t="shared" si="20"/>
        <v>3.3084292232462595</v>
      </c>
      <c r="AE21" s="162"/>
      <c r="AF21" s="162">
        <f t="shared" si="10"/>
        <v>2</v>
      </c>
      <c r="AG21" s="167" t="str">
        <f t="shared" si="11"/>
        <v>N/A</v>
      </c>
      <c r="AH21" s="165">
        <f t="shared" si="12"/>
        <v>1.6602881584871678</v>
      </c>
      <c r="AI21" s="165">
        <f t="shared" si="13"/>
        <v>1.4825850092340891</v>
      </c>
      <c r="AJ21" s="165">
        <f t="shared" si="14"/>
        <v>1.858888974746074</v>
      </c>
      <c r="AK21" s="167">
        <f t="shared" si="15"/>
        <v>2</v>
      </c>
    </row>
    <row r="22" spans="1:37" x14ac:dyDescent="0.2">
      <c r="A22" s="62" t="s">
        <v>45</v>
      </c>
      <c r="B22" s="62" t="s">
        <v>67</v>
      </c>
      <c r="C22" s="62" t="s">
        <v>163</v>
      </c>
      <c r="D22" s="62"/>
      <c r="E22" s="62">
        <f t="shared" si="2"/>
        <v>12</v>
      </c>
      <c r="F22" s="128" t="s">
        <v>79</v>
      </c>
      <c r="G22" s="129">
        <v>2.9323279637457635</v>
      </c>
      <c r="H22" s="129">
        <v>2.735053843623533</v>
      </c>
      <c r="I22" s="129">
        <v>3.1433712355568315</v>
      </c>
      <c r="J22" s="129"/>
      <c r="K22" s="129"/>
      <c r="L22" s="129"/>
      <c r="M22" s="60">
        <f t="shared" si="0"/>
        <v>5</v>
      </c>
      <c r="N22" s="61">
        <f t="shared" si="3"/>
        <v>1.5315170078994036</v>
      </c>
      <c r="O22" s="61">
        <f t="shared" si="16"/>
        <v>1.9610040340654415</v>
      </c>
      <c r="P22" s="129">
        <f t="shared" si="4"/>
        <v>2.9116025921911395</v>
      </c>
      <c r="Q22" s="129">
        <f t="shared" si="5"/>
        <v>2.8335136828969896</v>
      </c>
      <c r="R22" s="129">
        <f t="shared" si="6"/>
        <v>2.9917772944020906</v>
      </c>
      <c r="S22" s="61">
        <f t="shared" si="7"/>
        <v>3.3333333333333335</v>
      </c>
      <c r="T22" s="61">
        <f t="shared" si="1"/>
        <v>4.3053960964408731</v>
      </c>
      <c r="U22" s="61">
        <f>VLOOKUP(C22,$C$43:$I$46,5,FALSE)</f>
        <v>3.3432669025889368</v>
      </c>
      <c r="V22" s="61"/>
      <c r="Y22" s="162" t="s">
        <v>54</v>
      </c>
      <c r="Z22" s="162" t="s">
        <v>73</v>
      </c>
      <c r="AA22" s="162" t="s">
        <v>201</v>
      </c>
      <c r="AB22" s="162">
        <f t="shared" si="21"/>
        <v>3</v>
      </c>
      <c r="AC22" s="165">
        <f t="shared" si="19"/>
        <v>1.5315170078994036</v>
      </c>
      <c r="AD22" s="165">
        <f t="shared" si="20"/>
        <v>3.3084292232462595</v>
      </c>
      <c r="AE22" s="162"/>
      <c r="AF22" s="162">
        <f t="shared" si="10"/>
        <v>3</v>
      </c>
      <c r="AG22" s="167" t="str">
        <f t="shared" si="11"/>
        <v>N/A</v>
      </c>
      <c r="AH22" s="165">
        <f t="shared" si="12"/>
        <v>1.6918668455066455</v>
      </c>
      <c r="AI22" s="165">
        <f t="shared" si="13"/>
        <v>1.5578563168604371</v>
      </c>
      <c r="AJ22" s="165">
        <f t="shared" si="14"/>
        <v>1.8371901393922567</v>
      </c>
      <c r="AK22" s="167">
        <f t="shared" si="15"/>
        <v>2</v>
      </c>
    </row>
    <row r="23" spans="1:37" x14ac:dyDescent="0.2">
      <c r="A23" s="62" t="s">
        <v>46</v>
      </c>
      <c r="B23" s="62" t="s">
        <v>68</v>
      </c>
      <c r="C23" s="62" t="s">
        <v>163</v>
      </c>
      <c r="D23" s="62"/>
      <c r="E23" s="62">
        <f t="shared" si="2"/>
        <v>20</v>
      </c>
      <c r="F23" s="128" t="s">
        <v>79</v>
      </c>
      <c r="G23" s="129">
        <v>3.3333333333333335</v>
      </c>
      <c r="H23" s="129">
        <v>3.145853595798024</v>
      </c>
      <c r="I23" s="129">
        <v>3.5315786805068416</v>
      </c>
      <c r="J23" s="129"/>
      <c r="K23" s="129"/>
      <c r="L23" s="129"/>
      <c r="M23" s="60">
        <f t="shared" si="0"/>
        <v>1</v>
      </c>
      <c r="N23" s="61">
        <f t="shared" si="3"/>
        <v>1.5315170078994036</v>
      </c>
      <c r="O23" s="61">
        <f t="shared" si="16"/>
        <v>1.9610040340654415</v>
      </c>
      <c r="P23" s="129">
        <f t="shared" si="4"/>
        <v>2.9116025921911395</v>
      </c>
      <c r="Q23" s="129">
        <f t="shared" si="5"/>
        <v>2.8335136828969896</v>
      </c>
      <c r="R23" s="129">
        <f t="shared" si="6"/>
        <v>2.9917772944020906</v>
      </c>
      <c r="S23" s="61">
        <f t="shared" si="7"/>
        <v>3.3333333333333335</v>
      </c>
      <c r="T23" s="61">
        <f t="shared" si="1"/>
        <v>4.3053960964408731</v>
      </c>
      <c r="U23" s="61">
        <f t="shared" si="17"/>
        <v>3.3432669025889368</v>
      </c>
      <c r="V23" s="61"/>
      <c r="Y23" s="163" t="s">
        <v>30</v>
      </c>
      <c r="Z23" s="163" t="s">
        <v>56</v>
      </c>
      <c r="AA23" s="163" t="s">
        <v>200</v>
      </c>
      <c r="AB23" s="163">
        <f>RANK(AH23,$AH$23:$AH$31,1)</f>
        <v>5</v>
      </c>
      <c r="AC23" s="166">
        <f>MIN($AH$23:$AH$31)</f>
        <v>1.9610040340654415</v>
      </c>
      <c r="AD23" s="166">
        <f>MAX($AH$23:$AH$31)</f>
        <v>3.6485697606538237</v>
      </c>
      <c r="AE23" s="163"/>
      <c r="AF23" s="163">
        <f t="shared" si="10"/>
        <v>15</v>
      </c>
      <c r="AG23" s="168" t="str">
        <f t="shared" si="11"/>
        <v>N/A</v>
      </c>
      <c r="AH23" s="166">
        <f t="shared" si="12"/>
        <v>3.0427892234548337</v>
      </c>
      <c r="AI23" s="166">
        <f t="shared" si="13"/>
        <v>2.7859764694252402</v>
      </c>
      <c r="AJ23" s="166">
        <f t="shared" si="14"/>
        <v>3.3224660378152837</v>
      </c>
      <c r="AK23" s="168">
        <f t="shared" si="15"/>
        <v>5</v>
      </c>
    </row>
    <row r="24" spans="1:37" x14ac:dyDescent="0.2">
      <c r="A24" s="62" t="s">
        <v>47</v>
      </c>
      <c r="B24" s="62" t="s">
        <v>69</v>
      </c>
      <c r="C24" s="62" t="s">
        <v>163</v>
      </c>
      <c r="D24" s="62"/>
      <c r="E24" s="62">
        <f t="shared" si="2"/>
        <v>26</v>
      </c>
      <c r="F24" s="128" t="s">
        <v>79</v>
      </c>
      <c r="G24" s="129">
        <v>4.3053960964408731</v>
      </c>
      <c r="H24" s="129">
        <v>3.7878212620930456</v>
      </c>
      <c r="I24" s="129">
        <v>4.8900987550661998</v>
      </c>
      <c r="J24" s="129"/>
      <c r="K24" s="129"/>
      <c r="L24" s="129"/>
      <c r="M24" s="60">
        <f t="shared" si="0"/>
        <v>1</v>
      </c>
      <c r="N24" s="61">
        <f t="shared" si="3"/>
        <v>1.5315170078994036</v>
      </c>
      <c r="O24" s="61">
        <f t="shared" si="16"/>
        <v>1.9610040340654415</v>
      </c>
      <c r="P24" s="129">
        <f t="shared" si="4"/>
        <v>2.9116025921911395</v>
      </c>
      <c r="Q24" s="129">
        <f t="shared" si="5"/>
        <v>2.8335136828969896</v>
      </c>
      <c r="R24" s="129">
        <f t="shared" si="6"/>
        <v>2.9917772944020906</v>
      </c>
      <c r="S24" s="61">
        <f t="shared" si="7"/>
        <v>3.3333333333333335</v>
      </c>
      <c r="T24" s="61">
        <f t="shared" si="1"/>
        <v>4.3053960964408731</v>
      </c>
      <c r="U24" s="61">
        <f t="shared" si="17"/>
        <v>3.3432669025889368</v>
      </c>
      <c r="V24" s="61"/>
      <c r="Y24" s="163" t="s">
        <v>31</v>
      </c>
      <c r="Z24" s="163" t="s">
        <v>57</v>
      </c>
      <c r="AA24" s="163" t="s">
        <v>200</v>
      </c>
      <c r="AB24" s="163">
        <f t="shared" ref="AB24:AB31" si="22">RANK(AH24,$AH$23:$AH$31,1)</f>
        <v>4</v>
      </c>
      <c r="AC24" s="166">
        <f t="shared" ref="AC24:AC31" si="23">MIN($AH$23:$AH$31)</f>
        <v>1.9610040340654415</v>
      </c>
      <c r="AD24" s="166">
        <f t="shared" ref="AD24:AD31" si="24">MAX($AH$23:$AH$31)</f>
        <v>3.6485697606538237</v>
      </c>
      <c r="AE24" s="163"/>
      <c r="AF24" s="163">
        <f t="shared" si="10"/>
        <v>13</v>
      </c>
      <c r="AG24" s="168" t="str">
        <f t="shared" si="11"/>
        <v>N/A</v>
      </c>
      <c r="AH24" s="166">
        <f t="shared" si="12"/>
        <v>2.9917555438828876</v>
      </c>
      <c r="AI24" s="166">
        <f t="shared" si="13"/>
        <v>2.8362660406450724</v>
      </c>
      <c r="AJ24" s="166">
        <f t="shared" si="14"/>
        <v>3.1554924444894481</v>
      </c>
      <c r="AK24" s="168">
        <f t="shared" si="15"/>
        <v>5</v>
      </c>
    </row>
    <row r="25" spans="1:37" x14ac:dyDescent="0.2">
      <c r="A25" s="62" t="s">
        <v>48</v>
      </c>
      <c r="B25" s="62" t="s">
        <v>160</v>
      </c>
      <c r="C25" s="62" t="s">
        <v>201</v>
      </c>
      <c r="D25" s="62"/>
      <c r="E25" s="62">
        <f t="shared" si="2"/>
        <v>1</v>
      </c>
      <c r="F25" s="128" t="s">
        <v>79</v>
      </c>
      <c r="G25" s="129">
        <v>1.5315170078994036</v>
      </c>
      <c r="H25" s="129">
        <v>1.3648155186486901</v>
      </c>
      <c r="I25" s="129">
        <v>1.718225080446665</v>
      </c>
      <c r="J25" s="129"/>
      <c r="K25" s="129"/>
      <c r="L25" s="129"/>
      <c r="M25" s="60">
        <f t="shared" si="0"/>
        <v>2</v>
      </c>
      <c r="N25" s="61">
        <f t="shared" si="3"/>
        <v>1.5315170078994036</v>
      </c>
      <c r="O25" s="61">
        <f t="shared" si="16"/>
        <v>1.9610040340654415</v>
      </c>
      <c r="P25" s="129">
        <f t="shared" si="4"/>
        <v>2.9116025921911395</v>
      </c>
      <c r="Q25" s="129">
        <f t="shared" si="5"/>
        <v>2.8335136828969896</v>
      </c>
      <c r="R25" s="129">
        <f t="shared" si="6"/>
        <v>2.9917772944020906</v>
      </c>
      <c r="S25" s="61">
        <f t="shared" si="7"/>
        <v>3.3333333333333335</v>
      </c>
      <c r="T25" s="61">
        <f t="shared" si="1"/>
        <v>4.3053960964408731</v>
      </c>
      <c r="U25" s="61">
        <f t="shared" si="17"/>
        <v>2.4674384949348771</v>
      </c>
      <c r="V25" s="61"/>
      <c r="Y25" s="163" t="s">
        <v>34</v>
      </c>
      <c r="Z25" s="163" t="s">
        <v>59</v>
      </c>
      <c r="AA25" s="163" t="s">
        <v>200</v>
      </c>
      <c r="AB25" s="163">
        <f t="shared" si="22"/>
        <v>7</v>
      </c>
      <c r="AC25" s="166">
        <f t="shared" si="23"/>
        <v>1.9610040340654415</v>
      </c>
      <c r="AD25" s="166">
        <f t="shared" si="24"/>
        <v>3.6485697606538237</v>
      </c>
      <c r="AE25" s="163"/>
      <c r="AF25" s="163">
        <f t="shared" si="10"/>
        <v>17</v>
      </c>
      <c r="AG25" s="168" t="str">
        <f t="shared" si="11"/>
        <v>N/A</v>
      </c>
      <c r="AH25" s="166">
        <f t="shared" si="12"/>
        <v>3.2145352900069879</v>
      </c>
      <c r="AI25" s="166">
        <f t="shared" si="13"/>
        <v>3.0518241746351507</v>
      </c>
      <c r="AJ25" s="166">
        <f t="shared" si="14"/>
        <v>3.3856185626321129</v>
      </c>
      <c r="AK25" s="168">
        <f t="shared" si="15"/>
        <v>1</v>
      </c>
    </row>
    <row r="26" spans="1:37" x14ac:dyDescent="0.2">
      <c r="A26" s="62" t="s">
        <v>49</v>
      </c>
      <c r="B26" s="62" t="s">
        <v>70</v>
      </c>
      <c r="C26" s="62" t="s">
        <v>200</v>
      </c>
      <c r="D26" s="62"/>
      <c r="E26" s="62">
        <f t="shared" si="2"/>
        <v>7</v>
      </c>
      <c r="F26" s="128" t="s">
        <v>79</v>
      </c>
      <c r="G26" s="129">
        <v>1.9610040340654415</v>
      </c>
      <c r="H26" s="129">
        <v>1.8222490104399167</v>
      </c>
      <c r="I26" s="129">
        <v>2.1100974691376102</v>
      </c>
      <c r="J26" s="129"/>
      <c r="K26" s="129"/>
      <c r="L26" s="129"/>
      <c r="M26" s="60">
        <f t="shared" si="0"/>
        <v>2</v>
      </c>
      <c r="N26" s="61">
        <f t="shared" si="3"/>
        <v>1.5315170078994036</v>
      </c>
      <c r="O26" s="61">
        <f t="shared" si="16"/>
        <v>1.9610040340654415</v>
      </c>
      <c r="P26" s="129">
        <f t="shared" si="4"/>
        <v>2.9116025921911395</v>
      </c>
      <c r="Q26" s="129">
        <f t="shared" si="5"/>
        <v>2.8335136828969896</v>
      </c>
      <c r="R26" s="129">
        <f t="shared" si="6"/>
        <v>2.9917772944020906</v>
      </c>
      <c r="S26" s="61">
        <f t="shared" si="7"/>
        <v>3.3333333333333335</v>
      </c>
      <c r="T26" s="61">
        <f t="shared" si="1"/>
        <v>4.3053960964408731</v>
      </c>
      <c r="U26" s="61">
        <f t="shared" si="17"/>
        <v>3.0599755201958385</v>
      </c>
      <c r="V26" s="61"/>
      <c r="Y26" s="163" t="s">
        <v>39</v>
      </c>
      <c r="Z26" s="163" t="s">
        <v>158</v>
      </c>
      <c r="AA26" s="163" t="s">
        <v>200</v>
      </c>
      <c r="AB26" s="163">
        <f t="shared" si="22"/>
        <v>6</v>
      </c>
      <c r="AC26" s="166">
        <f t="shared" si="23"/>
        <v>1.9610040340654415</v>
      </c>
      <c r="AD26" s="166">
        <f t="shared" si="24"/>
        <v>3.6485697606538237</v>
      </c>
      <c r="AE26" s="163"/>
      <c r="AF26" s="163">
        <f t="shared" si="10"/>
        <v>16</v>
      </c>
      <c r="AG26" s="168" t="str">
        <f t="shared" si="11"/>
        <v>N/A</v>
      </c>
      <c r="AH26" s="166">
        <f t="shared" si="12"/>
        <v>3.0921608889962555</v>
      </c>
      <c r="AI26" s="166">
        <f t="shared" si="13"/>
        <v>2.9297072550738381</v>
      </c>
      <c r="AJ26" s="166">
        <f t="shared" si="14"/>
        <v>3.2633198163985355</v>
      </c>
      <c r="AK26" s="168">
        <f t="shared" si="15"/>
        <v>5</v>
      </c>
    </row>
    <row r="27" spans="1:37" x14ac:dyDescent="0.2">
      <c r="A27" s="62" t="s">
        <v>50</v>
      </c>
      <c r="B27" s="62" t="s">
        <v>161</v>
      </c>
      <c r="C27" s="62" t="s">
        <v>163</v>
      </c>
      <c r="D27" s="62"/>
      <c r="E27" s="62">
        <f t="shared" si="2"/>
        <v>10</v>
      </c>
      <c r="F27" s="128" t="s">
        <v>79</v>
      </c>
      <c r="G27" s="129">
        <v>2.5936599423631126</v>
      </c>
      <c r="H27" s="129">
        <v>2.3775181008698838</v>
      </c>
      <c r="I27" s="129">
        <v>2.8288819887565797</v>
      </c>
      <c r="J27" s="129"/>
      <c r="K27" s="129"/>
      <c r="L27" s="129"/>
      <c r="M27" s="60">
        <f t="shared" si="0"/>
        <v>2</v>
      </c>
      <c r="N27" s="61">
        <f t="shared" si="3"/>
        <v>1.5315170078994036</v>
      </c>
      <c r="O27" s="61">
        <f t="shared" si="16"/>
        <v>1.9610040340654415</v>
      </c>
      <c r="P27" s="129">
        <f t="shared" si="4"/>
        <v>2.9116025921911395</v>
      </c>
      <c r="Q27" s="129">
        <f t="shared" si="5"/>
        <v>2.8335136828969896</v>
      </c>
      <c r="R27" s="129">
        <f t="shared" si="6"/>
        <v>2.9917772944020906</v>
      </c>
      <c r="S27" s="61">
        <f t="shared" si="7"/>
        <v>3.3333333333333335</v>
      </c>
      <c r="T27" s="61">
        <f t="shared" si="1"/>
        <v>4.3053960964408731</v>
      </c>
      <c r="U27" s="61">
        <f t="shared" si="17"/>
        <v>3.3432669025889368</v>
      </c>
      <c r="V27" s="61"/>
      <c r="Y27" s="163" t="s">
        <v>40</v>
      </c>
      <c r="Z27" s="163" t="s">
        <v>63</v>
      </c>
      <c r="AA27" s="163" t="s">
        <v>200</v>
      </c>
      <c r="AB27" s="163">
        <f t="shared" si="22"/>
        <v>3</v>
      </c>
      <c r="AC27" s="166">
        <f t="shared" si="23"/>
        <v>1.9610040340654415</v>
      </c>
      <c r="AD27" s="166">
        <f t="shared" si="24"/>
        <v>3.6485697606538237</v>
      </c>
      <c r="AE27" s="163"/>
      <c r="AF27" s="163">
        <f t="shared" si="10"/>
        <v>9</v>
      </c>
      <c r="AG27" s="168" t="str">
        <f t="shared" si="11"/>
        <v>N/A</v>
      </c>
      <c r="AH27" s="166">
        <f t="shared" si="12"/>
        <v>2.5843132187621141</v>
      </c>
      <c r="AI27" s="166">
        <f t="shared" si="13"/>
        <v>2.3458684451697955</v>
      </c>
      <c r="AJ27" s="166">
        <f t="shared" si="14"/>
        <v>2.8462881917444127</v>
      </c>
      <c r="AK27" s="168">
        <f t="shared" si="15"/>
        <v>5</v>
      </c>
    </row>
    <row r="28" spans="1:37" x14ac:dyDescent="0.2">
      <c r="A28" s="62" t="s">
        <v>51</v>
      </c>
      <c r="B28" s="62" t="s">
        <v>71</v>
      </c>
      <c r="C28" s="62" t="s">
        <v>200</v>
      </c>
      <c r="D28" s="62"/>
      <c r="E28" s="62">
        <f t="shared" si="2"/>
        <v>25</v>
      </c>
      <c r="F28" s="128" t="s">
        <v>79</v>
      </c>
      <c r="G28" s="129">
        <v>3.6485697606538237</v>
      </c>
      <c r="H28" s="129">
        <v>3.3780251999689046</v>
      </c>
      <c r="I28" s="129">
        <v>3.9398985816545231</v>
      </c>
      <c r="J28" s="129"/>
      <c r="K28" s="129"/>
      <c r="L28" s="129"/>
      <c r="M28" s="60">
        <f t="shared" si="0"/>
        <v>1</v>
      </c>
      <c r="N28" s="61">
        <f t="shared" si="3"/>
        <v>1.5315170078994036</v>
      </c>
      <c r="O28" s="61">
        <f t="shared" si="16"/>
        <v>1.9610040340654415</v>
      </c>
      <c r="P28" s="129">
        <f t="shared" si="4"/>
        <v>2.9116025921911395</v>
      </c>
      <c r="Q28" s="129">
        <f t="shared" si="5"/>
        <v>2.8335136828969896</v>
      </c>
      <c r="R28" s="129">
        <f t="shared" si="6"/>
        <v>2.9917772944020906</v>
      </c>
      <c r="S28" s="61">
        <f t="shared" si="7"/>
        <v>3.3333333333333335</v>
      </c>
      <c r="T28" s="61">
        <f t="shared" si="1"/>
        <v>4.3053960964408731</v>
      </c>
      <c r="U28" s="61">
        <f t="shared" si="17"/>
        <v>3.0599755201958385</v>
      </c>
      <c r="V28" s="61"/>
      <c r="Y28" s="163" t="s">
        <v>42</v>
      </c>
      <c r="Z28" s="163" t="s">
        <v>65</v>
      </c>
      <c r="AA28" s="163" t="s">
        <v>200</v>
      </c>
      <c r="AB28" s="163">
        <f t="shared" si="22"/>
        <v>8</v>
      </c>
      <c r="AC28" s="166">
        <f t="shared" si="23"/>
        <v>1.9610040340654415</v>
      </c>
      <c r="AD28" s="166">
        <f t="shared" si="24"/>
        <v>3.6485697606538237</v>
      </c>
      <c r="AE28" s="163"/>
      <c r="AF28" s="163">
        <f t="shared" si="10"/>
        <v>23</v>
      </c>
      <c r="AG28" s="168" t="str">
        <f t="shared" si="11"/>
        <v>N/A</v>
      </c>
      <c r="AH28" s="166">
        <f t="shared" si="12"/>
        <v>3.4602076124567471</v>
      </c>
      <c r="AI28" s="166">
        <f t="shared" si="13"/>
        <v>3.1595753310760961</v>
      </c>
      <c r="AJ28" s="166">
        <f t="shared" si="14"/>
        <v>3.7883259227118882</v>
      </c>
      <c r="AK28" s="168">
        <f t="shared" si="15"/>
        <v>1</v>
      </c>
    </row>
    <row r="29" spans="1:37" x14ac:dyDescent="0.2">
      <c r="A29" s="62" t="s">
        <v>52</v>
      </c>
      <c r="B29" s="62" t="s">
        <v>72</v>
      </c>
      <c r="C29" s="62" t="s">
        <v>201</v>
      </c>
      <c r="D29" s="62"/>
      <c r="E29" s="62">
        <f t="shared" si="2"/>
        <v>2</v>
      </c>
      <c r="F29" s="128" t="s">
        <v>79</v>
      </c>
      <c r="G29" s="129">
        <v>1.6602881584871678</v>
      </c>
      <c r="H29" s="129">
        <v>1.4825850092340891</v>
      </c>
      <c r="I29" s="129">
        <v>1.858888974746074</v>
      </c>
      <c r="J29" s="129"/>
      <c r="K29" s="129"/>
      <c r="L29" s="129"/>
      <c r="M29" s="60">
        <f t="shared" si="0"/>
        <v>2</v>
      </c>
      <c r="N29" s="61">
        <f t="shared" si="3"/>
        <v>1.5315170078994036</v>
      </c>
      <c r="O29" s="61">
        <f t="shared" si="16"/>
        <v>1.9610040340654415</v>
      </c>
      <c r="P29" s="129">
        <f t="shared" si="4"/>
        <v>2.9116025921911395</v>
      </c>
      <c r="Q29" s="129">
        <f t="shared" si="5"/>
        <v>2.8335136828969896</v>
      </c>
      <c r="R29" s="129">
        <f t="shared" si="6"/>
        <v>2.9917772944020906</v>
      </c>
      <c r="S29" s="61">
        <f t="shared" si="7"/>
        <v>3.3333333333333335</v>
      </c>
      <c r="T29" s="61">
        <f t="shared" si="1"/>
        <v>4.3053960964408731</v>
      </c>
      <c r="U29" s="61">
        <f t="shared" si="17"/>
        <v>2.4674384949348771</v>
      </c>
      <c r="V29" s="61"/>
      <c r="Y29" s="163" t="s">
        <v>44</v>
      </c>
      <c r="Z29" s="163" t="s">
        <v>66</v>
      </c>
      <c r="AA29" s="163" t="s">
        <v>200</v>
      </c>
      <c r="AB29" s="163">
        <f t="shared" si="22"/>
        <v>2</v>
      </c>
      <c r="AC29" s="166">
        <f t="shared" si="23"/>
        <v>1.9610040340654415</v>
      </c>
      <c r="AD29" s="166">
        <f t="shared" si="24"/>
        <v>3.6485697606538237</v>
      </c>
      <c r="AE29" s="163"/>
      <c r="AF29" s="163">
        <f t="shared" si="10"/>
        <v>8</v>
      </c>
      <c r="AG29" s="168" t="str">
        <f t="shared" si="11"/>
        <v>N/A</v>
      </c>
      <c r="AH29" s="166">
        <f t="shared" si="12"/>
        <v>2.0293911826452065</v>
      </c>
      <c r="AI29" s="166">
        <f t="shared" si="13"/>
        <v>1.8107684270605935</v>
      </c>
      <c r="AJ29" s="166">
        <f t="shared" si="14"/>
        <v>2.2737980661574135</v>
      </c>
      <c r="AK29" s="168">
        <f t="shared" si="15"/>
        <v>2</v>
      </c>
    </row>
    <row r="30" spans="1:37" x14ac:dyDescent="0.2">
      <c r="A30" s="62" t="s">
        <v>53</v>
      </c>
      <c r="B30" s="62" t="s">
        <v>162</v>
      </c>
      <c r="C30" s="62" t="s">
        <v>163</v>
      </c>
      <c r="D30" s="62"/>
      <c r="E30" s="62">
        <f t="shared" si="2"/>
        <v>21</v>
      </c>
      <c r="F30" s="128" t="s">
        <v>79</v>
      </c>
      <c r="G30" s="129">
        <v>3.3987217850677895</v>
      </c>
      <c r="H30" s="129">
        <v>3.2493656084300895</v>
      </c>
      <c r="I30" s="129">
        <v>3.5546908469133394</v>
      </c>
      <c r="J30" s="129"/>
      <c r="K30" s="129"/>
      <c r="L30" s="129"/>
      <c r="M30" s="60">
        <f t="shared" si="0"/>
        <v>1</v>
      </c>
      <c r="N30" s="61">
        <f t="shared" si="3"/>
        <v>1.5315170078994036</v>
      </c>
      <c r="O30" s="61">
        <f t="shared" si="16"/>
        <v>1.9610040340654415</v>
      </c>
      <c r="P30" s="129">
        <f>$G$32</f>
        <v>2.9116025921911395</v>
      </c>
      <c r="Q30" s="129">
        <f t="shared" si="5"/>
        <v>2.8335136828969896</v>
      </c>
      <c r="R30" s="129">
        <f t="shared" si="6"/>
        <v>2.9917772944020906</v>
      </c>
      <c r="S30" s="61">
        <f t="shared" si="7"/>
        <v>3.3333333333333335</v>
      </c>
      <c r="T30" s="61">
        <f t="shared" si="1"/>
        <v>4.3053960964408731</v>
      </c>
      <c r="U30" s="61">
        <f t="shared" si="17"/>
        <v>3.3432669025889368</v>
      </c>
      <c r="V30" s="61"/>
      <c r="Y30" s="163" t="s">
        <v>49</v>
      </c>
      <c r="Z30" s="163" t="s">
        <v>70</v>
      </c>
      <c r="AA30" s="163" t="s">
        <v>200</v>
      </c>
      <c r="AB30" s="163">
        <f t="shared" si="22"/>
        <v>1</v>
      </c>
      <c r="AC30" s="166">
        <f t="shared" si="23"/>
        <v>1.9610040340654415</v>
      </c>
      <c r="AD30" s="166">
        <f t="shared" si="24"/>
        <v>3.6485697606538237</v>
      </c>
      <c r="AE30" s="163"/>
      <c r="AF30" s="163">
        <f t="shared" si="10"/>
        <v>7</v>
      </c>
      <c r="AG30" s="168" t="str">
        <f t="shared" si="11"/>
        <v>N/A</v>
      </c>
      <c r="AH30" s="166">
        <f t="shared" si="12"/>
        <v>1.9610040340654415</v>
      </c>
      <c r="AI30" s="166">
        <f t="shared" si="13"/>
        <v>1.8222490104399167</v>
      </c>
      <c r="AJ30" s="166">
        <f t="shared" si="14"/>
        <v>2.1100974691376102</v>
      </c>
      <c r="AK30" s="168">
        <f t="shared" si="15"/>
        <v>2</v>
      </c>
    </row>
    <row r="31" spans="1:37" x14ac:dyDescent="0.2">
      <c r="A31" s="62" t="s">
        <v>54</v>
      </c>
      <c r="B31" s="62" t="s">
        <v>73</v>
      </c>
      <c r="C31" s="62" t="s">
        <v>201</v>
      </c>
      <c r="D31" s="62"/>
      <c r="E31" s="62">
        <f t="shared" si="2"/>
        <v>3</v>
      </c>
      <c r="F31" s="128" t="s">
        <v>79</v>
      </c>
      <c r="G31" s="129">
        <v>1.6918668455066455</v>
      </c>
      <c r="H31" s="129">
        <v>1.5578563168604371</v>
      </c>
      <c r="I31" s="129">
        <v>1.8371901393922567</v>
      </c>
      <c r="J31" s="129"/>
      <c r="K31" s="129"/>
      <c r="L31" s="129"/>
      <c r="M31" s="60">
        <f t="shared" si="0"/>
        <v>2</v>
      </c>
      <c r="N31" s="61">
        <f t="shared" si="3"/>
        <v>1.5315170078994036</v>
      </c>
      <c r="O31" s="61">
        <f t="shared" si="16"/>
        <v>1.9610040340654415</v>
      </c>
      <c r="P31" s="129">
        <f t="shared" si="4"/>
        <v>2.9116025921911395</v>
      </c>
      <c r="Q31" s="129">
        <f t="shared" si="5"/>
        <v>2.8335136828969896</v>
      </c>
      <c r="R31" s="129">
        <f t="shared" si="6"/>
        <v>2.9917772944020906</v>
      </c>
      <c r="S31" s="61">
        <f t="shared" si="7"/>
        <v>3.3333333333333335</v>
      </c>
      <c r="T31" s="61">
        <f t="shared" si="1"/>
        <v>4.3053960964408731</v>
      </c>
      <c r="U31" s="61">
        <f t="shared" si="17"/>
        <v>2.4674384949348771</v>
      </c>
      <c r="V31" s="61"/>
      <c r="Y31" s="163" t="s">
        <v>51</v>
      </c>
      <c r="Z31" s="163" t="s">
        <v>71</v>
      </c>
      <c r="AA31" s="163" t="s">
        <v>200</v>
      </c>
      <c r="AB31" s="163">
        <f t="shared" si="22"/>
        <v>9</v>
      </c>
      <c r="AC31" s="166">
        <f t="shared" si="23"/>
        <v>1.9610040340654415</v>
      </c>
      <c r="AD31" s="166">
        <f t="shared" si="24"/>
        <v>3.6485697606538237</v>
      </c>
      <c r="AE31" s="163"/>
      <c r="AF31" s="163">
        <f t="shared" si="10"/>
        <v>25</v>
      </c>
      <c r="AG31" s="168" t="str">
        <f t="shared" si="11"/>
        <v>N/A</v>
      </c>
      <c r="AH31" s="166">
        <f t="shared" si="12"/>
        <v>3.6485697606538237</v>
      </c>
      <c r="AI31" s="166">
        <f t="shared" si="13"/>
        <v>3.3780251999689046</v>
      </c>
      <c r="AJ31" s="166">
        <f t="shared" si="14"/>
        <v>3.9398985816545231</v>
      </c>
      <c r="AK31" s="168">
        <f t="shared" si="15"/>
        <v>1</v>
      </c>
    </row>
    <row r="32" spans="1:37" x14ac:dyDescent="0.2">
      <c r="A32" s="62"/>
      <c r="B32" s="62" t="s">
        <v>171</v>
      </c>
      <c r="C32" s="62"/>
      <c r="D32" s="62"/>
      <c r="E32" s="62"/>
      <c r="F32" s="128">
        <v>5050</v>
      </c>
      <c r="G32" s="129">
        <v>2.9116025921911395</v>
      </c>
      <c r="H32" s="129">
        <v>2.8335136828969896</v>
      </c>
      <c r="I32" s="129">
        <v>2.9917772944020906</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1795</v>
      </c>
      <c r="G44" s="129">
        <v>3.3432669025889368</v>
      </c>
      <c r="H44" s="129">
        <v>3.1945179114664901</v>
      </c>
      <c r="I44" s="129">
        <v>3.498691889096786</v>
      </c>
      <c r="J44" s="129">
        <f>VLOOKUP($C44,$AA$6:$AD$13,3,FALSE)</f>
        <v>2.5936599423631126</v>
      </c>
      <c r="K44" s="129">
        <f>VLOOKUP($C44,$AA$6:$AD$13,4,FALSE)</f>
        <v>4.3053960964408731</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1</v>
      </c>
      <c r="N44" s="61">
        <f>MIN($G$6:$G$31)</f>
        <v>1.5315170078994036</v>
      </c>
      <c r="O44" s="61">
        <f>VLOOKUP(7,$E$5:$G$39,3,FALSE)</f>
        <v>1.9610040340654415</v>
      </c>
      <c r="P44" s="129">
        <f>$G$32</f>
        <v>2.9116025921911395</v>
      </c>
      <c r="Q44" s="129">
        <f>$H$32</f>
        <v>2.8335136828969896</v>
      </c>
      <c r="R44" s="129">
        <f>$I$32</f>
        <v>2.9917772944020906</v>
      </c>
      <c r="S44" s="61">
        <f>VLOOKUP(20,$E$5:$G$39,3,FALSE)</f>
        <v>3.3333333333333335</v>
      </c>
      <c r="T44" s="61">
        <f>MAX($G$6:$G$31)</f>
        <v>4.3053960964408731</v>
      </c>
    </row>
    <row r="45" spans="1:22" x14ac:dyDescent="0.2">
      <c r="C45" s="62" t="s">
        <v>201</v>
      </c>
      <c r="D45" s="62"/>
      <c r="E45" s="62"/>
      <c r="F45" s="128">
        <v>1705</v>
      </c>
      <c r="G45" s="129">
        <v>2.4674384949348771</v>
      </c>
      <c r="H45" s="129">
        <v>2.3543874956372788</v>
      </c>
      <c r="I45" s="129">
        <v>2.5857741317811023</v>
      </c>
      <c r="J45" s="129">
        <f>VLOOKUP($C45,$AA$14:$AD$22,3,FALSE)</f>
        <v>1.5315170078994036</v>
      </c>
      <c r="K45" s="129">
        <f>VLOOKUP($C45,$AA$14:$AD$22,4,FALSE)</f>
        <v>3.3084292232462595</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2</v>
      </c>
      <c r="N45" s="61">
        <f>MIN($G$6:$G$31)</f>
        <v>1.5315170078994036</v>
      </c>
      <c r="O45" s="61">
        <f>VLOOKUP(7,$E$5:$G$39,3,FALSE)</f>
        <v>1.9610040340654415</v>
      </c>
      <c r="P45" s="129">
        <f>$G$32</f>
        <v>2.9116025921911395</v>
      </c>
      <c r="Q45" s="129">
        <f t="shared" ref="Q45:Q46" si="25">$H$32</f>
        <v>2.8335136828969896</v>
      </c>
      <c r="R45" s="129">
        <f t="shared" ref="R45:R46" si="26">$I$32</f>
        <v>2.9917772944020906</v>
      </c>
      <c r="S45" s="61">
        <f>VLOOKUP(20,$E$5:$G$39,3,FALSE)</f>
        <v>3.3333333333333335</v>
      </c>
      <c r="T45" s="61">
        <f t="shared" ref="T45:T46" si="27">MAX($G$6:$G$31)</f>
        <v>4.3053960964408731</v>
      </c>
    </row>
    <row r="46" spans="1:22" x14ac:dyDescent="0.2">
      <c r="C46" s="62" t="s">
        <v>200</v>
      </c>
      <c r="D46" s="62"/>
      <c r="E46" s="62"/>
      <c r="F46" s="128">
        <v>1550</v>
      </c>
      <c r="G46" s="129">
        <v>3.0599755201958385</v>
      </c>
      <c r="H46" s="129">
        <v>2.9135121477603176</v>
      </c>
      <c r="I46" s="129">
        <v>3.2135579551847107</v>
      </c>
      <c r="J46" s="129">
        <f>VLOOKUP($C46,$AA$23:$AD$31,3,FALSE)</f>
        <v>1.9610040340654415</v>
      </c>
      <c r="K46" s="129">
        <f>VLOOKUP($C46,$AA$23:$AD$31,4,FALSE)</f>
        <v>3.6485697606538237</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5</v>
      </c>
      <c r="N46" s="61">
        <f>MIN($G$6:$G$31)</f>
        <v>1.5315170078994036</v>
      </c>
      <c r="O46" s="61">
        <f>VLOOKUP(7,$E$5:$G$39,3,FALSE)</f>
        <v>1.9610040340654415</v>
      </c>
      <c r="P46" s="129">
        <f t="shared" ref="P46" si="28">$G$32</f>
        <v>2.9116025921911395</v>
      </c>
      <c r="Q46" s="129">
        <f t="shared" si="25"/>
        <v>2.8335136828969896</v>
      </c>
      <c r="R46" s="129">
        <f t="shared" si="26"/>
        <v>2.9917772944020906</v>
      </c>
      <c r="S46" s="61">
        <f>VLOOKUP(20,$E$5:$G$39,3,FALSE)</f>
        <v>3.3333333333333335</v>
      </c>
      <c r="T46" s="61">
        <f t="shared" si="27"/>
        <v>4.3053960964408731</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row r="57" spans="2:20" ht="13.5" customHeight="1" x14ac:dyDescent="0.2"/>
  </sheetData>
  <mergeCells count="2">
    <mergeCell ref="C2:D2"/>
    <mergeCell ref="K2:N2"/>
  </mergeCells>
  <dataValidations count="2">
    <dataValidation type="list" allowBlank="1" showInputMessage="1" showErrorMessage="1" sqref="K2:N2" xr:uid="{00000000-0002-0000-4300-000000000000}">
      <formula1>"High = Worst,Low = Worst"</formula1>
    </dataValidation>
    <dataValidation type="list" allowBlank="1" showInputMessage="1" showErrorMessage="1" sqref="C2:D2" xr:uid="{00000000-0002-0000-4300-000001000000}">
      <formula1>"Better / Worse,Higher / Lower,Significance not measured"</formula1>
    </dataValidation>
  </dataValidations>
  <pageMargins left="0.75" right="0.75" top="1" bottom="1" header="0.5" footer="0.5"/>
  <pageSetup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4">
    <tabColor theme="6" tint="0.39997558519241921"/>
  </sheetPr>
  <dimension ref="A1:AK55"/>
  <sheetViews>
    <sheetView workbookViewId="0">
      <selection activeCell="F55" sqref="F55"/>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8" width="7.33203125" style="21" customWidth="1"/>
    <col min="9" max="9" width="6.886718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5.554687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24</v>
      </c>
      <c r="F6" s="128" t="s">
        <v>79</v>
      </c>
      <c r="G6" s="129">
        <v>16.823529411764707</v>
      </c>
      <c r="H6" s="129">
        <v>16.110098463524388</v>
      </c>
      <c r="I6" s="129">
        <v>17.561940372894284</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1</v>
      </c>
      <c r="N6" s="61">
        <f>MIN($G$6:$G$32)</f>
        <v>8.4733382030679323</v>
      </c>
      <c r="O6" s="61">
        <f>VLOOKUP(7,$E$5:$G$39,3,FALSE)</f>
        <v>9.3337450783602254</v>
      </c>
      <c r="P6" s="129">
        <f>$G$32</f>
        <v>11.470826773531797</v>
      </c>
      <c r="Q6" s="129">
        <f>$H$32</f>
        <v>11.27930825116926</v>
      </c>
      <c r="R6" s="129">
        <f>$I$32</f>
        <v>11.665169642204907</v>
      </c>
      <c r="S6" s="61">
        <f>VLOOKUP(20,$E$5:$G$39,3,FALSE)</f>
        <v>14.799281006590773</v>
      </c>
      <c r="T6" s="61">
        <f t="shared" ref="T6:T31" si="1">MAX($G$6:$G$31)</f>
        <v>18.022741629816803</v>
      </c>
      <c r="U6" s="61">
        <f>VLOOKUP(C6,$C$43:$I$46,5,FALSE)</f>
        <v>15.971985496916545</v>
      </c>
      <c r="V6" s="61"/>
      <c r="Y6" s="159" t="s">
        <v>33</v>
      </c>
      <c r="Z6" s="159" t="s">
        <v>58</v>
      </c>
      <c r="AA6" s="159" t="s">
        <v>163</v>
      </c>
      <c r="AB6" s="159">
        <f>RANK(AH6,$AH$6:$AH$13,1)</f>
        <v>2</v>
      </c>
      <c r="AC6" s="164">
        <f>MIN($AH$6:$AH$13)</f>
        <v>8.4733382030679323</v>
      </c>
      <c r="AD6" s="164">
        <f>MAX($AH$6:$AH$13)</f>
        <v>9.3630919978225382</v>
      </c>
      <c r="AE6" s="159"/>
      <c r="AF6" s="159">
        <f>VLOOKUP($Y6,$A$6:$I$31,5,FALSE)</f>
        <v>2</v>
      </c>
      <c r="AG6" s="160" t="str">
        <f>VLOOKUP($Y6,$A$6:$I$31,6,FALSE)</f>
        <v>N/A</v>
      </c>
      <c r="AH6" s="161">
        <f>VLOOKUP($Y6,$A$6:$I$31,7,FALSE)</f>
        <v>8.8830188679245285</v>
      </c>
      <c r="AI6" s="161">
        <f>VLOOKUP($Y6,$A$6:$I$31,8,FALSE)</f>
        <v>8.5464162122522342</v>
      </c>
      <c r="AJ6" s="161">
        <f>VLOOKUP($Y6,$A$6:$I$31,9,FALSE)</f>
        <v>9.2315404893886726</v>
      </c>
      <c r="AK6" s="160">
        <f>VLOOKUP($Y6,$A$6:$M$31,13,FALSE)</f>
        <v>2</v>
      </c>
    </row>
    <row r="7" spans="1:37" x14ac:dyDescent="0.2">
      <c r="A7" s="62" t="s">
        <v>30</v>
      </c>
      <c r="B7" s="62" t="s">
        <v>56</v>
      </c>
      <c r="C7" s="62" t="s">
        <v>200</v>
      </c>
      <c r="D7" s="62"/>
      <c r="E7" s="62">
        <f t="shared" ref="E7:E31" si="2">RANK(G7,$G$6:$G$31,1)</f>
        <v>9</v>
      </c>
      <c r="F7" s="128" t="s">
        <v>79</v>
      </c>
      <c r="G7" s="129">
        <v>9.6262021411722003</v>
      </c>
      <c r="H7" s="129">
        <v>9.0895462487253216</v>
      </c>
      <c r="I7" s="129">
        <v>10.190990903566281</v>
      </c>
      <c r="J7" s="129"/>
      <c r="K7" s="129"/>
      <c r="L7" s="129"/>
      <c r="M7" s="60">
        <f t="shared" si="0"/>
        <v>2</v>
      </c>
      <c r="N7" s="61">
        <f t="shared" ref="N7:N31" si="3">MIN($G$6:$G$32)</f>
        <v>8.4733382030679323</v>
      </c>
      <c r="O7" s="61">
        <f>VLOOKUP(7,$E$5:$G$39,3,FALSE)</f>
        <v>9.3337450783602254</v>
      </c>
      <c r="P7" s="129">
        <f t="shared" ref="P7:P31" si="4">$G$32</f>
        <v>11.470826773531797</v>
      </c>
      <c r="Q7" s="129">
        <f t="shared" ref="Q7:Q31" si="5">$H$32</f>
        <v>11.27930825116926</v>
      </c>
      <c r="R7" s="129">
        <f t="shared" ref="R7:R31" si="6">$I$32</f>
        <v>11.665169642204907</v>
      </c>
      <c r="S7" s="61">
        <f t="shared" ref="S7:S31" si="7">VLOOKUP(20,$E$5:$G$39,3,FALSE)</f>
        <v>14.799281006590773</v>
      </c>
      <c r="T7" s="61">
        <f t="shared" si="1"/>
        <v>18.022741629816803</v>
      </c>
      <c r="U7" s="61">
        <f>VLOOKUP(C7,$C$43:$I$46,5,FALSE)</f>
        <v>9.9991164256472196</v>
      </c>
      <c r="V7" s="61"/>
      <c r="Y7" s="159" t="s">
        <v>35</v>
      </c>
      <c r="Z7" s="159" t="s">
        <v>60</v>
      </c>
      <c r="AA7" s="159" t="s">
        <v>163</v>
      </c>
      <c r="AB7" s="159">
        <f t="shared" ref="AB7:AB12" si="8">RANK(AH7,$AH$6:$AH$13,1)</f>
        <v>6</v>
      </c>
      <c r="AC7" s="164">
        <f>MIN($AH$6:$AH$13)</f>
        <v>8.4733382030679323</v>
      </c>
      <c r="AD7" s="164">
        <f t="shared" ref="AD7:AD13" si="9">MAX($AH$6:$AH$13)</f>
        <v>9.3630919978225382</v>
      </c>
      <c r="AE7" s="159"/>
      <c r="AF7" s="159">
        <f t="shared" ref="AF7:AF31" si="10">VLOOKUP($Y7,$A$6:$I$31,5,FALSE)</f>
        <v>6</v>
      </c>
      <c r="AG7" s="160" t="str">
        <f t="shared" ref="AG7:AG31" si="11">VLOOKUP($Y7,$A$6:$I$31,6,FALSE)</f>
        <v>N/A</v>
      </c>
      <c r="AH7" s="161">
        <f t="shared" ref="AH7:AH31" si="12">VLOOKUP($Y7,$A$6:$I$31,7,FALSE)</f>
        <v>9.0485875706214696</v>
      </c>
      <c r="AI7" s="161">
        <f t="shared" ref="AI7:AI31" si="13">VLOOKUP($Y7,$A$6:$I$31,8,FALSE)</f>
        <v>8.6776539950274501</v>
      </c>
      <c r="AJ7" s="161">
        <f t="shared" ref="AJ7:AJ31" si="14">VLOOKUP($Y7,$A$6:$I$31,9,FALSE)</f>
        <v>9.433739076674204</v>
      </c>
      <c r="AK7" s="160">
        <f t="shared" ref="AK7:AK31" si="15">VLOOKUP($Y7,$A$6:$M$31,13,FALSE)</f>
        <v>2</v>
      </c>
    </row>
    <row r="8" spans="1:37" x14ac:dyDescent="0.2">
      <c r="A8" s="62" t="s">
        <v>31</v>
      </c>
      <c r="B8" s="62" t="s">
        <v>57</v>
      </c>
      <c r="C8" s="62" t="s">
        <v>200</v>
      </c>
      <c r="D8" s="62"/>
      <c r="E8" s="62">
        <f t="shared" si="2"/>
        <v>11</v>
      </c>
      <c r="F8" s="128" t="s">
        <v>79</v>
      </c>
      <c r="G8" s="129">
        <v>9.779805594128149</v>
      </c>
      <c r="H8" s="129">
        <v>9.4501373795896217</v>
      </c>
      <c r="I8" s="129">
        <v>10.119689017283937</v>
      </c>
      <c r="J8" s="129"/>
      <c r="K8" s="129"/>
      <c r="L8" s="129"/>
      <c r="M8" s="60">
        <f t="shared" si="0"/>
        <v>2</v>
      </c>
      <c r="N8" s="61">
        <f t="shared" si="3"/>
        <v>8.4733382030679323</v>
      </c>
      <c r="O8" s="61">
        <f t="shared" ref="O8:O31" si="16">VLOOKUP(7,$E$5:$G$39,3,FALSE)</f>
        <v>9.3337450783602254</v>
      </c>
      <c r="P8" s="129">
        <f t="shared" si="4"/>
        <v>11.470826773531797</v>
      </c>
      <c r="Q8" s="129">
        <f t="shared" si="5"/>
        <v>11.27930825116926</v>
      </c>
      <c r="R8" s="129">
        <f t="shared" si="6"/>
        <v>11.665169642204907</v>
      </c>
      <c r="S8" s="61">
        <f t="shared" si="7"/>
        <v>14.799281006590773</v>
      </c>
      <c r="T8" s="61">
        <f t="shared" si="1"/>
        <v>18.022741629816803</v>
      </c>
      <c r="U8" s="61">
        <f t="shared" ref="U8:U31" si="17">VLOOKUP(C8,$C$43:$I$46,5,FALSE)</f>
        <v>9.9991164256472196</v>
      </c>
      <c r="V8" s="61"/>
      <c r="Y8" s="159" t="s">
        <v>41</v>
      </c>
      <c r="Z8" s="159" t="s">
        <v>64</v>
      </c>
      <c r="AA8" s="159" t="s">
        <v>163</v>
      </c>
      <c r="AB8" s="159">
        <f t="shared" si="8"/>
        <v>4</v>
      </c>
      <c r="AC8" s="164">
        <f t="shared" ref="AC8:AC13" si="18">MIN($AH$6:$AH$13)</f>
        <v>8.4733382030679323</v>
      </c>
      <c r="AD8" s="164">
        <f>MAX($AH$6:$AH$13)</f>
        <v>9.3630919978225382</v>
      </c>
      <c r="AE8" s="159"/>
      <c r="AF8" s="159">
        <f t="shared" si="10"/>
        <v>4</v>
      </c>
      <c r="AG8" s="160" t="str">
        <f t="shared" si="11"/>
        <v>N/A</v>
      </c>
      <c r="AH8" s="161">
        <f t="shared" si="12"/>
        <v>8.9221683189200593</v>
      </c>
      <c r="AI8" s="161">
        <f t="shared" si="13"/>
        <v>8.5659068406800731</v>
      </c>
      <c r="AJ8" s="161">
        <f t="shared" si="14"/>
        <v>9.2917411855819836</v>
      </c>
      <c r="AK8" s="160">
        <f t="shared" si="15"/>
        <v>2</v>
      </c>
    </row>
    <row r="9" spans="1:37" x14ac:dyDescent="0.2">
      <c r="A9" s="62" t="s">
        <v>32</v>
      </c>
      <c r="B9" s="62" t="s">
        <v>156</v>
      </c>
      <c r="C9" s="62" t="s">
        <v>201</v>
      </c>
      <c r="D9" s="62"/>
      <c r="E9" s="62">
        <f t="shared" si="2"/>
        <v>19</v>
      </c>
      <c r="F9" s="128" t="s">
        <v>79</v>
      </c>
      <c r="G9" s="129">
        <v>14.380816520616806</v>
      </c>
      <c r="H9" s="129">
        <v>13.984649597201448</v>
      </c>
      <c r="I9" s="129">
        <v>14.78627709092992</v>
      </c>
      <c r="J9" s="129"/>
      <c r="K9" s="129"/>
      <c r="L9" s="129"/>
      <c r="M9" s="60">
        <f t="shared" si="0"/>
        <v>1</v>
      </c>
      <c r="N9" s="61">
        <f t="shared" si="3"/>
        <v>8.4733382030679323</v>
      </c>
      <c r="O9" s="61">
        <f t="shared" si="16"/>
        <v>9.3337450783602254</v>
      </c>
      <c r="P9" s="129">
        <f t="shared" si="4"/>
        <v>11.470826773531797</v>
      </c>
      <c r="Q9" s="129">
        <f t="shared" si="5"/>
        <v>11.27930825116926</v>
      </c>
      <c r="R9" s="129">
        <f t="shared" si="6"/>
        <v>11.665169642204907</v>
      </c>
      <c r="S9" s="61">
        <f t="shared" si="7"/>
        <v>14.799281006590773</v>
      </c>
      <c r="T9" s="61">
        <f t="shared" si="1"/>
        <v>18.022741629816803</v>
      </c>
      <c r="U9" s="61">
        <f t="shared" si="17"/>
        <v>15.971985496916545</v>
      </c>
      <c r="V9" s="61"/>
      <c r="X9" s="63"/>
      <c r="Y9" s="159" t="s">
        <v>45</v>
      </c>
      <c r="Z9" s="159" t="s">
        <v>67</v>
      </c>
      <c r="AA9" s="159" t="s">
        <v>163</v>
      </c>
      <c r="AB9" s="159">
        <f t="shared" si="8"/>
        <v>8</v>
      </c>
      <c r="AC9" s="164">
        <f t="shared" si="18"/>
        <v>8.4733382030679323</v>
      </c>
      <c r="AD9" s="164">
        <f t="shared" si="9"/>
        <v>9.3630919978225382</v>
      </c>
      <c r="AE9" s="159"/>
      <c r="AF9" s="159">
        <f t="shared" si="10"/>
        <v>8</v>
      </c>
      <c r="AG9" s="160" t="str">
        <f t="shared" si="11"/>
        <v>N/A</v>
      </c>
      <c r="AH9" s="161">
        <f t="shared" si="12"/>
        <v>9.3630919978225382</v>
      </c>
      <c r="AI9" s="161">
        <f t="shared" si="13"/>
        <v>8.9502810986379</v>
      </c>
      <c r="AJ9" s="161">
        <f t="shared" si="14"/>
        <v>9.7928949897103301</v>
      </c>
      <c r="AK9" s="160">
        <f t="shared" si="15"/>
        <v>2</v>
      </c>
    </row>
    <row r="10" spans="1:37" x14ac:dyDescent="0.2">
      <c r="A10" s="62" t="s">
        <v>33</v>
      </c>
      <c r="B10" s="62" t="s">
        <v>58</v>
      </c>
      <c r="C10" s="62" t="s">
        <v>163</v>
      </c>
      <c r="D10" s="62"/>
      <c r="E10" s="62">
        <f t="shared" si="2"/>
        <v>2</v>
      </c>
      <c r="F10" s="128" t="s">
        <v>79</v>
      </c>
      <c r="G10" s="129">
        <v>8.8830188679245285</v>
      </c>
      <c r="H10" s="129">
        <v>8.5464162122522342</v>
      </c>
      <c r="I10" s="129">
        <v>9.2315404893886726</v>
      </c>
      <c r="J10" s="129"/>
      <c r="K10" s="129"/>
      <c r="L10" s="129"/>
      <c r="M10" s="60">
        <f t="shared" si="0"/>
        <v>2</v>
      </c>
      <c r="N10" s="61">
        <f t="shared" si="3"/>
        <v>8.4733382030679323</v>
      </c>
      <c r="O10" s="61">
        <f t="shared" si="16"/>
        <v>9.3337450783602254</v>
      </c>
      <c r="P10" s="129">
        <f t="shared" si="4"/>
        <v>11.470826773531797</v>
      </c>
      <c r="Q10" s="129">
        <f t="shared" si="5"/>
        <v>11.27930825116926</v>
      </c>
      <c r="R10" s="129">
        <f t="shared" si="6"/>
        <v>11.665169642204907</v>
      </c>
      <c r="S10" s="61">
        <f t="shared" si="7"/>
        <v>14.799281006590773</v>
      </c>
      <c r="T10" s="61">
        <f t="shared" si="1"/>
        <v>18.022741629816803</v>
      </c>
      <c r="U10" s="61">
        <f t="shared" si="17"/>
        <v>9.0013736619754816</v>
      </c>
      <c r="V10" s="61"/>
      <c r="Y10" s="159" t="s">
        <v>46</v>
      </c>
      <c r="Z10" s="159" t="s">
        <v>68</v>
      </c>
      <c r="AA10" s="159" t="s">
        <v>163</v>
      </c>
      <c r="AB10" s="159">
        <f t="shared" si="8"/>
        <v>3</v>
      </c>
      <c r="AC10" s="164">
        <f t="shared" si="18"/>
        <v>8.4733382030679323</v>
      </c>
      <c r="AD10" s="164">
        <f t="shared" si="9"/>
        <v>9.3630919978225382</v>
      </c>
      <c r="AE10" s="159"/>
      <c r="AF10" s="159">
        <f t="shared" si="10"/>
        <v>3</v>
      </c>
      <c r="AG10" s="160" t="str">
        <f t="shared" si="11"/>
        <v>N/A</v>
      </c>
      <c r="AH10" s="161">
        <f t="shared" si="12"/>
        <v>8.9011259965480392</v>
      </c>
      <c r="AI10" s="161">
        <f t="shared" si="13"/>
        <v>8.5497989199492714</v>
      </c>
      <c r="AJ10" s="161">
        <f t="shared" si="14"/>
        <v>9.2654270776268923</v>
      </c>
      <c r="AK10" s="160">
        <f t="shared" si="15"/>
        <v>2</v>
      </c>
    </row>
    <row r="11" spans="1:37" x14ac:dyDescent="0.2">
      <c r="A11" s="62" t="s">
        <v>34</v>
      </c>
      <c r="B11" s="62" t="s">
        <v>59</v>
      </c>
      <c r="C11" s="62" t="s">
        <v>200</v>
      </c>
      <c r="D11" s="62"/>
      <c r="E11" s="62">
        <f t="shared" si="2"/>
        <v>13</v>
      </c>
      <c r="F11" s="128" t="s">
        <v>79</v>
      </c>
      <c r="G11" s="129">
        <v>10.356968556090079</v>
      </c>
      <c r="H11" s="129">
        <v>10.009655888238761</v>
      </c>
      <c r="I11" s="129">
        <v>10.714897321143455</v>
      </c>
      <c r="J11" s="129"/>
      <c r="K11" s="129"/>
      <c r="L11" s="129"/>
      <c r="M11" s="60">
        <f t="shared" si="0"/>
        <v>2</v>
      </c>
      <c r="N11" s="61">
        <f t="shared" si="3"/>
        <v>8.4733382030679323</v>
      </c>
      <c r="O11" s="61">
        <f t="shared" si="16"/>
        <v>9.3337450783602254</v>
      </c>
      <c r="P11" s="129">
        <f t="shared" si="4"/>
        <v>11.470826773531797</v>
      </c>
      <c r="Q11" s="129">
        <f t="shared" si="5"/>
        <v>11.27930825116926</v>
      </c>
      <c r="R11" s="129">
        <f t="shared" si="6"/>
        <v>11.665169642204907</v>
      </c>
      <c r="S11" s="61">
        <f t="shared" si="7"/>
        <v>14.799281006590773</v>
      </c>
      <c r="T11" s="61">
        <f t="shared" si="1"/>
        <v>18.022741629816803</v>
      </c>
      <c r="U11" s="61">
        <f t="shared" si="17"/>
        <v>9.9991164256472196</v>
      </c>
      <c r="V11" s="61"/>
      <c r="Y11" s="159" t="s">
        <v>47</v>
      </c>
      <c r="Z11" s="159" t="s">
        <v>69</v>
      </c>
      <c r="AA11" s="159" t="s">
        <v>163</v>
      </c>
      <c r="AB11" s="159">
        <f t="shared" si="8"/>
        <v>1</v>
      </c>
      <c r="AC11" s="164">
        <f t="shared" si="18"/>
        <v>8.4733382030679323</v>
      </c>
      <c r="AD11" s="164">
        <f t="shared" si="9"/>
        <v>9.3630919978225382</v>
      </c>
      <c r="AE11" s="159"/>
      <c r="AF11" s="159">
        <f t="shared" si="10"/>
        <v>1</v>
      </c>
      <c r="AG11" s="160" t="str">
        <f t="shared" si="11"/>
        <v>N/A</v>
      </c>
      <c r="AH11" s="161">
        <f t="shared" si="12"/>
        <v>8.4733382030679323</v>
      </c>
      <c r="AI11" s="161">
        <f t="shared" si="13"/>
        <v>7.6599573395815277</v>
      </c>
      <c r="AJ11" s="161">
        <f t="shared" si="14"/>
        <v>9.3643299220698264</v>
      </c>
      <c r="AK11" s="160">
        <f t="shared" si="15"/>
        <v>2</v>
      </c>
    </row>
    <row r="12" spans="1:37" x14ac:dyDescent="0.2">
      <c r="A12" s="62" t="s">
        <v>35</v>
      </c>
      <c r="B12" s="62" t="s">
        <v>60</v>
      </c>
      <c r="C12" s="62" t="s">
        <v>163</v>
      </c>
      <c r="D12" s="62"/>
      <c r="E12" s="62">
        <f t="shared" si="2"/>
        <v>6</v>
      </c>
      <c r="F12" s="128" t="s">
        <v>79</v>
      </c>
      <c r="G12" s="129">
        <v>9.0485875706214696</v>
      </c>
      <c r="H12" s="129">
        <v>8.6776539950274501</v>
      </c>
      <c r="I12" s="129">
        <v>9.433739076674204</v>
      </c>
      <c r="J12" s="129"/>
      <c r="K12" s="129"/>
      <c r="L12" s="129"/>
      <c r="M12" s="60">
        <f t="shared" si="0"/>
        <v>2</v>
      </c>
      <c r="N12" s="61">
        <f t="shared" si="3"/>
        <v>8.4733382030679323</v>
      </c>
      <c r="O12" s="61">
        <f t="shared" si="16"/>
        <v>9.3337450783602254</v>
      </c>
      <c r="P12" s="129">
        <f t="shared" si="4"/>
        <v>11.470826773531797</v>
      </c>
      <c r="Q12" s="129">
        <f t="shared" si="5"/>
        <v>11.27930825116926</v>
      </c>
      <c r="R12" s="129">
        <f t="shared" si="6"/>
        <v>11.665169642204907</v>
      </c>
      <c r="S12" s="61">
        <f t="shared" si="7"/>
        <v>14.799281006590773</v>
      </c>
      <c r="T12" s="61">
        <f t="shared" si="1"/>
        <v>18.022741629816803</v>
      </c>
      <c r="U12" s="61">
        <f t="shared" si="17"/>
        <v>9.0013736619754816</v>
      </c>
      <c r="V12" s="61"/>
      <c r="Y12" s="159" t="s">
        <v>50</v>
      </c>
      <c r="Z12" s="159" t="s">
        <v>161</v>
      </c>
      <c r="AA12" s="159" t="s">
        <v>163</v>
      </c>
      <c r="AB12" s="159">
        <f t="shared" si="8"/>
        <v>7</v>
      </c>
      <c r="AC12" s="164">
        <f t="shared" si="18"/>
        <v>8.4733382030679323</v>
      </c>
      <c r="AD12" s="164">
        <f t="shared" si="9"/>
        <v>9.3630919978225382</v>
      </c>
      <c r="AE12" s="159"/>
      <c r="AF12" s="159">
        <f t="shared" si="10"/>
        <v>7</v>
      </c>
      <c r="AG12" s="160" t="str">
        <f t="shared" si="11"/>
        <v>N/A</v>
      </c>
      <c r="AH12" s="161">
        <f t="shared" si="12"/>
        <v>9.3337450783602254</v>
      </c>
      <c r="AI12" s="161">
        <f t="shared" si="13"/>
        <v>8.8447587393953135</v>
      </c>
      <c r="AJ12" s="161">
        <f t="shared" si="14"/>
        <v>9.84684497064287</v>
      </c>
      <c r="AK12" s="160">
        <f t="shared" si="15"/>
        <v>2</v>
      </c>
    </row>
    <row r="13" spans="1:37" x14ac:dyDescent="0.2">
      <c r="A13" s="62" t="s">
        <v>36</v>
      </c>
      <c r="B13" s="62" t="s">
        <v>61</v>
      </c>
      <c r="C13" s="62" t="s">
        <v>201</v>
      </c>
      <c r="D13" s="62"/>
      <c r="E13" s="62">
        <f t="shared" si="2"/>
        <v>22</v>
      </c>
      <c r="F13" s="128" t="s">
        <v>79</v>
      </c>
      <c r="G13" s="129">
        <v>16.510054927595444</v>
      </c>
      <c r="H13" s="129">
        <v>16.025624325508002</v>
      </c>
      <c r="I13" s="129">
        <v>17.006163573583251</v>
      </c>
      <c r="J13" s="129"/>
      <c r="K13" s="129"/>
      <c r="L13" s="129"/>
      <c r="M13" s="60">
        <f t="shared" si="0"/>
        <v>1</v>
      </c>
      <c r="N13" s="61">
        <f t="shared" si="3"/>
        <v>8.4733382030679323</v>
      </c>
      <c r="O13" s="61">
        <f t="shared" si="16"/>
        <v>9.3337450783602254</v>
      </c>
      <c r="P13" s="129">
        <f t="shared" si="4"/>
        <v>11.470826773531797</v>
      </c>
      <c r="Q13" s="129">
        <f t="shared" si="5"/>
        <v>11.27930825116926</v>
      </c>
      <c r="R13" s="129">
        <f t="shared" si="6"/>
        <v>11.665169642204907</v>
      </c>
      <c r="S13" s="61">
        <f t="shared" si="7"/>
        <v>14.799281006590773</v>
      </c>
      <c r="T13" s="61">
        <f t="shared" si="1"/>
        <v>18.022741629816803</v>
      </c>
      <c r="U13" s="61">
        <f t="shared" si="17"/>
        <v>15.971985496916545</v>
      </c>
      <c r="V13" s="61"/>
      <c r="Y13" s="159" t="s">
        <v>53</v>
      </c>
      <c r="Z13" s="159" t="s">
        <v>162</v>
      </c>
      <c r="AA13" s="159" t="s">
        <v>163</v>
      </c>
      <c r="AB13" s="159">
        <f>RANK(AH13,$AH$6:$AH$13,1)</f>
        <v>5</v>
      </c>
      <c r="AC13" s="164">
        <f t="shared" si="18"/>
        <v>8.4733382030679323</v>
      </c>
      <c r="AD13" s="164">
        <f t="shared" si="9"/>
        <v>9.3630919978225382</v>
      </c>
      <c r="AE13" s="159"/>
      <c r="AF13" s="159">
        <f t="shared" si="10"/>
        <v>5</v>
      </c>
      <c r="AG13" s="160" t="str">
        <f t="shared" si="11"/>
        <v>N/A</v>
      </c>
      <c r="AH13" s="161">
        <f t="shared" si="12"/>
        <v>9.0274198536233374</v>
      </c>
      <c r="AI13" s="161">
        <f t="shared" si="13"/>
        <v>8.7463282307722725</v>
      </c>
      <c r="AJ13" s="161">
        <f t="shared" si="14"/>
        <v>9.3166229546444495</v>
      </c>
      <c r="AK13" s="160">
        <f t="shared" si="15"/>
        <v>2</v>
      </c>
    </row>
    <row r="14" spans="1:37" x14ac:dyDescent="0.2">
      <c r="A14" s="62" t="s">
        <v>37</v>
      </c>
      <c r="B14" s="62" t="s">
        <v>157</v>
      </c>
      <c r="C14" s="62" t="s">
        <v>201</v>
      </c>
      <c r="D14" s="62"/>
      <c r="E14" s="62">
        <f t="shared" si="2"/>
        <v>20</v>
      </c>
      <c r="F14" s="128" t="s">
        <v>79</v>
      </c>
      <c r="G14" s="129">
        <v>14.799281006590773</v>
      </c>
      <c r="H14" s="129">
        <v>14.240423062432169</v>
      </c>
      <c r="I14" s="129">
        <v>15.376138756317056</v>
      </c>
      <c r="J14" s="129"/>
      <c r="K14" s="129"/>
      <c r="L14" s="129"/>
      <c r="M14" s="60">
        <f t="shared" si="0"/>
        <v>1</v>
      </c>
      <c r="N14" s="61">
        <f t="shared" si="3"/>
        <v>8.4733382030679323</v>
      </c>
      <c r="O14" s="61">
        <f t="shared" si="16"/>
        <v>9.3337450783602254</v>
      </c>
      <c r="P14" s="129">
        <f t="shared" si="4"/>
        <v>11.470826773531797</v>
      </c>
      <c r="Q14" s="129">
        <f t="shared" si="5"/>
        <v>11.27930825116926</v>
      </c>
      <c r="R14" s="129">
        <f t="shared" si="6"/>
        <v>11.665169642204907</v>
      </c>
      <c r="S14" s="61">
        <f t="shared" si="7"/>
        <v>14.799281006590773</v>
      </c>
      <c r="T14" s="61">
        <f t="shared" si="1"/>
        <v>18.022741629816803</v>
      </c>
      <c r="U14" s="61">
        <f t="shared" si="17"/>
        <v>15.971985496916545</v>
      </c>
      <c r="V14" s="61"/>
      <c r="Y14" s="162" t="s">
        <v>29</v>
      </c>
      <c r="Z14" s="162" t="s">
        <v>55</v>
      </c>
      <c r="AA14" s="162" t="s">
        <v>201</v>
      </c>
      <c r="AB14" s="162">
        <f>RANK(AH14,$AH$14:$AH$22,1)</f>
        <v>7</v>
      </c>
      <c r="AC14" s="165">
        <f t="shared" ref="AC14:AC22" si="19">MIN($AH$14:$AH$22)</f>
        <v>13.745492014425555</v>
      </c>
      <c r="AD14" s="165">
        <f>MAX($AH$14:$AH$22)</f>
        <v>18.022741629816803</v>
      </c>
      <c r="AE14" s="162"/>
      <c r="AF14" s="162">
        <f t="shared" si="10"/>
        <v>24</v>
      </c>
      <c r="AG14" s="167" t="str">
        <f t="shared" si="11"/>
        <v>N/A</v>
      </c>
      <c r="AH14" s="165">
        <f t="shared" si="12"/>
        <v>16.823529411764707</v>
      </c>
      <c r="AI14" s="165">
        <f t="shared" si="13"/>
        <v>16.110098463524388</v>
      </c>
      <c r="AJ14" s="165">
        <f t="shared" si="14"/>
        <v>17.561940372894284</v>
      </c>
      <c r="AK14" s="167">
        <f t="shared" si="15"/>
        <v>1</v>
      </c>
    </row>
    <row r="15" spans="1:37" x14ac:dyDescent="0.2">
      <c r="A15" s="62" t="s">
        <v>38</v>
      </c>
      <c r="B15" s="62" t="s">
        <v>62</v>
      </c>
      <c r="C15" s="62" t="s">
        <v>201</v>
      </c>
      <c r="D15" s="62"/>
      <c r="E15" s="62">
        <f t="shared" si="2"/>
        <v>21</v>
      </c>
      <c r="F15" s="128" t="s">
        <v>79</v>
      </c>
      <c r="G15" s="129">
        <v>16.27284367361192</v>
      </c>
      <c r="H15" s="129">
        <v>15.507414123046919</v>
      </c>
      <c r="I15" s="129">
        <v>17.068421885507718</v>
      </c>
      <c r="J15" s="129"/>
      <c r="K15" s="129"/>
      <c r="L15" s="129"/>
      <c r="M15" s="60">
        <f t="shared" si="0"/>
        <v>1</v>
      </c>
      <c r="N15" s="61">
        <f t="shared" si="3"/>
        <v>8.4733382030679323</v>
      </c>
      <c r="O15" s="61">
        <f t="shared" si="16"/>
        <v>9.3337450783602254</v>
      </c>
      <c r="P15" s="129">
        <f t="shared" si="4"/>
        <v>11.470826773531797</v>
      </c>
      <c r="Q15" s="129">
        <f t="shared" si="5"/>
        <v>11.27930825116926</v>
      </c>
      <c r="R15" s="129">
        <f t="shared" si="6"/>
        <v>11.665169642204907</v>
      </c>
      <c r="S15" s="61">
        <f t="shared" si="7"/>
        <v>14.799281006590773</v>
      </c>
      <c r="T15" s="61">
        <f t="shared" si="1"/>
        <v>18.022741629816803</v>
      </c>
      <c r="U15" s="61">
        <f t="shared" si="17"/>
        <v>15.971985496916545</v>
      </c>
      <c r="V15" s="61"/>
      <c r="Y15" s="162" t="s">
        <v>32</v>
      </c>
      <c r="Z15" s="162" t="s">
        <v>156</v>
      </c>
      <c r="AA15" s="162" t="s">
        <v>201</v>
      </c>
      <c r="AB15" s="162">
        <f>RANK(AH15,$AH$14:$AH$22,1)</f>
        <v>2</v>
      </c>
      <c r="AC15" s="165">
        <f t="shared" si="19"/>
        <v>13.745492014425555</v>
      </c>
      <c r="AD15" s="165">
        <f t="shared" ref="AD15:AD22" si="20">MAX($AH$14:$AH$22)</f>
        <v>18.022741629816803</v>
      </c>
      <c r="AE15" s="162"/>
      <c r="AF15" s="162">
        <f t="shared" si="10"/>
        <v>19</v>
      </c>
      <c r="AG15" s="167" t="str">
        <f t="shared" si="11"/>
        <v>N/A</v>
      </c>
      <c r="AH15" s="165">
        <f t="shared" si="12"/>
        <v>14.380816520616806</v>
      </c>
      <c r="AI15" s="165">
        <f t="shared" si="13"/>
        <v>13.984649597201448</v>
      </c>
      <c r="AJ15" s="165">
        <f t="shared" si="14"/>
        <v>14.78627709092992</v>
      </c>
      <c r="AK15" s="167">
        <f t="shared" si="15"/>
        <v>1</v>
      </c>
    </row>
    <row r="16" spans="1:37" x14ac:dyDescent="0.2">
      <c r="A16" s="62" t="s">
        <v>39</v>
      </c>
      <c r="B16" s="62" t="s">
        <v>158</v>
      </c>
      <c r="C16" s="62" t="s">
        <v>200</v>
      </c>
      <c r="D16" s="62"/>
      <c r="E16" s="62">
        <f t="shared" si="2"/>
        <v>14</v>
      </c>
      <c r="F16" s="128" t="s">
        <v>79</v>
      </c>
      <c r="G16" s="129">
        <v>10.544713078939703</v>
      </c>
      <c r="H16" s="129">
        <v>10.186980428163958</v>
      </c>
      <c r="I16" s="129">
        <v>10.913481606720428</v>
      </c>
      <c r="J16" s="129"/>
      <c r="K16" s="129"/>
      <c r="L16" s="129"/>
      <c r="M16" s="60">
        <f t="shared" si="0"/>
        <v>2</v>
      </c>
      <c r="N16" s="61">
        <f t="shared" si="3"/>
        <v>8.4733382030679323</v>
      </c>
      <c r="O16" s="61">
        <f t="shared" si="16"/>
        <v>9.3337450783602254</v>
      </c>
      <c r="P16" s="129">
        <f t="shared" si="4"/>
        <v>11.470826773531797</v>
      </c>
      <c r="Q16" s="129">
        <f t="shared" si="5"/>
        <v>11.27930825116926</v>
      </c>
      <c r="R16" s="129">
        <f t="shared" si="6"/>
        <v>11.665169642204907</v>
      </c>
      <c r="S16" s="61">
        <f t="shared" si="7"/>
        <v>14.799281006590773</v>
      </c>
      <c r="T16" s="61">
        <f t="shared" si="1"/>
        <v>18.022741629816803</v>
      </c>
      <c r="U16" s="61">
        <f t="shared" si="17"/>
        <v>9.9991164256472196</v>
      </c>
      <c r="V16" s="61"/>
      <c r="Y16" s="162" t="s">
        <v>36</v>
      </c>
      <c r="Z16" s="162" t="s">
        <v>61</v>
      </c>
      <c r="AA16" s="162" t="s">
        <v>201</v>
      </c>
      <c r="AB16" s="162">
        <f>RANK(AH16,$AH$14:$AH$22,1)</f>
        <v>5</v>
      </c>
      <c r="AC16" s="165">
        <f t="shared" si="19"/>
        <v>13.745492014425555</v>
      </c>
      <c r="AD16" s="165">
        <f t="shared" si="20"/>
        <v>18.022741629816803</v>
      </c>
      <c r="AE16" s="162"/>
      <c r="AF16" s="162">
        <f t="shared" si="10"/>
        <v>22</v>
      </c>
      <c r="AG16" s="167" t="str">
        <f t="shared" si="11"/>
        <v>N/A</v>
      </c>
      <c r="AH16" s="165">
        <f t="shared" si="12"/>
        <v>16.510054927595444</v>
      </c>
      <c r="AI16" s="165">
        <f t="shared" si="13"/>
        <v>16.025624325508002</v>
      </c>
      <c r="AJ16" s="165">
        <f t="shared" si="14"/>
        <v>17.006163573583251</v>
      </c>
      <c r="AK16" s="167">
        <f t="shared" si="15"/>
        <v>1</v>
      </c>
    </row>
    <row r="17" spans="1:37" x14ac:dyDescent="0.2">
      <c r="A17" s="62" t="s">
        <v>40</v>
      </c>
      <c r="B17" s="62" t="s">
        <v>63</v>
      </c>
      <c r="C17" s="62" t="s">
        <v>200</v>
      </c>
      <c r="D17" s="62"/>
      <c r="E17" s="62">
        <f t="shared" si="2"/>
        <v>12</v>
      </c>
      <c r="F17" s="128" t="s">
        <v>79</v>
      </c>
      <c r="G17" s="129">
        <v>9.8124644819094531</v>
      </c>
      <c r="H17" s="129">
        <v>9.2595565689108685</v>
      </c>
      <c r="I17" s="129">
        <v>10.394605699232825</v>
      </c>
      <c r="J17" s="129"/>
      <c r="K17" s="129"/>
      <c r="L17" s="129"/>
      <c r="M17" s="60">
        <f t="shared" si="0"/>
        <v>2</v>
      </c>
      <c r="N17" s="61">
        <f t="shared" si="3"/>
        <v>8.4733382030679323</v>
      </c>
      <c r="O17" s="61">
        <f t="shared" si="16"/>
        <v>9.3337450783602254</v>
      </c>
      <c r="P17" s="129">
        <f t="shared" si="4"/>
        <v>11.470826773531797</v>
      </c>
      <c r="Q17" s="129">
        <f t="shared" si="5"/>
        <v>11.27930825116926</v>
      </c>
      <c r="R17" s="129">
        <f t="shared" si="6"/>
        <v>11.665169642204907</v>
      </c>
      <c r="S17" s="61">
        <f t="shared" si="7"/>
        <v>14.799281006590773</v>
      </c>
      <c r="T17" s="61">
        <f t="shared" si="1"/>
        <v>18.022741629816803</v>
      </c>
      <c r="U17" s="61">
        <f t="shared" si="17"/>
        <v>9.9991164256472196</v>
      </c>
      <c r="V17" s="61"/>
      <c r="Y17" s="162" t="s">
        <v>37</v>
      </c>
      <c r="Z17" s="162" t="s">
        <v>157</v>
      </c>
      <c r="AA17" s="162" t="s">
        <v>201</v>
      </c>
      <c r="AB17" s="162">
        <f t="shared" ref="AB17:AB22" si="21">RANK(AH17,$AH$14:$AH$22,1)</f>
        <v>3</v>
      </c>
      <c r="AC17" s="165">
        <f t="shared" si="19"/>
        <v>13.745492014425555</v>
      </c>
      <c r="AD17" s="165">
        <f>MAX($AH$14:$AH$22)</f>
        <v>18.022741629816803</v>
      </c>
      <c r="AE17" s="162"/>
      <c r="AF17" s="162">
        <f t="shared" si="10"/>
        <v>20</v>
      </c>
      <c r="AG17" s="167" t="str">
        <f t="shared" si="11"/>
        <v>N/A</v>
      </c>
      <c r="AH17" s="165">
        <f t="shared" si="12"/>
        <v>14.799281006590773</v>
      </c>
      <c r="AI17" s="165">
        <f t="shared" si="13"/>
        <v>14.240423062432169</v>
      </c>
      <c r="AJ17" s="165">
        <f t="shared" si="14"/>
        <v>15.376138756317056</v>
      </c>
      <c r="AK17" s="167">
        <f t="shared" si="15"/>
        <v>1</v>
      </c>
    </row>
    <row r="18" spans="1:37" x14ac:dyDescent="0.2">
      <c r="A18" s="62" t="s">
        <v>41</v>
      </c>
      <c r="B18" s="62" t="s">
        <v>64</v>
      </c>
      <c r="C18" s="62" t="s">
        <v>163</v>
      </c>
      <c r="D18" s="62"/>
      <c r="E18" s="62">
        <f t="shared" si="2"/>
        <v>4</v>
      </c>
      <c r="F18" s="128" t="s">
        <v>79</v>
      </c>
      <c r="G18" s="129">
        <v>8.9221683189200593</v>
      </c>
      <c r="H18" s="129">
        <v>8.5659068406800731</v>
      </c>
      <c r="I18" s="129">
        <v>9.2917411855819836</v>
      </c>
      <c r="J18" s="129"/>
      <c r="K18" s="129"/>
      <c r="L18" s="129"/>
      <c r="M18" s="60">
        <f t="shared" si="0"/>
        <v>2</v>
      </c>
      <c r="N18" s="61">
        <f t="shared" si="3"/>
        <v>8.4733382030679323</v>
      </c>
      <c r="O18" s="61">
        <f t="shared" si="16"/>
        <v>9.3337450783602254</v>
      </c>
      <c r="P18" s="129">
        <f t="shared" si="4"/>
        <v>11.470826773531797</v>
      </c>
      <c r="Q18" s="129">
        <f t="shared" si="5"/>
        <v>11.27930825116926</v>
      </c>
      <c r="R18" s="129">
        <f t="shared" si="6"/>
        <v>11.665169642204907</v>
      </c>
      <c r="S18" s="61">
        <f t="shared" si="7"/>
        <v>14.799281006590773</v>
      </c>
      <c r="T18" s="61">
        <f t="shared" si="1"/>
        <v>18.022741629816803</v>
      </c>
      <c r="U18" s="61">
        <f t="shared" si="17"/>
        <v>9.0013736619754816</v>
      </c>
      <c r="V18" s="61"/>
      <c r="Y18" s="162" t="s">
        <v>38</v>
      </c>
      <c r="Z18" s="162" t="s">
        <v>62</v>
      </c>
      <c r="AA18" s="162" t="s">
        <v>201</v>
      </c>
      <c r="AB18" s="162">
        <f t="shared" si="21"/>
        <v>4</v>
      </c>
      <c r="AC18" s="165">
        <f t="shared" si="19"/>
        <v>13.745492014425555</v>
      </c>
      <c r="AD18" s="165">
        <f t="shared" si="20"/>
        <v>18.022741629816803</v>
      </c>
      <c r="AE18" s="162"/>
      <c r="AF18" s="162">
        <f t="shared" si="10"/>
        <v>21</v>
      </c>
      <c r="AG18" s="167" t="str">
        <f t="shared" si="11"/>
        <v>N/A</v>
      </c>
      <c r="AH18" s="165">
        <f t="shared" si="12"/>
        <v>16.27284367361192</v>
      </c>
      <c r="AI18" s="165">
        <f t="shared" si="13"/>
        <v>15.507414123046919</v>
      </c>
      <c r="AJ18" s="165">
        <f t="shared" si="14"/>
        <v>17.068421885507718</v>
      </c>
      <c r="AK18" s="167">
        <f t="shared" si="15"/>
        <v>1</v>
      </c>
    </row>
    <row r="19" spans="1:37" x14ac:dyDescent="0.2">
      <c r="A19" s="62" t="s">
        <v>42</v>
      </c>
      <c r="B19" s="62" t="s">
        <v>65</v>
      </c>
      <c r="C19" s="62" t="s">
        <v>200</v>
      </c>
      <c r="D19" s="62"/>
      <c r="E19" s="62">
        <f t="shared" si="2"/>
        <v>17</v>
      </c>
      <c r="F19" s="128" t="s">
        <v>79</v>
      </c>
      <c r="G19" s="129">
        <v>12.635518843572534</v>
      </c>
      <c r="H19" s="129">
        <v>11.91418154556691</v>
      </c>
      <c r="I19" s="129">
        <v>13.393888404552445</v>
      </c>
      <c r="J19" s="129"/>
      <c r="K19" s="129"/>
      <c r="L19" s="129"/>
      <c r="M19" s="60">
        <f t="shared" si="0"/>
        <v>1</v>
      </c>
      <c r="N19" s="61">
        <f t="shared" si="3"/>
        <v>8.4733382030679323</v>
      </c>
      <c r="O19" s="61">
        <f t="shared" si="16"/>
        <v>9.3337450783602254</v>
      </c>
      <c r="P19" s="129">
        <f t="shared" si="4"/>
        <v>11.470826773531797</v>
      </c>
      <c r="Q19" s="129">
        <f t="shared" si="5"/>
        <v>11.27930825116926</v>
      </c>
      <c r="R19" s="129">
        <f t="shared" si="6"/>
        <v>11.665169642204907</v>
      </c>
      <c r="S19" s="61">
        <f t="shared" si="7"/>
        <v>14.799281006590773</v>
      </c>
      <c r="T19" s="61">
        <f t="shared" si="1"/>
        <v>18.022741629816803</v>
      </c>
      <c r="U19" s="61">
        <f t="shared" si="17"/>
        <v>9.9991164256472196</v>
      </c>
      <c r="V19" s="61"/>
      <c r="Y19" s="162" t="s">
        <v>43</v>
      </c>
      <c r="Z19" s="162" t="s">
        <v>159</v>
      </c>
      <c r="AA19" s="162" t="s">
        <v>201</v>
      </c>
      <c r="AB19" s="162">
        <f t="shared" si="21"/>
        <v>9</v>
      </c>
      <c r="AC19" s="165">
        <f t="shared" si="19"/>
        <v>13.745492014425555</v>
      </c>
      <c r="AD19" s="165">
        <f t="shared" si="20"/>
        <v>18.022741629816803</v>
      </c>
      <c r="AE19" s="162"/>
      <c r="AF19" s="162">
        <f t="shared" si="10"/>
        <v>26</v>
      </c>
      <c r="AG19" s="167" t="str">
        <f t="shared" si="11"/>
        <v>N/A</v>
      </c>
      <c r="AH19" s="165">
        <f t="shared" si="12"/>
        <v>18.022741629816803</v>
      </c>
      <c r="AI19" s="165">
        <f t="shared" si="13"/>
        <v>17.431745517618385</v>
      </c>
      <c r="AJ19" s="165">
        <f t="shared" si="14"/>
        <v>18.629253789911399</v>
      </c>
      <c r="AK19" s="167">
        <f t="shared" si="15"/>
        <v>1</v>
      </c>
    </row>
    <row r="20" spans="1:37" x14ac:dyDescent="0.2">
      <c r="A20" s="62" t="s">
        <v>43</v>
      </c>
      <c r="B20" s="62" t="s">
        <v>159</v>
      </c>
      <c r="C20" s="62" t="s">
        <v>201</v>
      </c>
      <c r="D20" s="62"/>
      <c r="E20" s="62">
        <f t="shared" si="2"/>
        <v>26</v>
      </c>
      <c r="F20" s="128" t="s">
        <v>79</v>
      </c>
      <c r="G20" s="129">
        <v>18.022741629816803</v>
      </c>
      <c r="H20" s="129">
        <v>17.431745517618385</v>
      </c>
      <c r="I20" s="129">
        <v>18.629253789911399</v>
      </c>
      <c r="J20" s="129"/>
      <c r="K20" s="129"/>
      <c r="L20" s="129"/>
      <c r="M20" s="60">
        <f t="shared" si="0"/>
        <v>1</v>
      </c>
      <c r="N20" s="61">
        <f t="shared" si="3"/>
        <v>8.4733382030679323</v>
      </c>
      <c r="O20" s="61">
        <f t="shared" si="16"/>
        <v>9.3337450783602254</v>
      </c>
      <c r="P20" s="129">
        <f t="shared" si="4"/>
        <v>11.470826773531797</v>
      </c>
      <c r="Q20" s="129">
        <f t="shared" si="5"/>
        <v>11.27930825116926</v>
      </c>
      <c r="R20" s="129">
        <f t="shared" si="6"/>
        <v>11.665169642204907</v>
      </c>
      <c r="S20" s="61">
        <f t="shared" si="7"/>
        <v>14.799281006590773</v>
      </c>
      <c r="T20" s="61">
        <f t="shared" si="1"/>
        <v>18.022741629816803</v>
      </c>
      <c r="U20" s="61">
        <f t="shared" si="17"/>
        <v>15.971985496916545</v>
      </c>
      <c r="V20" s="61"/>
      <c r="Y20" s="162" t="s">
        <v>48</v>
      </c>
      <c r="Z20" s="162" t="s">
        <v>160</v>
      </c>
      <c r="AA20" s="162" t="s">
        <v>201</v>
      </c>
      <c r="AB20" s="162">
        <f t="shared" si="21"/>
        <v>1</v>
      </c>
      <c r="AC20" s="165">
        <f t="shared" si="19"/>
        <v>13.745492014425555</v>
      </c>
      <c r="AD20" s="165">
        <f t="shared" si="20"/>
        <v>18.022741629816803</v>
      </c>
      <c r="AE20" s="162"/>
      <c r="AF20" s="162">
        <f t="shared" si="10"/>
        <v>18</v>
      </c>
      <c r="AG20" s="167" t="str">
        <f t="shared" si="11"/>
        <v>N/A</v>
      </c>
      <c r="AH20" s="165">
        <f t="shared" si="12"/>
        <v>13.745492014425555</v>
      </c>
      <c r="AI20" s="165">
        <f t="shared" si="13"/>
        <v>13.074773456158315</v>
      </c>
      <c r="AJ20" s="165">
        <f t="shared" si="14"/>
        <v>14.444899927665128</v>
      </c>
      <c r="AK20" s="167">
        <f t="shared" si="15"/>
        <v>1</v>
      </c>
    </row>
    <row r="21" spans="1:37" x14ac:dyDescent="0.2">
      <c r="A21" s="62" t="s">
        <v>44</v>
      </c>
      <c r="B21" s="62" t="s">
        <v>66</v>
      </c>
      <c r="C21" s="62" t="s">
        <v>200</v>
      </c>
      <c r="D21" s="62"/>
      <c r="E21" s="62">
        <f t="shared" si="2"/>
        <v>15</v>
      </c>
      <c r="F21" s="128" t="s">
        <v>79</v>
      </c>
      <c r="G21" s="129">
        <v>10.847838293093767</v>
      </c>
      <c r="H21" s="129">
        <v>10.218734155186874</v>
      </c>
      <c r="I21" s="129">
        <v>11.51070695978556</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5</v>
      </c>
      <c r="N21" s="61">
        <f t="shared" si="3"/>
        <v>8.4733382030679323</v>
      </c>
      <c r="O21" s="61">
        <f t="shared" si="16"/>
        <v>9.3337450783602254</v>
      </c>
      <c r="P21" s="129">
        <f t="shared" si="4"/>
        <v>11.470826773531797</v>
      </c>
      <c r="Q21" s="129">
        <f t="shared" si="5"/>
        <v>11.27930825116926</v>
      </c>
      <c r="R21" s="129">
        <f t="shared" si="6"/>
        <v>11.665169642204907</v>
      </c>
      <c r="S21" s="61">
        <f t="shared" si="7"/>
        <v>14.799281006590773</v>
      </c>
      <c r="T21" s="61">
        <f t="shared" si="1"/>
        <v>18.022741629816803</v>
      </c>
      <c r="U21" s="61">
        <f t="shared" si="17"/>
        <v>9.9991164256472196</v>
      </c>
      <c r="V21" s="61"/>
      <c r="Y21" s="162" t="s">
        <v>52</v>
      </c>
      <c r="Z21" s="162" t="s">
        <v>72</v>
      </c>
      <c r="AA21" s="162" t="s">
        <v>201</v>
      </c>
      <c r="AB21" s="162">
        <f t="shared" si="21"/>
        <v>6</v>
      </c>
      <c r="AC21" s="165">
        <f t="shared" si="19"/>
        <v>13.745492014425555</v>
      </c>
      <c r="AD21" s="165">
        <f t="shared" si="20"/>
        <v>18.022741629816803</v>
      </c>
      <c r="AE21" s="162"/>
      <c r="AF21" s="162">
        <f t="shared" si="10"/>
        <v>23</v>
      </c>
      <c r="AG21" s="167" t="str">
        <f t="shared" si="11"/>
        <v>N/A</v>
      </c>
      <c r="AH21" s="165">
        <f t="shared" si="12"/>
        <v>16.568614037488029</v>
      </c>
      <c r="AI21" s="165">
        <f t="shared" si="13"/>
        <v>15.733851019936603</v>
      </c>
      <c r="AJ21" s="165">
        <f t="shared" si="14"/>
        <v>17.43850028127563</v>
      </c>
      <c r="AK21" s="167">
        <f t="shared" si="15"/>
        <v>1</v>
      </c>
    </row>
    <row r="22" spans="1:37" x14ac:dyDescent="0.2">
      <c r="A22" s="62" t="s">
        <v>45</v>
      </c>
      <c r="B22" s="62" t="s">
        <v>67</v>
      </c>
      <c r="C22" s="62" t="s">
        <v>163</v>
      </c>
      <c r="D22" s="62"/>
      <c r="E22" s="62">
        <f t="shared" si="2"/>
        <v>8</v>
      </c>
      <c r="F22" s="128" t="s">
        <v>79</v>
      </c>
      <c r="G22" s="129">
        <v>9.3630919978225382</v>
      </c>
      <c r="H22" s="129">
        <v>8.9502810986379</v>
      </c>
      <c r="I22" s="129">
        <v>9.7928949897103301</v>
      </c>
      <c r="J22" s="129"/>
      <c r="K22" s="129"/>
      <c r="L22" s="129"/>
      <c r="M22" s="60">
        <f t="shared" si="0"/>
        <v>2</v>
      </c>
      <c r="N22" s="61">
        <f t="shared" si="3"/>
        <v>8.4733382030679323</v>
      </c>
      <c r="O22" s="61">
        <f t="shared" si="16"/>
        <v>9.3337450783602254</v>
      </c>
      <c r="P22" s="129">
        <f t="shared" si="4"/>
        <v>11.470826773531797</v>
      </c>
      <c r="Q22" s="129">
        <f t="shared" si="5"/>
        <v>11.27930825116926</v>
      </c>
      <c r="R22" s="129">
        <f t="shared" si="6"/>
        <v>11.665169642204907</v>
      </c>
      <c r="S22" s="61">
        <f t="shared" si="7"/>
        <v>14.799281006590773</v>
      </c>
      <c r="T22" s="61">
        <f t="shared" si="1"/>
        <v>18.022741629816803</v>
      </c>
      <c r="U22" s="61">
        <f>VLOOKUP(C22,$C$43:$I$46,5,FALSE)</f>
        <v>9.0013736619754816</v>
      </c>
      <c r="V22" s="61"/>
      <c r="Y22" s="162" t="s">
        <v>54</v>
      </c>
      <c r="Z22" s="162" t="s">
        <v>73</v>
      </c>
      <c r="AA22" s="162" t="s">
        <v>201</v>
      </c>
      <c r="AB22" s="162">
        <f t="shared" si="21"/>
        <v>8</v>
      </c>
      <c r="AC22" s="165">
        <f t="shared" si="19"/>
        <v>13.745492014425555</v>
      </c>
      <c r="AD22" s="165">
        <f t="shared" si="20"/>
        <v>18.022741629816803</v>
      </c>
      <c r="AE22" s="162"/>
      <c r="AF22" s="162">
        <f t="shared" si="10"/>
        <v>25</v>
      </c>
      <c r="AG22" s="167" t="str">
        <f t="shared" si="11"/>
        <v>N/A</v>
      </c>
      <c r="AH22" s="165">
        <f t="shared" si="12"/>
        <v>17.981945253348862</v>
      </c>
      <c r="AI22" s="165">
        <f t="shared" si="13"/>
        <v>17.348693790770177</v>
      </c>
      <c r="AJ22" s="165">
        <f t="shared" si="14"/>
        <v>18.633100276051824</v>
      </c>
      <c r="AK22" s="167">
        <f t="shared" si="15"/>
        <v>1</v>
      </c>
    </row>
    <row r="23" spans="1:37" x14ac:dyDescent="0.2">
      <c r="A23" s="62" t="s">
        <v>46</v>
      </c>
      <c r="B23" s="62" t="s">
        <v>68</v>
      </c>
      <c r="C23" s="62" t="s">
        <v>163</v>
      </c>
      <c r="D23" s="62"/>
      <c r="E23" s="62">
        <f t="shared" si="2"/>
        <v>3</v>
      </c>
      <c r="F23" s="128" t="s">
        <v>79</v>
      </c>
      <c r="G23" s="129">
        <v>8.9011259965480392</v>
      </c>
      <c r="H23" s="129">
        <v>8.5497989199492714</v>
      </c>
      <c r="I23" s="129">
        <v>9.2654270776268923</v>
      </c>
      <c r="J23" s="129"/>
      <c r="K23" s="129"/>
      <c r="L23" s="129"/>
      <c r="M23" s="60">
        <f t="shared" si="0"/>
        <v>2</v>
      </c>
      <c r="N23" s="61">
        <f t="shared" si="3"/>
        <v>8.4733382030679323</v>
      </c>
      <c r="O23" s="61">
        <f t="shared" si="16"/>
        <v>9.3337450783602254</v>
      </c>
      <c r="P23" s="129">
        <f t="shared" si="4"/>
        <v>11.470826773531797</v>
      </c>
      <c r="Q23" s="129">
        <f t="shared" si="5"/>
        <v>11.27930825116926</v>
      </c>
      <c r="R23" s="129">
        <f t="shared" si="6"/>
        <v>11.665169642204907</v>
      </c>
      <c r="S23" s="61">
        <f t="shared" si="7"/>
        <v>14.799281006590773</v>
      </c>
      <c r="T23" s="61">
        <f t="shared" si="1"/>
        <v>18.022741629816803</v>
      </c>
      <c r="U23" s="61">
        <f t="shared" si="17"/>
        <v>9.0013736619754816</v>
      </c>
      <c r="V23" s="61"/>
      <c r="Y23" s="163" t="s">
        <v>30</v>
      </c>
      <c r="Z23" s="163" t="s">
        <v>56</v>
      </c>
      <c r="AA23" s="163" t="s">
        <v>200</v>
      </c>
      <c r="AB23" s="163">
        <f>RANK(AH23,$AH$23:$AH$31,1)</f>
        <v>1</v>
      </c>
      <c r="AC23" s="166">
        <f>MIN($AH$23:$AH$31)</f>
        <v>9.6262021411722003</v>
      </c>
      <c r="AD23" s="166">
        <f>MAX($AH$23:$AH$31)</f>
        <v>12.635518843572534</v>
      </c>
      <c r="AE23" s="163"/>
      <c r="AF23" s="163">
        <f t="shared" si="10"/>
        <v>9</v>
      </c>
      <c r="AG23" s="168" t="str">
        <f t="shared" si="11"/>
        <v>N/A</v>
      </c>
      <c r="AH23" s="166">
        <f t="shared" si="12"/>
        <v>9.6262021411722003</v>
      </c>
      <c r="AI23" s="166">
        <f t="shared" si="13"/>
        <v>9.0895462487253216</v>
      </c>
      <c r="AJ23" s="166">
        <f t="shared" si="14"/>
        <v>10.190990903566281</v>
      </c>
      <c r="AK23" s="168">
        <f t="shared" si="15"/>
        <v>2</v>
      </c>
    </row>
    <row r="24" spans="1:37" x14ac:dyDescent="0.2">
      <c r="A24" s="62" t="s">
        <v>47</v>
      </c>
      <c r="B24" s="62" t="s">
        <v>69</v>
      </c>
      <c r="C24" s="62" t="s">
        <v>163</v>
      </c>
      <c r="D24" s="62"/>
      <c r="E24" s="62">
        <f t="shared" si="2"/>
        <v>1</v>
      </c>
      <c r="F24" s="128" t="s">
        <v>79</v>
      </c>
      <c r="G24" s="129">
        <v>8.4733382030679323</v>
      </c>
      <c r="H24" s="129">
        <v>7.6599573395815277</v>
      </c>
      <c r="I24" s="129">
        <v>9.3643299220698264</v>
      </c>
      <c r="J24" s="129"/>
      <c r="K24" s="129"/>
      <c r="L24" s="129"/>
      <c r="M24" s="60">
        <f t="shared" si="0"/>
        <v>2</v>
      </c>
      <c r="N24" s="61">
        <f t="shared" si="3"/>
        <v>8.4733382030679323</v>
      </c>
      <c r="O24" s="61">
        <f t="shared" si="16"/>
        <v>9.3337450783602254</v>
      </c>
      <c r="P24" s="129">
        <f t="shared" si="4"/>
        <v>11.470826773531797</v>
      </c>
      <c r="Q24" s="129">
        <f t="shared" si="5"/>
        <v>11.27930825116926</v>
      </c>
      <c r="R24" s="129">
        <f t="shared" si="6"/>
        <v>11.665169642204907</v>
      </c>
      <c r="S24" s="61">
        <f t="shared" si="7"/>
        <v>14.799281006590773</v>
      </c>
      <c r="T24" s="61">
        <f t="shared" si="1"/>
        <v>18.022741629816803</v>
      </c>
      <c r="U24" s="61">
        <f t="shared" si="17"/>
        <v>9.0013736619754816</v>
      </c>
      <c r="V24" s="61"/>
      <c r="Y24" s="163" t="s">
        <v>31</v>
      </c>
      <c r="Z24" s="163" t="s">
        <v>57</v>
      </c>
      <c r="AA24" s="163" t="s">
        <v>200</v>
      </c>
      <c r="AB24" s="163">
        <f t="shared" ref="AB24:AB31" si="22">RANK(AH24,$AH$23:$AH$31,1)</f>
        <v>3</v>
      </c>
      <c r="AC24" s="166">
        <f t="shared" ref="AC24:AC31" si="23">MIN($AH$23:$AH$31)</f>
        <v>9.6262021411722003</v>
      </c>
      <c r="AD24" s="166">
        <f t="shared" ref="AD24:AD31" si="24">MAX($AH$23:$AH$31)</f>
        <v>12.635518843572534</v>
      </c>
      <c r="AE24" s="163"/>
      <c r="AF24" s="163">
        <f t="shared" si="10"/>
        <v>11</v>
      </c>
      <c r="AG24" s="168" t="str">
        <f t="shared" si="11"/>
        <v>N/A</v>
      </c>
      <c r="AH24" s="166">
        <f t="shared" si="12"/>
        <v>9.779805594128149</v>
      </c>
      <c r="AI24" s="166">
        <f t="shared" si="13"/>
        <v>9.4501373795896217</v>
      </c>
      <c r="AJ24" s="166">
        <f t="shared" si="14"/>
        <v>10.119689017283937</v>
      </c>
      <c r="AK24" s="168">
        <f t="shared" si="15"/>
        <v>2</v>
      </c>
    </row>
    <row r="25" spans="1:37" x14ac:dyDescent="0.2">
      <c r="A25" s="62" t="s">
        <v>48</v>
      </c>
      <c r="B25" s="62" t="s">
        <v>160</v>
      </c>
      <c r="C25" s="62" t="s">
        <v>201</v>
      </c>
      <c r="D25" s="62"/>
      <c r="E25" s="62">
        <f t="shared" si="2"/>
        <v>18</v>
      </c>
      <c r="F25" s="128" t="s">
        <v>79</v>
      </c>
      <c r="G25" s="129">
        <v>13.745492014425555</v>
      </c>
      <c r="H25" s="129">
        <v>13.074773456158315</v>
      </c>
      <c r="I25" s="129">
        <v>14.444899927665128</v>
      </c>
      <c r="J25" s="129"/>
      <c r="K25" s="129"/>
      <c r="L25" s="129"/>
      <c r="M25" s="60">
        <f t="shared" si="0"/>
        <v>1</v>
      </c>
      <c r="N25" s="61">
        <f t="shared" si="3"/>
        <v>8.4733382030679323</v>
      </c>
      <c r="O25" s="61">
        <f t="shared" si="16"/>
        <v>9.3337450783602254</v>
      </c>
      <c r="P25" s="129">
        <f t="shared" si="4"/>
        <v>11.470826773531797</v>
      </c>
      <c r="Q25" s="129">
        <f t="shared" si="5"/>
        <v>11.27930825116926</v>
      </c>
      <c r="R25" s="129">
        <f t="shared" si="6"/>
        <v>11.665169642204907</v>
      </c>
      <c r="S25" s="61">
        <f t="shared" si="7"/>
        <v>14.799281006590773</v>
      </c>
      <c r="T25" s="61">
        <f t="shared" si="1"/>
        <v>18.022741629816803</v>
      </c>
      <c r="U25" s="61">
        <f t="shared" si="17"/>
        <v>15.971985496916545</v>
      </c>
      <c r="V25" s="61"/>
      <c r="Y25" s="163" t="s">
        <v>34</v>
      </c>
      <c r="Z25" s="163" t="s">
        <v>59</v>
      </c>
      <c r="AA25" s="163" t="s">
        <v>200</v>
      </c>
      <c r="AB25" s="163">
        <f t="shared" si="22"/>
        <v>5</v>
      </c>
      <c r="AC25" s="166">
        <f t="shared" si="23"/>
        <v>9.6262021411722003</v>
      </c>
      <c r="AD25" s="166">
        <f t="shared" si="24"/>
        <v>12.635518843572534</v>
      </c>
      <c r="AE25" s="163"/>
      <c r="AF25" s="163">
        <f t="shared" si="10"/>
        <v>13</v>
      </c>
      <c r="AG25" s="168" t="str">
        <f t="shared" si="11"/>
        <v>N/A</v>
      </c>
      <c r="AH25" s="166">
        <f t="shared" si="12"/>
        <v>10.356968556090079</v>
      </c>
      <c r="AI25" s="166">
        <f t="shared" si="13"/>
        <v>10.009655888238761</v>
      </c>
      <c r="AJ25" s="166">
        <f t="shared" si="14"/>
        <v>10.714897321143455</v>
      </c>
      <c r="AK25" s="168">
        <f t="shared" si="15"/>
        <v>2</v>
      </c>
    </row>
    <row r="26" spans="1:37" x14ac:dyDescent="0.2">
      <c r="A26" s="62" t="s">
        <v>49</v>
      </c>
      <c r="B26" s="62" t="s">
        <v>70</v>
      </c>
      <c r="C26" s="62" t="s">
        <v>200</v>
      </c>
      <c r="D26" s="62"/>
      <c r="E26" s="62">
        <f t="shared" si="2"/>
        <v>16</v>
      </c>
      <c r="F26" s="128" t="s">
        <v>79</v>
      </c>
      <c r="G26" s="129">
        <v>12.560673066551614</v>
      </c>
      <c r="H26" s="129">
        <v>12.091401966423689</v>
      </c>
      <c r="I26" s="129">
        <v>13.045454019172203</v>
      </c>
      <c r="J26" s="129"/>
      <c r="K26" s="129"/>
      <c r="L26" s="129"/>
      <c r="M26" s="60">
        <f t="shared" si="0"/>
        <v>1</v>
      </c>
      <c r="N26" s="61">
        <f t="shared" si="3"/>
        <v>8.4733382030679323</v>
      </c>
      <c r="O26" s="61">
        <f t="shared" si="16"/>
        <v>9.3337450783602254</v>
      </c>
      <c r="P26" s="129">
        <f t="shared" si="4"/>
        <v>11.470826773531797</v>
      </c>
      <c r="Q26" s="129">
        <f t="shared" si="5"/>
        <v>11.27930825116926</v>
      </c>
      <c r="R26" s="129">
        <f t="shared" si="6"/>
        <v>11.665169642204907</v>
      </c>
      <c r="S26" s="61">
        <f t="shared" si="7"/>
        <v>14.799281006590773</v>
      </c>
      <c r="T26" s="61">
        <f t="shared" si="1"/>
        <v>18.022741629816803</v>
      </c>
      <c r="U26" s="61">
        <f t="shared" si="17"/>
        <v>9.9991164256472196</v>
      </c>
      <c r="V26" s="61"/>
      <c r="Y26" s="163" t="s">
        <v>39</v>
      </c>
      <c r="Z26" s="163" t="s">
        <v>158</v>
      </c>
      <c r="AA26" s="163" t="s">
        <v>200</v>
      </c>
      <c r="AB26" s="163">
        <f t="shared" si="22"/>
        <v>6</v>
      </c>
      <c r="AC26" s="166">
        <f t="shared" si="23"/>
        <v>9.6262021411722003</v>
      </c>
      <c r="AD26" s="166">
        <f t="shared" si="24"/>
        <v>12.635518843572534</v>
      </c>
      <c r="AE26" s="163"/>
      <c r="AF26" s="163">
        <f t="shared" si="10"/>
        <v>14</v>
      </c>
      <c r="AG26" s="168" t="str">
        <f t="shared" si="11"/>
        <v>N/A</v>
      </c>
      <c r="AH26" s="166">
        <f t="shared" si="12"/>
        <v>10.544713078939703</v>
      </c>
      <c r="AI26" s="166">
        <f t="shared" si="13"/>
        <v>10.186980428163958</v>
      </c>
      <c r="AJ26" s="166">
        <f t="shared" si="14"/>
        <v>10.913481606720428</v>
      </c>
      <c r="AK26" s="168">
        <f t="shared" si="15"/>
        <v>2</v>
      </c>
    </row>
    <row r="27" spans="1:37" x14ac:dyDescent="0.2">
      <c r="A27" s="62" t="s">
        <v>50</v>
      </c>
      <c r="B27" s="62" t="s">
        <v>161</v>
      </c>
      <c r="C27" s="62" t="s">
        <v>163</v>
      </c>
      <c r="D27" s="62"/>
      <c r="E27" s="62">
        <f t="shared" si="2"/>
        <v>7</v>
      </c>
      <c r="F27" s="128" t="s">
        <v>79</v>
      </c>
      <c r="G27" s="129">
        <v>9.3337450783602254</v>
      </c>
      <c r="H27" s="129">
        <v>8.8447587393953135</v>
      </c>
      <c r="I27" s="129">
        <v>9.84684497064287</v>
      </c>
      <c r="J27" s="129"/>
      <c r="K27" s="129"/>
      <c r="L27" s="129"/>
      <c r="M27" s="60">
        <f t="shared" si="0"/>
        <v>2</v>
      </c>
      <c r="N27" s="61">
        <f t="shared" si="3"/>
        <v>8.4733382030679323</v>
      </c>
      <c r="O27" s="61">
        <f t="shared" si="16"/>
        <v>9.3337450783602254</v>
      </c>
      <c r="P27" s="129">
        <f t="shared" si="4"/>
        <v>11.470826773531797</v>
      </c>
      <c r="Q27" s="129">
        <f t="shared" si="5"/>
        <v>11.27930825116926</v>
      </c>
      <c r="R27" s="129">
        <f t="shared" si="6"/>
        <v>11.665169642204907</v>
      </c>
      <c r="S27" s="61">
        <f t="shared" si="7"/>
        <v>14.799281006590773</v>
      </c>
      <c r="T27" s="61">
        <f t="shared" si="1"/>
        <v>18.022741629816803</v>
      </c>
      <c r="U27" s="61">
        <f t="shared" si="17"/>
        <v>9.0013736619754816</v>
      </c>
      <c r="V27" s="61"/>
      <c r="Y27" s="163" t="s">
        <v>40</v>
      </c>
      <c r="Z27" s="163" t="s">
        <v>63</v>
      </c>
      <c r="AA27" s="163" t="s">
        <v>200</v>
      </c>
      <c r="AB27" s="163">
        <f t="shared" si="22"/>
        <v>4</v>
      </c>
      <c r="AC27" s="166">
        <f t="shared" si="23"/>
        <v>9.6262021411722003</v>
      </c>
      <c r="AD27" s="166">
        <f t="shared" si="24"/>
        <v>12.635518843572534</v>
      </c>
      <c r="AE27" s="163"/>
      <c r="AF27" s="163">
        <f t="shared" si="10"/>
        <v>12</v>
      </c>
      <c r="AG27" s="168" t="str">
        <f t="shared" si="11"/>
        <v>N/A</v>
      </c>
      <c r="AH27" s="166">
        <f t="shared" si="12"/>
        <v>9.8124644819094531</v>
      </c>
      <c r="AI27" s="166">
        <f t="shared" si="13"/>
        <v>9.2595565689108685</v>
      </c>
      <c r="AJ27" s="166">
        <f t="shared" si="14"/>
        <v>10.394605699232825</v>
      </c>
      <c r="AK27" s="168">
        <f t="shared" si="15"/>
        <v>2</v>
      </c>
    </row>
    <row r="28" spans="1:37" x14ac:dyDescent="0.2">
      <c r="A28" s="62" t="s">
        <v>51</v>
      </c>
      <c r="B28" s="62" t="s">
        <v>71</v>
      </c>
      <c r="C28" s="62" t="s">
        <v>200</v>
      </c>
      <c r="D28" s="62"/>
      <c r="E28" s="62">
        <f t="shared" si="2"/>
        <v>10</v>
      </c>
      <c r="F28" s="128" t="s">
        <v>79</v>
      </c>
      <c r="G28" s="129">
        <v>9.6657871591908524</v>
      </c>
      <c r="H28" s="129">
        <v>9.1361897090372199</v>
      </c>
      <c r="I28" s="129">
        <v>10.222629972004773</v>
      </c>
      <c r="J28" s="129"/>
      <c r="K28" s="129"/>
      <c r="L28" s="129"/>
      <c r="M28" s="60">
        <f t="shared" si="0"/>
        <v>2</v>
      </c>
      <c r="N28" s="61">
        <f t="shared" si="3"/>
        <v>8.4733382030679323</v>
      </c>
      <c r="O28" s="61">
        <f t="shared" si="16"/>
        <v>9.3337450783602254</v>
      </c>
      <c r="P28" s="129">
        <f t="shared" si="4"/>
        <v>11.470826773531797</v>
      </c>
      <c r="Q28" s="129">
        <f t="shared" si="5"/>
        <v>11.27930825116926</v>
      </c>
      <c r="R28" s="129">
        <f t="shared" si="6"/>
        <v>11.665169642204907</v>
      </c>
      <c r="S28" s="61">
        <f t="shared" si="7"/>
        <v>14.799281006590773</v>
      </c>
      <c r="T28" s="61">
        <f t="shared" si="1"/>
        <v>18.022741629816803</v>
      </c>
      <c r="U28" s="61">
        <f t="shared" si="17"/>
        <v>9.9991164256472196</v>
      </c>
      <c r="V28" s="61"/>
      <c r="Y28" s="163" t="s">
        <v>42</v>
      </c>
      <c r="Z28" s="163" t="s">
        <v>65</v>
      </c>
      <c r="AA28" s="163" t="s">
        <v>200</v>
      </c>
      <c r="AB28" s="163">
        <f t="shared" si="22"/>
        <v>9</v>
      </c>
      <c r="AC28" s="166">
        <f t="shared" si="23"/>
        <v>9.6262021411722003</v>
      </c>
      <c r="AD28" s="166">
        <f t="shared" si="24"/>
        <v>12.635518843572534</v>
      </c>
      <c r="AE28" s="163"/>
      <c r="AF28" s="163">
        <f t="shared" si="10"/>
        <v>17</v>
      </c>
      <c r="AG28" s="168" t="str">
        <f t="shared" si="11"/>
        <v>N/A</v>
      </c>
      <c r="AH28" s="166">
        <f t="shared" si="12"/>
        <v>12.635518843572534</v>
      </c>
      <c r="AI28" s="166">
        <f t="shared" si="13"/>
        <v>11.91418154556691</v>
      </c>
      <c r="AJ28" s="166">
        <f t="shared" si="14"/>
        <v>13.393888404552445</v>
      </c>
      <c r="AK28" s="168">
        <f t="shared" si="15"/>
        <v>1</v>
      </c>
    </row>
    <row r="29" spans="1:37" x14ac:dyDescent="0.2">
      <c r="A29" s="62" t="s">
        <v>52</v>
      </c>
      <c r="B29" s="62" t="s">
        <v>72</v>
      </c>
      <c r="C29" s="62" t="s">
        <v>201</v>
      </c>
      <c r="D29" s="62"/>
      <c r="E29" s="62">
        <f t="shared" si="2"/>
        <v>23</v>
      </c>
      <c r="F29" s="128" t="s">
        <v>79</v>
      </c>
      <c r="G29" s="129">
        <v>16.568614037488029</v>
      </c>
      <c r="H29" s="129">
        <v>15.733851019936603</v>
      </c>
      <c r="I29" s="129">
        <v>17.43850028127563</v>
      </c>
      <c r="J29" s="129"/>
      <c r="K29" s="129"/>
      <c r="L29" s="129"/>
      <c r="M29" s="60">
        <f t="shared" si="0"/>
        <v>1</v>
      </c>
      <c r="N29" s="61">
        <f t="shared" si="3"/>
        <v>8.4733382030679323</v>
      </c>
      <c r="O29" s="61">
        <f t="shared" si="16"/>
        <v>9.3337450783602254</v>
      </c>
      <c r="P29" s="129">
        <f t="shared" si="4"/>
        <v>11.470826773531797</v>
      </c>
      <c r="Q29" s="129">
        <f t="shared" si="5"/>
        <v>11.27930825116926</v>
      </c>
      <c r="R29" s="129">
        <f t="shared" si="6"/>
        <v>11.665169642204907</v>
      </c>
      <c r="S29" s="61">
        <f t="shared" si="7"/>
        <v>14.799281006590773</v>
      </c>
      <c r="T29" s="61">
        <f t="shared" si="1"/>
        <v>18.022741629816803</v>
      </c>
      <c r="U29" s="61">
        <f t="shared" si="17"/>
        <v>15.971985496916545</v>
      </c>
      <c r="V29" s="61"/>
      <c r="Y29" s="163" t="s">
        <v>44</v>
      </c>
      <c r="Z29" s="163" t="s">
        <v>66</v>
      </c>
      <c r="AA29" s="163" t="s">
        <v>200</v>
      </c>
      <c r="AB29" s="163">
        <f t="shared" si="22"/>
        <v>7</v>
      </c>
      <c r="AC29" s="166">
        <f t="shared" si="23"/>
        <v>9.6262021411722003</v>
      </c>
      <c r="AD29" s="166">
        <f t="shared" si="24"/>
        <v>12.635518843572534</v>
      </c>
      <c r="AE29" s="163"/>
      <c r="AF29" s="163">
        <f t="shared" si="10"/>
        <v>15</v>
      </c>
      <c r="AG29" s="168" t="str">
        <f t="shared" si="11"/>
        <v>N/A</v>
      </c>
      <c r="AH29" s="166">
        <f t="shared" si="12"/>
        <v>10.847838293093767</v>
      </c>
      <c r="AI29" s="166">
        <f t="shared" si="13"/>
        <v>10.218734155186874</v>
      </c>
      <c r="AJ29" s="166">
        <f t="shared" si="14"/>
        <v>11.51070695978556</v>
      </c>
      <c r="AK29" s="168">
        <f t="shared" si="15"/>
        <v>5</v>
      </c>
    </row>
    <row r="30" spans="1:37" x14ac:dyDescent="0.2">
      <c r="A30" s="62" t="s">
        <v>53</v>
      </c>
      <c r="B30" s="62" t="s">
        <v>162</v>
      </c>
      <c r="C30" s="62" t="s">
        <v>163</v>
      </c>
      <c r="D30" s="62"/>
      <c r="E30" s="62">
        <f t="shared" si="2"/>
        <v>5</v>
      </c>
      <c r="F30" s="128" t="s">
        <v>79</v>
      </c>
      <c r="G30" s="129">
        <v>9.0274198536233374</v>
      </c>
      <c r="H30" s="129">
        <v>8.7463282307722725</v>
      </c>
      <c r="I30" s="129">
        <v>9.3166229546444495</v>
      </c>
      <c r="J30" s="129"/>
      <c r="K30" s="129"/>
      <c r="L30" s="129"/>
      <c r="M30" s="60">
        <f t="shared" si="0"/>
        <v>2</v>
      </c>
      <c r="N30" s="61">
        <f t="shared" si="3"/>
        <v>8.4733382030679323</v>
      </c>
      <c r="O30" s="61">
        <f t="shared" si="16"/>
        <v>9.3337450783602254</v>
      </c>
      <c r="P30" s="129">
        <f>$G$32</f>
        <v>11.470826773531797</v>
      </c>
      <c r="Q30" s="129">
        <f t="shared" si="5"/>
        <v>11.27930825116926</v>
      </c>
      <c r="R30" s="129">
        <f t="shared" si="6"/>
        <v>11.665169642204907</v>
      </c>
      <c r="S30" s="61">
        <f t="shared" si="7"/>
        <v>14.799281006590773</v>
      </c>
      <c r="T30" s="61">
        <f t="shared" si="1"/>
        <v>18.022741629816803</v>
      </c>
      <c r="U30" s="61">
        <f t="shared" si="17"/>
        <v>9.0013736619754816</v>
      </c>
      <c r="V30" s="61"/>
      <c r="Y30" s="163" t="s">
        <v>49</v>
      </c>
      <c r="Z30" s="163" t="s">
        <v>70</v>
      </c>
      <c r="AA30" s="163" t="s">
        <v>200</v>
      </c>
      <c r="AB30" s="163">
        <f t="shared" si="22"/>
        <v>8</v>
      </c>
      <c r="AC30" s="166">
        <f t="shared" si="23"/>
        <v>9.6262021411722003</v>
      </c>
      <c r="AD30" s="166">
        <f t="shared" si="24"/>
        <v>12.635518843572534</v>
      </c>
      <c r="AE30" s="163"/>
      <c r="AF30" s="163">
        <f t="shared" si="10"/>
        <v>16</v>
      </c>
      <c r="AG30" s="168" t="str">
        <f t="shared" si="11"/>
        <v>N/A</v>
      </c>
      <c r="AH30" s="166">
        <f t="shared" si="12"/>
        <v>12.560673066551614</v>
      </c>
      <c r="AI30" s="166">
        <f t="shared" si="13"/>
        <v>12.091401966423689</v>
      </c>
      <c r="AJ30" s="166">
        <f t="shared" si="14"/>
        <v>13.045454019172203</v>
      </c>
      <c r="AK30" s="168">
        <f t="shared" si="15"/>
        <v>1</v>
      </c>
    </row>
    <row r="31" spans="1:37" x14ac:dyDescent="0.2">
      <c r="A31" s="62" t="s">
        <v>54</v>
      </c>
      <c r="B31" s="62" t="s">
        <v>73</v>
      </c>
      <c r="C31" s="62" t="s">
        <v>201</v>
      </c>
      <c r="D31" s="62"/>
      <c r="E31" s="62">
        <f t="shared" si="2"/>
        <v>25</v>
      </c>
      <c r="F31" s="128" t="s">
        <v>79</v>
      </c>
      <c r="G31" s="129">
        <v>17.981945253348862</v>
      </c>
      <c r="H31" s="129">
        <v>17.348693790770177</v>
      </c>
      <c r="I31" s="129">
        <v>18.633100276051824</v>
      </c>
      <c r="J31" s="129"/>
      <c r="K31" s="129"/>
      <c r="L31" s="129"/>
      <c r="M31" s="60">
        <f t="shared" si="0"/>
        <v>1</v>
      </c>
      <c r="N31" s="61">
        <f t="shared" si="3"/>
        <v>8.4733382030679323</v>
      </c>
      <c r="O31" s="61">
        <f t="shared" si="16"/>
        <v>9.3337450783602254</v>
      </c>
      <c r="P31" s="129">
        <f t="shared" si="4"/>
        <v>11.470826773531797</v>
      </c>
      <c r="Q31" s="129">
        <f t="shared" si="5"/>
        <v>11.27930825116926</v>
      </c>
      <c r="R31" s="129">
        <f t="shared" si="6"/>
        <v>11.665169642204907</v>
      </c>
      <c r="S31" s="61">
        <f t="shared" si="7"/>
        <v>14.799281006590773</v>
      </c>
      <c r="T31" s="61">
        <f t="shared" si="1"/>
        <v>18.022741629816803</v>
      </c>
      <c r="U31" s="61">
        <f t="shared" si="17"/>
        <v>15.971985496916545</v>
      </c>
      <c r="V31" s="61"/>
      <c r="Y31" s="163" t="s">
        <v>51</v>
      </c>
      <c r="Z31" s="163" t="s">
        <v>71</v>
      </c>
      <c r="AA31" s="163" t="s">
        <v>200</v>
      </c>
      <c r="AB31" s="163">
        <f t="shared" si="22"/>
        <v>2</v>
      </c>
      <c r="AC31" s="166">
        <f t="shared" si="23"/>
        <v>9.6262021411722003</v>
      </c>
      <c r="AD31" s="166">
        <f t="shared" si="24"/>
        <v>12.635518843572534</v>
      </c>
      <c r="AE31" s="163"/>
      <c r="AF31" s="163">
        <f t="shared" si="10"/>
        <v>10</v>
      </c>
      <c r="AG31" s="168" t="str">
        <f t="shared" si="11"/>
        <v>N/A</v>
      </c>
      <c r="AH31" s="166">
        <f t="shared" si="12"/>
        <v>9.6657871591908524</v>
      </c>
      <c r="AI31" s="166">
        <f t="shared" si="13"/>
        <v>9.1361897090372199</v>
      </c>
      <c r="AJ31" s="166">
        <f t="shared" si="14"/>
        <v>10.222629972004773</v>
      </c>
      <c r="AK31" s="168">
        <f t="shared" si="15"/>
        <v>2</v>
      </c>
    </row>
    <row r="32" spans="1:37" x14ac:dyDescent="0.2">
      <c r="A32" s="62"/>
      <c r="B32" s="62" t="s">
        <v>171</v>
      </c>
      <c r="C32" s="62"/>
      <c r="D32" s="62"/>
      <c r="E32" s="62"/>
      <c r="F32" s="128">
        <v>12022</v>
      </c>
      <c r="G32" s="129">
        <v>11.470826773531797</v>
      </c>
      <c r="H32" s="129">
        <v>11.27930825116926</v>
      </c>
      <c r="I32" s="129">
        <v>11.665169642204907</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3473</v>
      </c>
      <c r="G44" s="129">
        <v>9.0013736619754816</v>
      </c>
      <c r="H44" s="129">
        <v>8.7198641378543869</v>
      </c>
      <c r="I44" s="129">
        <v>9.291046307452369</v>
      </c>
      <c r="J44" s="129">
        <f>VLOOKUP($C44,$AA$6:$AD$13,3,FALSE)</f>
        <v>8.4733382030679323</v>
      </c>
      <c r="K44" s="129">
        <f>VLOOKUP($C44,$AA$6:$AD$13,4,FALSE)</f>
        <v>9.3630919978225382</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2</v>
      </c>
      <c r="N44" s="61">
        <f>MIN($G$6:$G$31)</f>
        <v>8.4733382030679323</v>
      </c>
      <c r="O44" s="61">
        <f>VLOOKUP(7,$E$5:$G$39,3,FALSE)</f>
        <v>9.3337450783602254</v>
      </c>
      <c r="P44" s="129">
        <f>$G$32</f>
        <v>11.470826773531797</v>
      </c>
      <c r="Q44" s="129">
        <f>$H$32</f>
        <v>11.27930825116926</v>
      </c>
      <c r="R44" s="129">
        <f>$I$32</f>
        <v>11.665169642204907</v>
      </c>
      <c r="S44" s="61">
        <f>VLOOKUP(20,$E$5:$G$39,3,FALSE)</f>
        <v>14.799281006590773</v>
      </c>
      <c r="T44" s="61">
        <f>MAX($G$6:$G$31)</f>
        <v>18.022741629816803</v>
      </c>
    </row>
    <row r="45" spans="1:22" x14ac:dyDescent="0.2">
      <c r="C45" s="62" t="s">
        <v>201</v>
      </c>
      <c r="D45" s="62"/>
      <c r="E45" s="62"/>
      <c r="F45" s="128">
        <v>5154</v>
      </c>
      <c r="G45" s="129">
        <v>15.971985496916545</v>
      </c>
      <c r="H45" s="129">
        <v>15.576327459737122</v>
      </c>
      <c r="I45" s="129">
        <v>16.375744290679823</v>
      </c>
      <c r="J45" s="129">
        <f>VLOOKUP($C45,$AA$14:$AD$22,3,FALSE)</f>
        <v>13.745492014425555</v>
      </c>
      <c r="K45" s="129">
        <f>VLOOKUP($C45,$AA$14:$AD$22,4,FALSE)</f>
        <v>18.022741629816803</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1</v>
      </c>
      <c r="N45" s="61">
        <f>MIN($G$6:$G$31)</f>
        <v>8.4733382030679323</v>
      </c>
      <c r="O45" s="61">
        <f>VLOOKUP(7,$E$5:$G$39,3,FALSE)</f>
        <v>9.3337450783602254</v>
      </c>
      <c r="P45" s="129">
        <f>$G$32</f>
        <v>11.470826773531797</v>
      </c>
      <c r="Q45" s="129">
        <f t="shared" ref="Q45:Q46" si="25">$H$32</f>
        <v>11.27930825116926</v>
      </c>
      <c r="R45" s="129">
        <f t="shared" ref="R45:R46" si="26">$I$32</f>
        <v>11.665169642204907</v>
      </c>
      <c r="S45" s="61">
        <f>VLOOKUP(20,$E$5:$G$39,3,FALSE)</f>
        <v>14.799281006590773</v>
      </c>
      <c r="T45" s="61">
        <f t="shared" ref="T45:T46" si="27">MAX($G$6:$G$31)</f>
        <v>18.022741629816803</v>
      </c>
    </row>
    <row r="46" spans="1:22" x14ac:dyDescent="0.2">
      <c r="C46" s="62" t="s">
        <v>200</v>
      </c>
      <c r="D46" s="62"/>
      <c r="E46" s="62"/>
      <c r="F46" s="128">
        <v>3395</v>
      </c>
      <c r="G46" s="129">
        <v>9.9991164256472196</v>
      </c>
      <c r="H46" s="129">
        <v>9.6845375806069338</v>
      </c>
      <c r="I46" s="129">
        <v>10.322745685298568</v>
      </c>
      <c r="J46" s="129">
        <f>VLOOKUP($C46,$AA$23:$AD$31,3,FALSE)</f>
        <v>9.6262021411722003</v>
      </c>
      <c r="K46" s="129">
        <f>VLOOKUP($C46,$AA$23:$AD$31,4,FALSE)</f>
        <v>12.635518843572534</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2</v>
      </c>
      <c r="N46" s="61">
        <f>MIN($G$6:$G$31)</f>
        <v>8.4733382030679323</v>
      </c>
      <c r="O46" s="61">
        <f>VLOOKUP(7,$E$5:$G$39,3,FALSE)</f>
        <v>9.3337450783602254</v>
      </c>
      <c r="P46" s="129">
        <f t="shared" ref="P46" si="28">$G$32</f>
        <v>11.470826773531797</v>
      </c>
      <c r="Q46" s="129">
        <f t="shared" si="25"/>
        <v>11.27930825116926</v>
      </c>
      <c r="R46" s="129">
        <f t="shared" si="26"/>
        <v>11.665169642204907</v>
      </c>
      <c r="S46" s="61">
        <f>VLOOKUP(20,$E$5:$G$39,3,FALSE)</f>
        <v>14.799281006590773</v>
      </c>
      <c r="T46" s="61">
        <f t="shared" si="27"/>
        <v>18.022741629816803</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C2:D2" xr:uid="{00000000-0002-0000-4400-000000000000}">
      <formula1>"Better / Worse,Higher / Lower,Significance not measured"</formula1>
    </dataValidation>
    <dataValidation type="list" allowBlank="1" showInputMessage="1" showErrorMessage="1" sqref="K2:N2" xr:uid="{00000000-0002-0000-4400-000001000000}">
      <formula1>"High = Worst,Low = Worst"</formula1>
    </dataValidation>
  </dataValidations>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theme="6" tint="0.39997558519241921"/>
  </sheetPr>
  <dimension ref="A1:AK55"/>
  <sheetViews>
    <sheetView workbookViewId="0">
      <selection activeCell="J82" sqref="J82"/>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9" width="5.109375" style="21" customWidth="1"/>
    <col min="10" max="10" width="9.109375" style="21" customWidth="1"/>
    <col min="11" max="12" width="6.109375" style="21" customWidth="1"/>
    <col min="13" max="13" width="4.88671875" style="21" bestFit="1" customWidth="1"/>
    <col min="14" max="14" width="4" style="21" bestFit="1" customWidth="1"/>
    <col min="15" max="15" width="7" style="21" bestFit="1" customWidth="1"/>
    <col min="16" max="16" width="5" style="21" customWidth="1"/>
    <col min="17" max="18" width="4.6640625" style="21" customWidth="1"/>
    <col min="19" max="19" width="7" style="21" bestFit="1" customWidth="1"/>
    <col min="20" max="20" width="4.88671875" style="21" bestFit="1" customWidth="1"/>
    <col min="21" max="21" width="4.44140625" style="21" bestFit="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133</v>
      </c>
      <c r="D2" s="444"/>
      <c r="F2" s="137" t="s">
        <v>135</v>
      </c>
      <c r="G2" s="138"/>
      <c r="H2" s="138"/>
      <c r="I2" s="139"/>
      <c r="J2" s="140"/>
      <c r="K2" s="445" t="s">
        <v>137</v>
      </c>
      <c r="L2" s="443"/>
      <c r="M2" s="443"/>
      <c r="N2" s="446"/>
      <c r="P2" s="141" t="s">
        <v>136</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64"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16</v>
      </c>
      <c r="F6" s="128">
        <v>574</v>
      </c>
      <c r="G6" s="129">
        <v>6.0440138991260399</v>
      </c>
      <c r="H6" s="129">
        <v>5.582284426726285</v>
      </c>
      <c r="I6" s="129">
        <v>6.5412886674369757</v>
      </c>
      <c r="J6" s="129"/>
      <c r="K6" s="129"/>
      <c r="L6" s="129"/>
      <c r="M6" s="60">
        <f>IF($C$2="Significance not measured",6,IF(AND($C$2="Better / Worse",$K$2="Low = Worst",I6&lt;Q6),1,IF(AND($C$2="Better / Worse",$K$2="Low = Worst",H6&gt;R6),2,IF(AND($C$2="Better / Worse",$K$2="High = Worst",I6&lt;Q6),2,IF(AND($C$2="Better / Worse",$K$2="High = Worst",H6&gt;R6),1,IF(AND($C$2="Higher / Lower",I6&lt;Q6),3,IF(AND($C$2="Higher / Lower",H6&gt;R6),4,5)))))))</f>
        <v>4</v>
      </c>
      <c r="N6" s="61">
        <f>MIN($G$6:$G$32)</f>
        <v>1.3017689360138576</v>
      </c>
      <c r="O6" s="61">
        <f>VLOOKUP(7,$E$5:$G$39,3,FALSE)</f>
        <v>4.8160629036787421</v>
      </c>
      <c r="P6" s="129">
        <f>$G$32</f>
        <v>5.476312119412877</v>
      </c>
      <c r="Q6" s="129">
        <f>$H$32</f>
        <v>5.3940495013276522</v>
      </c>
      <c r="R6" s="129">
        <f>$I$32</f>
        <v>5.5597555665772767</v>
      </c>
      <c r="S6" s="61">
        <f>VLOOKUP(20,$E$5:$G$39,3,FALSE)</f>
        <v>6.1674292711219953</v>
      </c>
      <c r="T6" s="61">
        <f t="shared" ref="T6:T14" si="0">MAX($G$6:$G$31)</f>
        <v>7.8571935552558738</v>
      </c>
      <c r="U6" s="61">
        <f>VLOOKUP(C6,$C$43:$I$46,5,FALSE)</f>
        <v>4.4343247474028749</v>
      </c>
      <c r="V6" s="61"/>
      <c r="Y6" s="159" t="s">
        <v>33</v>
      </c>
      <c r="Z6" s="159" t="s">
        <v>58</v>
      </c>
      <c r="AA6" s="159" t="s">
        <v>163</v>
      </c>
      <c r="AB6" s="159">
        <f>RANK(AH6,$AH$6:$AH$13,1)</f>
        <v>8</v>
      </c>
      <c r="AC6" s="164">
        <f>MIN($AH$6:$AH$13)</f>
        <v>4.5397710878137927</v>
      </c>
      <c r="AD6" s="164">
        <f>MAX($AH$6:$AH$13)</f>
        <v>7.8571935552558738</v>
      </c>
      <c r="AE6" s="159"/>
      <c r="AF6" s="159">
        <f>VLOOKUP($Y6,$A$6:$I$31,5,FALSE)</f>
        <v>26</v>
      </c>
      <c r="AG6" s="160">
        <f>VLOOKUP($Y6,$A$6:$I$31,6,FALSE)</f>
        <v>1107</v>
      </c>
      <c r="AH6" s="161">
        <f>VLOOKUP($Y6,$A$6:$I$31,7,FALSE)</f>
        <v>7.8571935552558738</v>
      </c>
      <c r="AI6" s="161">
        <f>VLOOKUP($Y6,$A$6:$I$31,8,FALSE)</f>
        <v>7.4242969472641267</v>
      </c>
      <c r="AJ6" s="161">
        <f>VLOOKUP($Y6,$A$6:$I$31,9,FALSE)</f>
        <v>8.3130649275659465</v>
      </c>
      <c r="AK6" s="160">
        <f>VLOOKUP($Y6,$A$6:$M$31,13,FALSE)</f>
        <v>4</v>
      </c>
    </row>
    <row r="7" spans="1:37" x14ac:dyDescent="0.2">
      <c r="A7" s="62" t="s">
        <v>30</v>
      </c>
      <c r="B7" s="62" t="s">
        <v>56</v>
      </c>
      <c r="C7" s="62" t="s">
        <v>200</v>
      </c>
      <c r="D7" s="62"/>
      <c r="E7" s="62">
        <f t="shared" ref="E7:E31" si="1">RANK(G7,$G$6:$G$31,1)</f>
        <v>14</v>
      </c>
      <c r="F7" s="128">
        <v>689</v>
      </c>
      <c r="G7" s="129">
        <v>5.9674346093885333</v>
      </c>
      <c r="H7" s="129">
        <v>5.5498223449035864</v>
      </c>
      <c r="I7" s="129">
        <v>6.4143371957052775</v>
      </c>
      <c r="J7" s="129"/>
      <c r="K7" s="129"/>
      <c r="L7" s="129"/>
      <c r="M7" s="60">
        <f t="shared" ref="M7:M11" si="2">IF($C$2="Significance not measured",6,IF(AND($C$2="Better / Worse",$K$2="Low = Worst",I7&lt;Q7),1,IF(AND($C$2="Better / Worse",$K$2="Low = Worst",H7&gt;R7),2,IF(AND($C$2="Better / Worse",$K$2="High = Worst",I7&lt;Q7),2,IF(AND($C$2="Better / Worse",$K$2="High = Worst",H7&gt;R7),1,IF(AND($C$2="Higher / Lower",I7&lt;Q7),3,IF(AND($C$2="Higher / Lower",H7&gt;R7),4,5)))))))</f>
        <v>5</v>
      </c>
      <c r="N7" s="61">
        <f t="shared" ref="N7:N31" si="3">MIN($G$6:$G$32)</f>
        <v>1.3017689360138576</v>
      </c>
      <c r="O7" s="61">
        <f>VLOOKUP(7,$E$5:$G$39,3,FALSE)</f>
        <v>4.8160629036787421</v>
      </c>
      <c r="P7" s="129">
        <f t="shared" ref="P7:P31" si="4">$G$32</f>
        <v>5.476312119412877</v>
      </c>
      <c r="Q7" s="129">
        <f t="shared" ref="Q7:Q31" si="5">$H$32</f>
        <v>5.3940495013276522</v>
      </c>
      <c r="R7" s="129">
        <f t="shared" ref="R7:R31" si="6">$I$32</f>
        <v>5.5597555665772767</v>
      </c>
      <c r="S7" s="61">
        <f t="shared" ref="S7:S31" si="7">VLOOKUP(20,$E$5:$G$39,3,FALSE)</f>
        <v>6.1674292711219953</v>
      </c>
      <c r="T7" s="61">
        <f t="shared" si="0"/>
        <v>7.8571935552558738</v>
      </c>
      <c r="U7" s="61">
        <f t="shared" ref="U7:U31" si="8">VLOOKUP(C7,$C$43:$I$46,5,FALSE)</f>
        <v>5.7919649041791734</v>
      </c>
      <c r="V7" s="61"/>
      <c r="Y7" s="159" t="s">
        <v>35</v>
      </c>
      <c r="Z7" s="159" t="s">
        <v>60</v>
      </c>
      <c r="AA7" s="159" t="s">
        <v>163</v>
      </c>
      <c r="AB7" s="159">
        <f>RANK(AH7,$AH$6:$AH$13,1)</f>
        <v>6</v>
      </c>
      <c r="AC7" s="164">
        <f t="shared" ref="AC7:AC13" si="9">MIN($AH$6:$AH$13)</f>
        <v>4.5397710878137927</v>
      </c>
      <c r="AD7" s="164">
        <f t="shared" ref="AD7:AD13" si="10">MAX($AH$6:$AH$13)</f>
        <v>7.8571935552558738</v>
      </c>
      <c r="AE7" s="159"/>
      <c r="AF7" s="159">
        <f t="shared" ref="AF7:AF31" si="11">VLOOKUP($Y7,$A$6:$I$31,5,FALSE)</f>
        <v>21</v>
      </c>
      <c r="AG7" s="160">
        <f t="shared" ref="AG7:AG31" si="12">VLOOKUP($Y7,$A$6:$I$31,6,FALSE)</f>
        <v>924</v>
      </c>
      <c r="AH7" s="161">
        <f t="shared" ref="AH7:AH31" si="13">VLOOKUP($Y7,$A$6:$I$31,7,FALSE)</f>
        <v>6.347025690342079</v>
      </c>
      <c r="AI7" s="161">
        <f t="shared" ref="AI7:AI31" si="14">VLOOKUP($Y7,$A$6:$I$31,8,FALSE)</f>
        <v>5.9623825766495955</v>
      </c>
      <c r="AJ7" s="161">
        <f t="shared" ref="AJ7:AJ31" si="15">VLOOKUP($Y7,$A$6:$I$31,9,FALSE)</f>
        <v>6.7547003833421089</v>
      </c>
      <c r="AK7" s="160">
        <f t="shared" ref="AK7:AK31" si="16">VLOOKUP($Y7,$A$6:$M$31,13,FALSE)</f>
        <v>4</v>
      </c>
    </row>
    <row r="8" spans="1:37" x14ac:dyDescent="0.2">
      <c r="A8" s="62" t="s">
        <v>31</v>
      </c>
      <c r="B8" s="62" t="s">
        <v>57</v>
      </c>
      <c r="C8" s="62" t="s">
        <v>200</v>
      </c>
      <c r="D8" s="62"/>
      <c r="E8" s="62">
        <f t="shared" si="1"/>
        <v>9</v>
      </c>
      <c r="F8" s="128">
        <v>611</v>
      </c>
      <c r="G8" s="129">
        <v>4.964250893727657</v>
      </c>
      <c r="H8" s="129">
        <v>4.5943762055957302</v>
      </c>
      <c r="I8" s="129">
        <v>5.3622290911891168</v>
      </c>
      <c r="J8" s="129"/>
      <c r="K8" s="129"/>
      <c r="L8" s="129"/>
      <c r="M8" s="60">
        <f t="shared" si="2"/>
        <v>3</v>
      </c>
      <c r="N8" s="61">
        <f t="shared" si="3"/>
        <v>1.3017689360138576</v>
      </c>
      <c r="O8" s="61">
        <f t="shared" ref="O8:O31" si="17">VLOOKUP(7,$E$5:$G$39,3,FALSE)</f>
        <v>4.8160629036787421</v>
      </c>
      <c r="P8" s="129">
        <f t="shared" si="4"/>
        <v>5.476312119412877</v>
      </c>
      <c r="Q8" s="129">
        <f t="shared" si="5"/>
        <v>5.3940495013276522</v>
      </c>
      <c r="R8" s="129">
        <f t="shared" si="6"/>
        <v>5.5597555665772767</v>
      </c>
      <c r="S8" s="61">
        <f t="shared" si="7"/>
        <v>6.1674292711219953</v>
      </c>
      <c r="T8" s="61">
        <f t="shared" si="0"/>
        <v>7.8571935552558738</v>
      </c>
      <c r="U8" s="61">
        <f t="shared" si="8"/>
        <v>5.7919649041791734</v>
      </c>
      <c r="V8" s="61"/>
      <c r="Y8" s="159" t="s">
        <v>41</v>
      </c>
      <c r="Z8" s="159" t="s">
        <v>64</v>
      </c>
      <c r="AA8" s="159" t="s">
        <v>163</v>
      </c>
      <c r="AB8" s="159">
        <f>RANK(AH8,$AH$6:$AH$13,1)</f>
        <v>2</v>
      </c>
      <c r="AC8" s="164">
        <f t="shared" si="9"/>
        <v>4.5397710878137927</v>
      </c>
      <c r="AD8" s="164">
        <f t="shared" si="10"/>
        <v>7.8571935552558738</v>
      </c>
      <c r="AE8" s="159"/>
      <c r="AF8" s="159">
        <f t="shared" si="11"/>
        <v>11</v>
      </c>
      <c r="AG8" s="160">
        <f t="shared" si="12"/>
        <v>557</v>
      </c>
      <c r="AH8" s="161">
        <f t="shared" si="13"/>
        <v>5.2826251896813359</v>
      </c>
      <c r="AI8" s="161">
        <f t="shared" si="14"/>
        <v>4.8717202293067032</v>
      </c>
      <c r="AJ8" s="161">
        <f t="shared" si="15"/>
        <v>5.7261017344078962</v>
      </c>
      <c r="AK8" s="160">
        <f t="shared" si="16"/>
        <v>5</v>
      </c>
    </row>
    <row r="9" spans="1:37" x14ac:dyDescent="0.2">
      <c r="A9" s="62" t="s">
        <v>32</v>
      </c>
      <c r="B9" s="62" t="s">
        <v>156</v>
      </c>
      <c r="C9" s="62" t="s">
        <v>201</v>
      </c>
      <c r="D9" s="62"/>
      <c r="E9" s="62">
        <f t="shared" si="1"/>
        <v>25</v>
      </c>
      <c r="F9" s="128">
        <v>1345</v>
      </c>
      <c r="G9" s="129">
        <v>7.4441000664157624</v>
      </c>
      <c r="H9" s="129">
        <v>7.0703421210060471</v>
      </c>
      <c r="I9" s="129">
        <v>7.8359498855888639</v>
      </c>
      <c r="J9" s="129"/>
      <c r="K9" s="129"/>
      <c r="L9" s="129"/>
      <c r="M9" s="60">
        <f t="shared" si="2"/>
        <v>4</v>
      </c>
      <c r="N9" s="61">
        <f t="shared" si="3"/>
        <v>1.3017689360138576</v>
      </c>
      <c r="O9" s="61">
        <f t="shared" si="17"/>
        <v>4.8160629036787421</v>
      </c>
      <c r="P9" s="129">
        <f t="shared" si="4"/>
        <v>5.476312119412877</v>
      </c>
      <c r="Q9" s="129">
        <f t="shared" si="5"/>
        <v>5.3940495013276522</v>
      </c>
      <c r="R9" s="129">
        <f t="shared" si="6"/>
        <v>5.5597555665772767</v>
      </c>
      <c r="S9" s="61">
        <f t="shared" si="7"/>
        <v>6.1674292711219953</v>
      </c>
      <c r="T9" s="61">
        <f t="shared" si="0"/>
        <v>7.8571935552558738</v>
      </c>
      <c r="U9" s="61">
        <f t="shared" si="8"/>
        <v>4.4343247474028749</v>
      </c>
      <c r="V9" s="61"/>
      <c r="X9" s="63"/>
      <c r="Y9" s="159" t="s">
        <v>45</v>
      </c>
      <c r="Z9" s="159" t="s">
        <v>67</v>
      </c>
      <c r="AA9" s="159" t="s">
        <v>163</v>
      </c>
      <c r="AB9" s="159">
        <f>RANK(AH9,$AH$6:$AH$13,1)</f>
        <v>4</v>
      </c>
      <c r="AC9" s="164">
        <f t="shared" si="9"/>
        <v>4.5397710878137927</v>
      </c>
      <c r="AD9" s="164">
        <f t="shared" si="10"/>
        <v>7.8571935552558738</v>
      </c>
      <c r="AE9" s="159"/>
      <c r="AF9" s="159">
        <f t="shared" si="11"/>
        <v>17</v>
      </c>
      <c r="AG9" s="160">
        <f t="shared" si="12"/>
        <v>537</v>
      </c>
      <c r="AH9" s="161">
        <f t="shared" si="13"/>
        <v>6.1294372788494469</v>
      </c>
      <c r="AI9" s="161">
        <f t="shared" si="14"/>
        <v>5.646126565292815</v>
      </c>
      <c r="AJ9" s="161">
        <f t="shared" si="15"/>
        <v>6.651203213969584</v>
      </c>
      <c r="AK9" s="160">
        <f t="shared" si="16"/>
        <v>4</v>
      </c>
    </row>
    <row r="10" spans="1:37" x14ac:dyDescent="0.2">
      <c r="A10" s="62" t="s">
        <v>33</v>
      </c>
      <c r="B10" s="62" t="s">
        <v>58</v>
      </c>
      <c r="C10" s="62" t="s">
        <v>163</v>
      </c>
      <c r="D10" s="62"/>
      <c r="E10" s="62">
        <f t="shared" si="1"/>
        <v>26</v>
      </c>
      <c r="F10" s="128">
        <v>1107</v>
      </c>
      <c r="G10" s="129">
        <v>7.8571935552558738</v>
      </c>
      <c r="H10" s="129">
        <v>7.4242969472641267</v>
      </c>
      <c r="I10" s="129">
        <v>8.3130649275659465</v>
      </c>
      <c r="J10" s="129"/>
      <c r="K10" s="129"/>
      <c r="L10" s="129"/>
      <c r="M10" s="60">
        <f t="shared" si="2"/>
        <v>4</v>
      </c>
      <c r="N10" s="61">
        <f t="shared" si="3"/>
        <v>1.3017689360138576</v>
      </c>
      <c r="O10" s="61">
        <f t="shared" si="17"/>
        <v>4.8160629036787421</v>
      </c>
      <c r="P10" s="129">
        <f t="shared" si="4"/>
        <v>5.476312119412877</v>
      </c>
      <c r="Q10" s="129">
        <f t="shared" si="5"/>
        <v>5.3940495013276522</v>
      </c>
      <c r="R10" s="129">
        <f t="shared" si="6"/>
        <v>5.5597555665772767</v>
      </c>
      <c r="S10" s="61">
        <f t="shared" si="7"/>
        <v>6.1674292711219953</v>
      </c>
      <c r="T10" s="61">
        <f t="shared" si="0"/>
        <v>7.8571935552558738</v>
      </c>
      <c r="U10" s="61">
        <f t="shared" si="8"/>
        <v>6.3209740013721207</v>
      </c>
      <c r="V10" s="61"/>
      <c r="Y10" s="159" t="s">
        <v>46</v>
      </c>
      <c r="Z10" s="159" t="s">
        <v>68</v>
      </c>
      <c r="AA10" s="159" t="s">
        <v>163</v>
      </c>
      <c r="AB10" s="159">
        <f>RANK(AH10,$AH$6:$AH$13,1)</f>
        <v>1</v>
      </c>
      <c r="AC10" s="164">
        <f t="shared" si="9"/>
        <v>4.5397710878137927</v>
      </c>
      <c r="AD10" s="164">
        <f t="shared" si="10"/>
        <v>7.8571935552558738</v>
      </c>
      <c r="AE10" s="159"/>
      <c r="AF10" s="159">
        <f t="shared" si="11"/>
        <v>5</v>
      </c>
      <c r="AG10" s="160">
        <f t="shared" si="12"/>
        <v>472</v>
      </c>
      <c r="AH10" s="161">
        <f t="shared" si="13"/>
        <v>4.5397710878137927</v>
      </c>
      <c r="AI10" s="161">
        <f t="shared" si="14"/>
        <v>4.1561336482464117</v>
      </c>
      <c r="AJ10" s="161">
        <f t="shared" si="15"/>
        <v>4.9569891944910234</v>
      </c>
      <c r="AK10" s="160">
        <f t="shared" si="16"/>
        <v>3</v>
      </c>
    </row>
    <row r="11" spans="1:37" x14ac:dyDescent="0.2">
      <c r="A11" s="62" t="s">
        <v>34</v>
      </c>
      <c r="B11" s="62" t="s">
        <v>59</v>
      </c>
      <c r="C11" s="62" t="s">
        <v>200</v>
      </c>
      <c r="D11" s="62"/>
      <c r="E11" s="62">
        <f t="shared" si="1"/>
        <v>20</v>
      </c>
      <c r="F11" s="128">
        <v>957</v>
      </c>
      <c r="G11" s="129">
        <v>6.1674292711219953</v>
      </c>
      <c r="H11" s="129">
        <v>5.7996630639435285</v>
      </c>
      <c r="I11" s="129">
        <v>6.5568928863832507</v>
      </c>
      <c r="J11" s="129"/>
      <c r="K11" s="129"/>
      <c r="L11" s="129"/>
      <c r="M11" s="60">
        <f t="shared" si="2"/>
        <v>4</v>
      </c>
      <c r="N11" s="61">
        <f t="shared" si="3"/>
        <v>1.3017689360138576</v>
      </c>
      <c r="O11" s="61">
        <f t="shared" si="17"/>
        <v>4.8160629036787421</v>
      </c>
      <c r="P11" s="129">
        <f t="shared" si="4"/>
        <v>5.476312119412877</v>
      </c>
      <c r="Q11" s="129">
        <f t="shared" si="5"/>
        <v>5.3940495013276522</v>
      </c>
      <c r="R11" s="129">
        <f t="shared" si="6"/>
        <v>5.5597555665772767</v>
      </c>
      <c r="S11" s="61">
        <f t="shared" si="7"/>
        <v>6.1674292711219953</v>
      </c>
      <c r="T11" s="61">
        <f t="shared" si="0"/>
        <v>7.8571935552558738</v>
      </c>
      <c r="U11" s="61">
        <f t="shared" si="8"/>
        <v>5.7919649041791734</v>
      </c>
      <c r="V11" s="61"/>
      <c r="Y11" s="159" t="s">
        <v>47</v>
      </c>
      <c r="Z11" s="159" t="s">
        <v>69</v>
      </c>
      <c r="AA11" s="159" t="s">
        <v>163</v>
      </c>
      <c r="AB11" s="159">
        <f t="shared" ref="AB11:AB12" si="18">RANK(AH11,$AH$6:$AH$13,1)</f>
        <v>3</v>
      </c>
      <c r="AC11" s="164">
        <f t="shared" si="9"/>
        <v>4.5397710878137927</v>
      </c>
      <c r="AD11" s="164">
        <f t="shared" si="10"/>
        <v>7.8571935552558738</v>
      </c>
      <c r="AE11" s="159"/>
      <c r="AF11" s="159">
        <f t="shared" si="11"/>
        <v>15</v>
      </c>
      <c r="AG11" s="160">
        <f t="shared" si="12"/>
        <v>324</v>
      </c>
      <c r="AH11" s="161">
        <f t="shared" si="13"/>
        <v>6</v>
      </c>
      <c r="AI11" s="161">
        <f t="shared" si="14"/>
        <v>5.397313098368488</v>
      </c>
      <c r="AJ11" s="161">
        <f t="shared" si="15"/>
        <v>6.6652439508708614</v>
      </c>
      <c r="AK11" s="160">
        <f t="shared" si="16"/>
        <v>5</v>
      </c>
    </row>
    <row r="12" spans="1:37" x14ac:dyDescent="0.2">
      <c r="A12" s="62" t="s">
        <v>35</v>
      </c>
      <c r="B12" s="62" t="s">
        <v>60</v>
      </c>
      <c r="C12" s="62" t="s">
        <v>163</v>
      </c>
      <c r="D12" s="62"/>
      <c r="E12" s="62">
        <f t="shared" si="1"/>
        <v>21</v>
      </c>
      <c r="F12" s="128">
        <v>924</v>
      </c>
      <c r="G12" s="129">
        <v>6.347025690342079</v>
      </c>
      <c r="H12" s="129">
        <v>5.9623825766495955</v>
      </c>
      <c r="I12" s="129">
        <v>6.7547003833421089</v>
      </c>
      <c r="J12" s="129"/>
      <c r="K12" s="129"/>
      <c r="L12" s="129"/>
      <c r="M12" s="60">
        <f t="shared" ref="M12:M19" si="19">IF($C$2="Significance not measured",6,IF(AND($C$2="Better / Worse",$K$2="Low = Worst",I12&lt;Q12),1,IF(AND($C$2="Better / Worse",$K$2="Low = Worst",H12&gt;R12),2,IF(AND($C$2="Better / Worse",$K$2="High = Worst",I12&lt;Q12),2,IF(AND($C$2="Better / Worse",$K$2="High = Worst",H12&gt;R12),1,IF(AND($C$2="Higher / Lower",I12&lt;Q12),3,IF(AND($C$2="Higher / Lower",H12&gt;R12),4,5)))))))</f>
        <v>4</v>
      </c>
      <c r="N12" s="61">
        <f t="shared" si="3"/>
        <v>1.3017689360138576</v>
      </c>
      <c r="O12" s="61">
        <f t="shared" si="17"/>
        <v>4.8160629036787421</v>
      </c>
      <c r="P12" s="129">
        <f t="shared" si="4"/>
        <v>5.476312119412877</v>
      </c>
      <c r="Q12" s="129">
        <f t="shared" si="5"/>
        <v>5.3940495013276522</v>
      </c>
      <c r="R12" s="129">
        <f t="shared" si="6"/>
        <v>5.5597555665772767</v>
      </c>
      <c r="S12" s="61">
        <f t="shared" si="7"/>
        <v>6.1674292711219953</v>
      </c>
      <c r="T12" s="61">
        <f t="shared" si="0"/>
        <v>7.8571935552558738</v>
      </c>
      <c r="U12" s="61">
        <f t="shared" si="8"/>
        <v>6.3209740013721207</v>
      </c>
      <c r="V12" s="61"/>
      <c r="Y12" s="159" t="s">
        <v>50</v>
      </c>
      <c r="Z12" s="159" t="s">
        <v>161</v>
      </c>
      <c r="AA12" s="159" t="s">
        <v>163</v>
      </c>
      <c r="AB12" s="159">
        <f t="shared" si="18"/>
        <v>5</v>
      </c>
      <c r="AC12" s="164">
        <f t="shared" si="9"/>
        <v>4.5397710878137927</v>
      </c>
      <c r="AD12" s="164">
        <f t="shared" si="10"/>
        <v>7.8571935552558738</v>
      </c>
      <c r="AE12" s="159"/>
      <c r="AF12" s="159">
        <f t="shared" si="11"/>
        <v>18</v>
      </c>
      <c r="AG12" s="160">
        <f t="shared" si="12"/>
        <v>358</v>
      </c>
      <c r="AH12" s="161">
        <f t="shared" si="13"/>
        <v>6.1374935710612037</v>
      </c>
      <c r="AI12" s="161">
        <f t="shared" si="14"/>
        <v>5.5499401344075849</v>
      </c>
      <c r="AJ12" s="161">
        <f t="shared" si="15"/>
        <v>6.7827823474213913</v>
      </c>
      <c r="AK12" s="160">
        <f t="shared" si="16"/>
        <v>5</v>
      </c>
    </row>
    <row r="13" spans="1:37" x14ac:dyDescent="0.2">
      <c r="A13" s="62" t="s">
        <v>36</v>
      </c>
      <c r="B13" s="62" t="s">
        <v>61</v>
      </c>
      <c r="C13" s="62" t="s">
        <v>201</v>
      </c>
      <c r="D13" s="62"/>
      <c r="E13" s="62">
        <f t="shared" si="1"/>
        <v>1</v>
      </c>
      <c r="F13" s="128">
        <v>248</v>
      </c>
      <c r="G13" s="129">
        <v>1.3017689360138576</v>
      </c>
      <c r="H13" s="129">
        <v>1.1503462095392902</v>
      </c>
      <c r="I13" s="129">
        <v>1.4728268034763181</v>
      </c>
      <c r="J13" s="129"/>
      <c r="K13" s="129"/>
      <c r="L13" s="129"/>
      <c r="M13" s="60">
        <f t="shared" si="19"/>
        <v>3</v>
      </c>
      <c r="N13" s="61">
        <f t="shared" si="3"/>
        <v>1.3017689360138576</v>
      </c>
      <c r="O13" s="61">
        <f t="shared" si="17"/>
        <v>4.8160629036787421</v>
      </c>
      <c r="P13" s="129">
        <f t="shared" si="4"/>
        <v>5.476312119412877</v>
      </c>
      <c r="Q13" s="129">
        <f t="shared" si="5"/>
        <v>5.3940495013276522</v>
      </c>
      <c r="R13" s="129">
        <f t="shared" si="6"/>
        <v>5.5597555665772767</v>
      </c>
      <c r="S13" s="61">
        <f t="shared" si="7"/>
        <v>6.1674292711219953</v>
      </c>
      <c r="T13" s="61">
        <f t="shared" si="0"/>
        <v>7.8571935552558738</v>
      </c>
      <c r="U13" s="61">
        <f t="shared" si="8"/>
        <v>4.4343247474028749</v>
      </c>
      <c r="V13" s="61"/>
      <c r="Y13" s="159" t="s">
        <v>53</v>
      </c>
      <c r="Z13" s="159" t="s">
        <v>162</v>
      </c>
      <c r="AA13" s="159" t="s">
        <v>163</v>
      </c>
      <c r="AB13" s="159">
        <f>RANK(AH13,$AH$6:$AH$13,1)</f>
        <v>7</v>
      </c>
      <c r="AC13" s="164">
        <f t="shared" si="9"/>
        <v>4.5397710878137927</v>
      </c>
      <c r="AD13" s="164">
        <f t="shared" si="10"/>
        <v>7.8571935552558738</v>
      </c>
      <c r="AE13" s="159"/>
      <c r="AF13" s="159">
        <f t="shared" si="11"/>
        <v>23</v>
      </c>
      <c r="AG13" s="160">
        <f t="shared" si="12"/>
        <v>1894</v>
      </c>
      <c r="AH13" s="161">
        <f t="shared" si="13"/>
        <v>6.7457349431919367</v>
      </c>
      <c r="AI13" s="161">
        <f t="shared" si="14"/>
        <v>6.4582384510282527</v>
      </c>
      <c r="AJ13" s="161">
        <f t="shared" si="15"/>
        <v>7.0450658013790735</v>
      </c>
      <c r="AK13" s="160">
        <f t="shared" si="16"/>
        <v>4</v>
      </c>
    </row>
    <row r="14" spans="1:37" x14ac:dyDescent="0.2">
      <c r="A14" s="62" t="s">
        <v>37</v>
      </c>
      <c r="B14" s="62" t="s">
        <v>157</v>
      </c>
      <c r="C14" s="62" t="s">
        <v>201</v>
      </c>
      <c r="D14" s="62"/>
      <c r="E14" s="62">
        <f t="shared" si="1"/>
        <v>4</v>
      </c>
      <c r="F14" s="128">
        <v>1052</v>
      </c>
      <c r="G14" s="129">
        <v>4.3358199727980873</v>
      </c>
      <c r="H14" s="129">
        <v>4.0867038513972718</v>
      </c>
      <c r="I14" s="129">
        <v>4.5993934406527419</v>
      </c>
      <c r="J14" s="129"/>
      <c r="K14" s="129"/>
      <c r="L14" s="129"/>
      <c r="M14" s="60">
        <f t="shared" si="19"/>
        <v>3</v>
      </c>
      <c r="N14" s="61">
        <f t="shared" si="3"/>
        <v>1.3017689360138576</v>
      </c>
      <c r="O14" s="61">
        <f t="shared" si="17"/>
        <v>4.8160629036787421</v>
      </c>
      <c r="P14" s="129">
        <f t="shared" si="4"/>
        <v>5.476312119412877</v>
      </c>
      <c r="Q14" s="129">
        <f t="shared" si="5"/>
        <v>5.3940495013276522</v>
      </c>
      <c r="R14" s="129">
        <f t="shared" si="6"/>
        <v>5.5597555665772767</v>
      </c>
      <c r="S14" s="61">
        <f t="shared" si="7"/>
        <v>6.1674292711219953</v>
      </c>
      <c r="T14" s="61">
        <f t="shared" si="0"/>
        <v>7.8571935552558738</v>
      </c>
      <c r="U14" s="61">
        <f t="shared" si="8"/>
        <v>4.4343247474028749</v>
      </c>
      <c r="V14" s="61"/>
      <c r="Y14" s="162" t="s">
        <v>29</v>
      </c>
      <c r="Z14" s="162" t="s">
        <v>55</v>
      </c>
      <c r="AA14" s="162" t="s">
        <v>201</v>
      </c>
      <c r="AB14" s="162">
        <f t="shared" ref="AB14:AB22" si="20">RANK(AH14,$AH$14:$AH$22,1)</f>
        <v>8</v>
      </c>
      <c r="AC14" s="165">
        <f>MIN($AH$14:$AH$22)</f>
        <v>1.3017689360138576</v>
      </c>
      <c r="AD14" s="165">
        <f>MAX($AH$14:$AH$22)</f>
        <v>7.4441000664157624</v>
      </c>
      <c r="AE14" s="162"/>
      <c r="AF14" s="162">
        <f t="shared" si="11"/>
        <v>16</v>
      </c>
      <c r="AG14" s="167">
        <f t="shared" si="12"/>
        <v>574</v>
      </c>
      <c r="AH14" s="165">
        <f t="shared" si="13"/>
        <v>6.0440138991260399</v>
      </c>
      <c r="AI14" s="165">
        <f t="shared" si="14"/>
        <v>5.582284426726285</v>
      </c>
      <c r="AJ14" s="165">
        <f t="shared" si="15"/>
        <v>6.5412886674369757</v>
      </c>
      <c r="AK14" s="167">
        <f t="shared" si="16"/>
        <v>4</v>
      </c>
    </row>
    <row r="15" spans="1:37" x14ac:dyDescent="0.2">
      <c r="A15" s="62" t="s">
        <v>38</v>
      </c>
      <c r="B15" s="62" t="s">
        <v>62</v>
      </c>
      <c r="C15" s="62" t="s">
        <v>201</v>
      </c>
      <c r="D15" s="62"/>
      <c r="E15" s="62">
        <f t="shared" si="1"/>
        <v>7</v>
      </c>
      <c r="F15" s="128">
        <v>343</v>
      </c>
      <c r="G15" s="129">
        <v>4.8160629036787421</v>
      </c>
      <c r="H15" s="129">
        <v>4.3427084338282862</v>
      </c>
      <c r="I15" s="129">
        <v>5.3381336506777712</v>
      </c>
      <c r="J15" s="129"/>
      <c r="K15" s="129"/>
      <c r="L15" s="129"/>
      <c r="M15" s="60">
        <f t="shared" si="19"/>
        <v>3</v>
      </c>
      <c r="N15" s="61">
        <f t="shared" si="3"/>
        <v>1.3017689360138576</v>
      </c>
      <c r="O15" s="61">
        <f t="shared" si="17"/>
        <v>4.8160629036787421</v>
      </c>
      <c r="P15" s="129">
        <f t="shared" si="4"/>
        <v>5.476312119412877</v>
      </c>
      <c r="Q15" s="129">
        <f t="shared" si="5"/>
        <v>5.3940495013276522</v>
      </c>
      <c r="R15" s="129">
        <f t="shared" si="6"/>
        <v>5.5597555665772767</v>
      </c>
      <c r="S15" s="61">
        <f t="shared" si="7"/>
        <v>6.1674292711219953</v>
      </c>
      <c r="T15" s="61">
        <f t="shared" ref="T15:T31" si="21">MAX($G$6:$G$31)</f>
        <v>7.8571935552558738</v>
      </c>
      <c r="U15" s="61">
        <f t="shared" si="8"/>
        <v>4.4343247474028749</v>
      </c>
      <c r="V15" s="61"/>
      <c r="Y15" s="162" t="s">
        <v>32</v>
      </c>
      <c r="Z15" s="162" t="s">
        <v>156</v>
      </c>
      <c r="AA15" s="162" t="s">
        <v>201</v>
      </c>
      <c r="AB15" s="162">
        <f t="shared" si="20"/>
        <v>9</v>
      </c>
      <c r="AC15" s="165">
        <f t="shared" ref="AC15:AC22" si="22">MIN($AH$14:$AH$22)</f>
        <v>1.3017689360138576</v>
      </c>
      <c r="AD15" s="165">
        <f t="shared" ref="AD15:AD22" si="23">MAX($AH$14:$AH$22)</f>
        <v>7.4441000664157624</v>
      </c>
      <c r="AE15" s="162"/>
      <c r="AF15" s="162">
        <f t="shared" si="11"/>
        <v>25</v>
      </c>
      <c r="AG15" s="167">
        <f t="shared" si="12"/>
        <v>1345</v>
      </c>
      <c r="AH15" s="165">
        <f t="shared" si="13"/>
        <v>7.4441000664157624</v>
      </c>
      <c r="AI15" s="165">
        <f t="shared" si="14"/>
        <v>7.0703421210060471</v>
      </c>
      <c r="AJ15" s="165">
        <f t="shared" si="15"/>
        <v>7.8359498855888639</v>
      </c>
      <c r="AK15" s="167">
        <f t="shared" si="16"/>
        <v>4</v>
      </c>
    </row>
    <row r="16" spans="1:37" x14ac:dyDescent="0.2">
      <c r="A16" s="62" t="s">
        <v>39</v>
      </c>
      <c r="B16" s="62" t="s">
        <v>158</v>
      </c>
      <c r="C16" s="62" t="s">
        <v>200</v>
      </c>
      <c r="D16" s="62"/>
      <c r="E16" s="62">
        <f t="shared" si="1"/>
        <v>12</v>
      </c>
      <c r="F16" s="128">
        <v>817</v>
      </c>
      <c r="G16" s="129">
        <v>5.6104930641395407</v>
      </c>
      <c r="H16" s="129">
        <v>5.2482997742746145</v>
      </c>
      <c r="I16" s="129">
        <v>5.9961001009475607</v>
      </c>
      <c r="J16" s="129"/>
      <c r="K16" s="129"/>
      <c r="L16" s="129"/>
      <c r="M16" s="60">
        <f t="shared" si="19"/>
        <v>5</v>
      </c>
      <c r="N16" s="61">
        <f t="shared" si="3"/>
        <v>1.3017689360138576</v>
      </c>
      <c r="O16" s="61">
        <f t="shared" si="17"/>
        <v>4.8160629036787421</v>
      </c>
      <c r="P16" s="129">
        <f t="shared" si="4"/>
        <v>5.476312119412877</v>
      </c>
      <c r="Q16" s="129">
        <f t="shared" si="5"/>
        <v>5.3940495013276522</v>
      </c>
      <c r="R16" s="129">
        <f t="shared" si="6"/>
        <v>5.5597555665772767</v>
      </c>
      <c r="S16" s="61">
        <f t="shared" si="7"/>
        <v>6.1674292711219953</v>
      </c>
      <c r="T16" s="61">
        <f t="shared" si="21"/>
        <v>7.8571935552558738</v>
      </c>
      <c r="U16" s="61">
        <f t="shared" si="8"/>
        <v>5.7919649041791734</v>
      </c>
      <c r="V16" s="61"/>
      <c r="Y16" s="162" t="s">
        <v>36</v>
      </c>
      <c r="Z16" s="162" t="s">
        <v>61</v>
      </c>
      <c r="AA16" s="162" t="s">
        <v>201</v>
      </c>
      <c r="AB16" s="162">
        <f t="shared" si="20"/>
        <v>1</v>
      </c>
      <c r="AC16" s="165">
        <f>MIN($AH$14:$AH$22)</f>
        <v>1.3017689360138576</v>
      </c>
      <c r="AD16" s="165">
        <f t="shared" si="23"/>
        <v>7.4441000664157624</v>
      </c>
      <c r="AE16" s="162"/>
      <c r="AF16" s="162">
        <f t="shared" si="11"/>
        <v>1</v>
      </c>
      <c r="AG16" s="167">
        <f t="shared" si="12"/>
        <v>248</v>
      </c>
      <c r="AH16" s="165">
        <f t="shared" si="13"/>
        <v>1.3017689360138576</v>
      </c>
      <c r="AI16" s="165">
        <f t="shared" si="14"/>
        <v>1.1503462095392902</v>
      </c>
      <c r="AJ16" s="165">
        <f t="shared" si="15"/>
        <v>1.4728268034763181</v>
      </c>
      <c r="AK16" s="167">
        <f t="shared" si="16"/>
        <v>3</v>
      </c>
    </row>
    <row r="17" spans="1:37" x14ac:dyDescent="0.2">
      <c r="A17" s="62" t="s">
        <v>40</v>
      </c>
      <c r="B17" s="62" t="s">
        <v>63</v>
      </c>
      <c r="C17" s="62" t="s">
        <v>200</v>
      </c>
      <c r="D17" s="62"/>
      <c r="E17" s="62">
        <f t="shared" si="1"/>
        <v>19</v>
      </c>
      <c r="F17" s="128">
        <v>503</v>
      </c>
      <c r="G17" s="129">
        <v>6.14989607531483</v>
      </c>
      <c r="H17" s="129">
        <v>5.649542915068646</v>
      </c>
      <c r="I17" s="129">
        <v>6.6914203542628838</v>
      </c>
      <c r="J17" s="129"/>
      <c r="K17" s="129"/>
      <c r="L17" s="129"/>
      <c r="M17" s="60">
        <f t="shared" si="19"/>
        <v>4</v>
      </c>
      <c r="N17" s="61">
        <f t="shared" si="3"/>
        <v>1.3017689360138576</v>
      </c>
      <c r="O17" s="61">
        <f t="shared" si="17"/>
        <v>4.8160629036787421</v>
      </c>
      <c r="P17" s="129">
        <f t="shared" si="4"/>
        <v>5.476312119412877</v>
      </c>
      <c r="Q17" s="129">
        <f t="shared" si="5"/>
        <v>5.3940495013276522</v>
      </c>
      <c r="R17" s="129">
        <f t="shared" si="6"/>
        <v>5.5597555665772767</v>
      </c>
      <c r="S17" s="61">
        <f t="shared" si="7"/>
        <v>6.1674292711219953</v>
      </c>
      <c r="T17" s="61">
        <f t="shared" si="21"/>
        <v>7.8571935552558738</v>
      </c>
      <c r="U17" s="61">
        <f t="shared" si="8"/>
        <v>5.7919649041791734</v>
      </c>
      <c r="V17" s="61"/>
      <c r="Y17" s="162" t="s">
        <v>37</v>
      </c>
      <c r="Z17" s="162" t="s">
        <v>157</v>
      </c>
      <c r="AA17" s="162" t="s">
        <v>201</v>
      </c>
      <c r="AB17" s="162">
        <f t="shared" si="20"/>
        <v>4</v>
      </c>
      <c r="AC17" s="165">
        <f t="shared" si="22"/>
        <v>1.3017689360138576</v>
      </c>
      <c r="AD17" s="165">
        <f>MAX($AH$14:$AH$22)</f>
        <v>7.4441000664157624</v>
      </c>
      <c r="AE17" s="162"/>
      <c r="AF17" s="162">
        <f t="shared" si="11"/>
        <v>4</v>
      </c>
      <c r="AG17" s="167">
        <f t="shared" si="12"/>
        <v>1052</v>
      </c>
      <c r="AH17" s="165">
        <f t="shared" si="13"/>
        <v>4.3358199727980873</v>
      </c>
      <c r="AI17" s="165">
        <f t="shared" si="14"/>
        <v>4.0867038513972718</v>
      </c>
      <c r="AJ17" s="165">
        <f t="shared" si="15"/>
        <v>4.5993934406527419</v>
      </c>
      <c r="AK17" s="167">
        <f t="shared" si="16"/>
        <v>3</v>
      </c>
    </row>
    <row r="18" spans="1:37" x14ac:dyDescent="0.2">
      <c r="A18" s="62" t="s">
        <v>41</v>
      </c>
      <c r="B18" s="62" t="s">
        <v>64</v>
      </c>
      <c r="C18" s="62" t="s">
        <v>163</v>
      </c>
      <c r="D18" s="62"/>
      <c r="E18" s="62">
        <f t="shared" si="1"/>
        <v>11</v>
      </c>
      <c r="F18" s="128">
        <v>557</v>
      </c>
      <c r="G18" s="129">
        <v>5.2826251896813359</v>
      </c>
      <c r="H18" s="129">
        <v>4.8717202293067032</v>
      </c>
      <c r="I18" s="129">
        <v>5.7261017344078962</v>
      </c>
      <c r="J18" s="129"/>
      <c r="K18" s="129"/>
      <c r="L18" s="129"/>
      <c r="M18" s="60">
        <f t="shared" si="19"/>
        <v>5</v>
      </c>
      <c r="N18" s="61">
        <f t="shared" si="3"/>
        <v>1.3017689360138576</v>
      </c>
      <c r="O18" s="61">
        <f t="shared" si="17"/>
        <v>4.8160629036787421</v>
      </c>
      <c r="P18" s="129">
        <f t="shared" si="4"/>
        <v>5.476312119412877</v>
      </c>
      <c r="Q18" s="129">
        <f t="shared" si="5"/>
        <v>5.3940495013276522</v>
      </c>
      <c r="R18" s="129">
        <f t="shared" si="6"/>
        <v>5.5597555665772767</v>
      </c>
      <c r="S18" s="61">
        <f t="shared" si="7"/>
        <v>6.1674292711219953</v>
      </c>
      <c r="T18" s="61">
        <f t="shared" si="21"/>
        <v>7.8571935552558738</v>
      </c>
      <c r="U18" s="61">
        <f t="shared" si="8"/>
        <v>6.3209740013721207</v>
      </c>
      <c r="V18" s="61"/>
      <c r="Y18" s="162" t="s">
        <v>38</v>
      </c>
      <c r="Z18" s="162" t="s">
        <v>62</v>
      </c>
      <c r="AA18" s="162" t="s">
        <v>201</v>
      </c>
      <c r="AB18" s="162">
        <f t="shared" si="20"/>
        <v>6</v>
      </c>
      <c r="AC18" s="165">
        <f t="shared" si="22"/>
        <v>1.3017689360138576</v>
      </c>
      <c r="AD18" s="165">
        <f t="shared" si="23"/>
        <v>7.4441000664157624</v>
      </c>
      <c r="AE18" s="162"/>
      <c r="AF18" s="162">
        <f t="shared" si="11"/>
        <v>7</v>
      </c>
      <c r="AG18" s="167">
        <f t="shared" si="12"/>
        <v>343</v>
      </c>
      <c r="AH18" s="165">
        <f t="shared" si="13"/>
        <v>4.8160629036787421</v>
      </c>
      <c r="AI18" s="165">
        <f t="shared" si="14"/>
        <v>4.3427084338282862</v>
      </c>
      <c r="AJ18" s="165">
        <f t="shared" si="15"/>
        <v>5.3381336506777712</v>
      </c>
      <c r="AK18" s="167">
        <f t="shared" si="16"/>
        <v>3</v>
      </c>
    </row>
    <row r="19" spans="1:37" x14ac:dyDescent="0.2">
      <c r="A19" s="62" t="s">
        <v>42</v>
      </c>
      <c r="B19" s="62" t="s">
        <v>65</v>
      </c>
      <c r="C19" s="62" t="s">
        <v>200</v>
      </c>
      <c r="D19" s="62"/>
      <c r="E19" s="62">
        <f t="shared" si="1"/>
        <v>22</v>
      </c>
      <c r="F19" s="128">
        <v>332</v>
      </c>
      <c r="G19" s="129">
        <v>6.383387810036532</v>
      </c>
      <c r="H19" s="129">
        <v>5.7506797473484728</v>
      </c>
      <c r="I19" s="129">
        <v>7.0804787827331088</v>
      </c>
      <c r="J19" s="129"/>
      <c r="K19" s="129"/>
      <c r="L19" s="129"/>
      <c r="M19" s="60">
        <f t="shared" si="19"/>
        <v>4</v>
      </c>
      <c r="N19" s="61">
        <f t="shared" si="3"/>
        <v>1.3017689360138576</v>
      </c>
      <c r="O19" s="61">
        <f t="shared" si="17"/>
        <v>4.8160629036787421</v>
      </c>
      <c r="P19" s="129">
        <f t="shared" si="4"/>
        <v>5.476312119412877</v>
      </c>
      <c r="Q19" s="129">
        <f t="shared" si="5"/>
        <v>5.3940495013276522</v>
      </c>
      <c r="R19" s="129">
        <f t="shared" si="6"/>
        <v>5.5597555665772767</v>
      </c>
      <c r="S19" s="61">
        <f t="shared" si="7"/>
        <v>6.1674292711219953</v>
      </c>
      <c r="T19" s="61">
        <f t="shared" si="21"/>
        <v>7.8571935552558738</v>
      </c>
      <c r="U19" s="61">
        <f t="shared" si="8"/>
        <v>5.7919649041791734</v>
      </c>
      <c r="V19" s="61"/>
      <c r="Y19" s="162" t="s">
        <v>43</v>
      </c>
      <c r="Z19" s="162" t="s">
        <v>159</v>
      </c>
      <c r="AA19" s="162" t="s">
        <v>201</v>
      </c>
      <c r="AB19" s="162">
        <f t="shared" si="20"/>
        <v>7</v>
      </c>
      <c r="AC19" s="165">
        <f t="shared" si="22"/>
        <v>1.3017689360138576</v>
      </c>
      <c r="AD19" s="165">
        <f t="shared" si="23"/>
        <v>7.4441000664157624</v>
      </c>
      <c r="AE19" s="162"/>
      <c r="AF19" s="162">
        <f t="shared" si="11"/>
        <v>10</v>
      </c>
      <c r="AG19" s="167">
        <f t="shared" si="12"/>
        <v>492</v>
      </c>
      <c r="AH19" s="165">
        <f t="shared" si="13"/>
        <v>5.0477069867651583</v>
      </c>
      <c r="AI19" s="165">
        <f t="shared" si="14"/>
        <v>4.6305186695342417</v>
      </c>
      <c r="AJ19" s="165">
        <f t="shared" si="15"/>
        <v>5.5003142743968105</v>
      </c>
      <c r="AK19" s="167">
        <f t="shared" si="16"/>
        <v>5</v>
      </c>
    </row>
    <row r="20" spans="1:37" x14ac:dyDescent="0.2">
      <c r="A20" s="62" t="s">
        <v>43</v>
      </c>
      <c r="B20" s="62" t="s">
        <v>159</v>
      </c>
      <c r="C20" s="62" t="s">
        <v>201</v>
      </c>
      <c r="D20" s="62"/>
      <c r="E20" s="62">
        <f t="shared" si="1"/>
        <v>10</v>
      </c>
      <c r="F20" s="128">
        <v>492</v>
      </c>
      <c r="G20" s="129">
        <v>5.0477069867651583</v>
      </c>
      <c r="H20" s="129">
        <v>4.6305186695342417</v>
      </c>
      <c r="I20" s="129">
        <v>5.5003142743968105</v>
      </c>
      <c r="J20" s="129"/>
      <c r="K20" s="129"/>
      <c r="L20" s="129"/>
      <c r="M20" s="60">
        <f t="shared" ref="M20:M31" si="24">IF($C$2="Significance not measured",6,IF(AND($C$2="Better / Worse",$K$2="Low = Worst",I20&lt;Q20),1,IF(AND($C$2="Better / Worse",$K$2="Low = Worst",H20&gt;R20),2,IF(AND($C$2="Better / Worse",$K$2="High = Worst",I20&lt;Q20),2,IF(AND($C$2="Better / Worse",$K$2="High = Worst",H20&gt;R20),1,IF(AND($C$2="Higher / Lower",I20&lt;Q20),3,IF(AND($C$2="Higher / Lower",H20&gt;R20),4,5)))))))</f>
        <v>5</v>
      </c>
      <c r="N20" s="61">
        <f t="shared" si="3"/>
        <v>1.3017689360138576</v>
      </c>
      <c r="O20" s="61">
        <f t="shared" si="17"/>
        <v>4.8160629036787421</v>
      </c>
      <c r="P20" s="129">
        <f t="shared" si="4"/>
        <v>5.476312119412877</v>
      </c>
      <c r="Q20" s="129">
        <f t="shared" si="5"/>
        <v>5.3940495013276522</v>
      </c>
      <c r="R20" s="129">
        <f t="shared" si="6"/>
        <v>5.5597555665772767</v>
      </c>
      <c r="S20" s="61">
        <f t="shared" si="7"/>
        <v>6.1674292711219953</v>
      </c>
      <c r="T20" s="61">
        <f t="shared" si="21"/>
        <v>7.8571935552558738</v>
      </c>
      <c r="U20" s="61">
        <f t="shared" si="8"/>
        <v>4.4343247474028749</v>
      </c>
      <c r="V20" s="61"/>
      <c r="Y20" s="162" t="s">
        <v>48</v>
      </c>
      <c r="Z20" s="162" t="s">
        <v>160</v>
      </c>
      <c r="AA20" s="162" t="s">
        <v>201</v>
      </c>
      <c r="AB20" s="162">
        <f t="shared" si="20"/>
        <v>5</v>
      </c>
      <c r="AC20" s="165">
        <f t="shared" si="22"/>
        <v>1.3017689360138576</v>
      </c>
      <c r="AD20" s="165">
        <f t="shared" si="23"/>
        <v>7.4441000664157624</v>
      </c>
      <c r="AE20" s="162"/>
      <c r="AF20" s="162">
        <f t="shared" si="11"/>
        <v>6</v>
      </c>
      <c r="AG20" s="167">
        <f t="shared" si="12"/>
        <v>288</v>
      </c>
      <c r="AH20" s="165">
        <f t="shared" si="13"/>
        <v>4.663967611336032</v>
      </c>
      <c r="AI20" s="165">
        <f t="shared" si="14"/>
        <v>4.1656224716675521</v>
      </c>
      <c r="AJ20" s="165">
        <f t="shared" si="15"/>
        <v>5.2186846461811038</v>
      </c>
      <c r="AK20" s="167">
        <f t="shared" si="16"/>
        <v>3</v>
      </c>
    </row>
    <row r="21" spans="1:37" x14ac:dyDescent="0.2">
      <c r="A21" s="62" t="s">
        <v>44</v>
      </c>
      <c r="B21" s="62" t="s">
        <v>66</v>
      </c>
      <c r="C21" s="62" t="s">
        <v>200</v>
      </c>
      <c r="D21" s="62"/>
      <c r="E21" s="62">
        <f t="shared" si="1"/>
        <v>13</v>
      </c>
      <c r="F21" s="128">
        <v>263</v>
      </c>
      <c r="G21" s="129">
        <v>5.940817709509826</v>
      </c>
      <c r="H21" s="129">
        <v>5.2819376448747244</v>
      </c>
      <c r="I21" s="129">
        <v>6.6760947908359389</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5</v>
      </c>
      <c r="N21" s="61">
        <f t="shared" si="3"/>
        <v>1.3017689360138576</v>
      </c>
      <c r="O21" s="61">
        <f t="shared" si="17"/>
        <v>4.8160629036787421</v>
      </c>
      <c r="P21" s="129">
        <f t="shared" si="4"/>
        <v>5.476312119412877</v>
      </c>
      <c r="Q21" s="129">
        <f t="shared" si="5"/>
        <v>5.3940495013276522</v>
      </c>
      <c r="R21" s="129">
        <f t="shared" si="6"/>
        <v>5.5597555665772767</v>
      </c>
      <c r="S21" s="61">
        <f t="shared" si="7"/>
        <v>6.1674292711219953</v>
      </c>
      <c r="T21" s="61">
        <f t="shared" si="21"/>
        <v>7.8571935552558738</v>
      </c>
      <c r="U21" s="61">
        <f t="shared" si="8"/>
        <v>5.7919649041791734</v>
      </c>
      <c r="V21" s="61"/>
      <c r="Y21" s="162" t="s">
        <v>52</v>
      </c>
      <c r="Z21" s="162" t="s">
        <v>72</v>
      </c>
      <c r="AA21" s="162" t="s">
        <v>201</v>
      </c>
      <c r="AB21" s="162">
        <f t="shared" si="20"/>
        <v>3</v>
      </c>
      <c r="AC21" s="165">
        <f t="shared" si="22"/>
        <v>1.3017689360138576</v>
      </c>
      <c r="AD21" s="165">
        <f t="shared" si="23"/>
        <v>7.4441000664157624</v>
      </c>
      <c r="AE21" s="162"/>
      <c r="AF21" s="162">
        <f t="shared" si="11"/>
        <v>3</v>
      </c>
      <c r="AG21" s="167">
        <f t="shared" si="12"/>
        <v>179</v>
      </c>
      <c r="AH21" s="165">
        <f t="shared" si="13"/>
        <v>4.1215749481924933</v>
      </c>
      <c r="AI21" s="165">
        <f t="shared" si="14"/>
        <v>3.5697767349269673</v>
      </c>
      <c r="AJ21" s="165">
        <f t="shared" si="15"/>
        <v>4.7544619622640356</v>
      </c>
      <c r="AK21" s="167">
        <f t="shared" si="16"/>
        <v>3</v>
      </c>
    </row>
    <row r="22" spans="1:37" x14ac:dyDescent="0.2">
      <c r="A22" s="62" t="s">
        <v>45</v>
      </c>
      <c r="B22" s="62" t="s">
        <v>67</v>
      </c>
      <c r="C22" s="62" t="s">
        <v>163</v>
      </c>
      <c r="D22" s="62"/>
      <c r="E22" s="62">
        <f t="shared" si="1"/>
        <v>17</v>
      </c>
      <c r="F22" s="128">
        <v>537</v>
      </c>
      <c r="G22" s="129">
        <v>6.1294372788494469</v>
      </c>
      <c r="H22" s="129">
        <v>5.646126565292815</v>
      </c>
      <c r="I22" s="129">
        <v>6.651203213969584</v>
      </c>
      <c r="J22" s="129"/>
      <c r="K22" s="129"/>
      <c r="L22" s="129"/>
      <c r="M22" s="60">
        <f t="shared" si="24"/>
        <v>4</v>
      </c>
      <c r="N22" s="61">
        <f t="shared" si="3"/>
        <v>1.3017689360138576</v>
      </c>
      <c r="O22" s="61">
        <f t="shared" si="17"/>
        <v>4.8160629036787421</v>
      </c>
      <c r="P22" s="129">
        <f t="shared" si="4"/>
        <v>5.476312119412877</v>
      </c>
      <c r="Q22" s="129">
        <f t="shared" si="5"/>
        <v>5.3940495013276522</v>
      </c>
      <c r="R22" s="129">
        <f t="shared" si="6"/>
        <v>5.5597555665772767</v>
      </c>
      <c r="S22" s="61">
        <f t="shared" si="7"/>
        <v>6.1674292711219953</v>
      </c>
      <c r="T22" s="61">
        <f t="shared" si="21"/>
        <v>7.8571935552558738</v>
      </c>
      <c r="U22" s="61">
        <f>VLOOKUP(C22,$C$43:$I$46,5,FALSE)</f>
        <v>6.3209740013721207</v>
      </c>
      <c r="V22" s="61"/>
      <c r="Y22" s="162" t="s">
        <v>54</v>
      </c>
      <c r="Z22" s="162" t="s">
        <v>73</v>
      </c>
      <c r="AA22" s="162" t="s">
        <v>201</v>
      </c>
      <c r="AB22" s="162">
        <f t="shared" si="20"/>
        <v>2</v>
      </c>
      <c r="AC22" s="165">
        <f t="shared" si="22"/>
        <v>1.3017689360138576</v>
      </c>
      <c r="AD22" s="165">
        <f t="shared" si="23"/>
        <v>7.4441000664157624</v>
      </c>
      <c r="AE22" s="162"/>
      <c r="AF22" s="162">
        <f t="shared" si="11"/>
        <v>2</v>
      </c>
      <c r="AG22" s="167">
        <f t="shared" si="12"/>
        <v>153</v>
      </c>
      <c r="AH22" s="165">
        <f t="shared" si="13"/>
        <v>2.2924782738987117</v>
      </c>
      <c r="AI22" s="165">
        <f t="shared" si="14"/>
        <v>1.9599141792834123</v>
      </c>
      <c r="AJ22" s="165">
        <f t="shared" si="15"/>
        <v>2.679930308360535</v>
      </c>
      <c r="AK22" s="167">
        <f t="shared" si="16"/>
        <v>3</v>
      </c>
    </row>
    <row r="23" spans="1:37" x14ac:dyDescent="0.2">
      <c r="A23" s="62" t="s">
        <v>46</v>
      </c>
      <c r="B23" s="62" t="s">
        <v>68</v>
      </c>
      <c r="C23" s="62" t="s">
        <v>163</v>
      </c>
      <c r="D23" s="62"/>
      <c r="E23" s="62">
        <f t="shared" si="1"/>
        <v>5</v>
      </c>
      <c r="F23" s="128">
        <v>472</v>
      </c>
      <c r="G23" s="129">
        <v>4.5397710878137927</v>
      </c>
      <c r="H23" s="129">
        <v>4.1561336482464117</v>
      </c>
      <c r="I23" s="129">
        <v>4.9569891944910234</v>
      </c>
      <c r="J23" s="129"/>
      <c r="K23" s="129"/>
      <c r="L23" s="129"/>
      <c r="M23" s="60">
        <f t="shared" si="24"/>
        <v>3</v>
      </c>
      <c r="N23" s="61">
        <f t="shared" si="3"/>
        <v>1.3017689360138576</v>
      </c>
      <c r="O23" s="61">
        <f t="shared" si="17"/>
        <v>4.8160629036787421</v>
      </c>
      <c r="P23" s="129">
        <f t="shared" si="4"/>
        <v>5.476312119412877</v>
      </c>
      <c r="Q23" s="129">
        <f t="shared" si="5"/>
        <v>5.3940495013276522</v>
      </c>
      <c r="R23" s="129">
        <f t="shared" si="6"/>
        <v>5.5597555665772767</v>
      </c>
      <c r="S23" s="61">
        <f t="shared" si="7"/>
        <v>6.1674292711219953</v>
      </c>
      <c r="T23" s="61">
        <f t="shared" si="21"/>
        <v>7.8571935552558738</v>
      </c>
      <c r="U23" s="61">
        <f t="shared" si="8"/>
        <v>6.3209740013721207</v>
      </c>
      <c r="V23" s="61"/>
      <c r="Y23" s="163" t="s">
        <v>30</v>
      </c>
      <c r="Z23" s="163" t="s">
        <v>56</v>
      </c>
      <c r="AA23" s="163" t="s">
        <v>200</v>
      </c>
      <c r="AB23" s="163">
        <f>RANK(AH23,$AH$23:$AH$31,1)</f>
        <v>5</v>
      </c>
      <c r="AC23" s="166">
        <f>MIN($AH$23:$AH$31)</f>
        <v>4.9041653281935966</v>
      </c>
      <c r="AD23" s="166">
        <f>MAX($AH$23:$AH$31)</f>
        <v>6.9842988630211158</v>
      </c>
      <c r="AE23" s="163"/>
      <c r="AF23" s="163">
        <f t="shared" si="11"/>
        <v>14</v>
      </c>
      <c r="AG23" s="168">
        <f t="shared" si="12"/>
        <v>689</v>
      </c>
      <c r="AH23" s="166">
        <f t="shared" si="13"/>
        <v>5.9674346093885333</v>
      </c>
      <c r="AI23" s="166">
        <f t="shared" si="14"/>
        <v>5.5498223449035864</v>
      </c>
      <c r="AJ23" s="166">
        <f t="shared" si="15"/>
        <v>6.4143371957052775</v>
      </c>
      <c r="AK23" s="168">
        <f t="shared" si="16"/>
        <v>5</v>
      </c>
    </row>
    <row r="24" spans="1:37" x14ac:dyDescent="0.2">
      <c r="A24" s="62" t="s">
        <v>47</v>
      </c>
      <c r="B24" s="62" t="s">
        <v>69</v>
      </c>
      <c r="C24" s="62" t="s">
        <v>163</v>
      </c>
      <c r="D24" s="62"/>
      <c r="E24" s="62">
        <f t="shared" si="1"/>
        <v>15</v>
      </c>
      <c r="F24" s="128">
        <v>324</v>
      </c>
      <c r="G24" s="129">
        <v>6</v>
      </c>
      <c r="H24" s="129">
        <v>5.397313098368488</v>
      </c>
      <c r="I24" s="129">
        <v>6.6652439508708614</v>
      </c>
      <c r="J24" s="129"/>
      <c r="K24" s="129"/>
      <c r="L24" s="129"/>
      <c r="M24" s="60">
        <f t="shared" si="24"/>
        <v>5</v>
      </c>
      <c r="N24" s="61">
        <f t="shared" si="3"/>
        <v>1.3017689360138576</v>
      </c>
      <c r="O24" s="61">
        <f t="shared" si="17"/>
        <v>4.8160629036787421</v>
      </c>
      <c r="P24" s="129">
        <f t="shared" si="4"/>
        <v>5.476312119412877</v>
      </c>
      <c r="Q24" s="129">
        <f t="shared" si="5"/>
        <v>5.3940495013276522</v>
      </c>
      <c r="R24" s="129">
        <f t="shared" si="6"/>
        <v>5.5597555665772767</v>
      </c>
      <c r="S24" s="61">
        <f t="shared" si="7"/>
        <v>6.1674292711219953</v>
      </c>
      <c r="T24" s="61">
        <f t="shared" si="21"/>
        <v>7.8571935552558738</v>
      </c>
      <c r="U24" s="61">
        <f t="shared" si="8"/>
        <v>6.3209740013721207</v>
      </c>
      <c r="V24" s="61"/>
      <c r="Y24" s="163" t="s">
        <v>31</v>
      </c>
      <c r="Z24" s="163" t="s">
        <v>57</v>
      </c>
      <c r="AA24" s="163" t="s">
        <v>200</v>
      </c>
      <c r="AB24" s="163">
        <f t="shared" ref="AB24:AB31" si="25">RANK(AH24,$AH$23:$AH$31,1)</f>
        <v>2</v>
      </c>
      <c r="AC24" s="166">
        <f t="shared" ref="AC24:AC31" si="26">MIN($AH$23:$AH$31)</f>
        <v>4.9041653281935966</v>
      </c>
      <c r="AD24" s="166">
        <f t="shared" ref="AD24:AD31" si="27">MAX($AH$23:$AH$31)</f>
        <v>6.9842988630211158</v>
      </c>
      <c r="AE24" s="163"/>
      <c r="AF24" s="163">
        <f t="shared" si="11"/>
        <v>9</v>
      </c>
      <c r="AG24" s="168">
        <f t="shared" si="12"/>
        <v>611</v>
      </c>
      <c r="AH24" s="166">
        <f t="shared" si="13"/>
        <v>4.964250893727657</v>
      </c>
      <c r="AI24" s="166">
        <f t="shared" si="14"/>
        <v>4.5943762055957302</v>
      </c>
      <c r="AJ24" s="166">
        <f t="shared" si="15"/>
        <v>5.3622290911891168</v>
      </c>
      <c r="AK24" s="168">
        <f t="shared" si="16"/>
        <v>3</v>
      </c>
    </row>
    <row r="25" spans="1:37" x14ac:dyDescent="0.2">
      <c r="A25" s="62" t="s">
        <v>48</v>
      </c>
      <c r="B25" s="62" t="s">
        <v>160</v>
      </c>
      <c r="C25" s="62" t="s">
        <v>201</v>
      </c>
      <c r="D25" s="62"/>
      <c r="E25" s="62">
        <f t="shared" si="1"/>
        <v>6</v>
      </c>
      <c r="F25" s="128">
        <v>288</v>
      </c>
      <c r="G25" s="129">
        <v>4.663967611336032</v>
      </c>
      <c r="H25" s="129">
        <v>4.1656224716675521</v>
      </c>
      <c r="I25" s="129">
        <v>5.2186846461811038</v>
      </c>
      <c r="J25" s="129"/>
      <c r="K25" s="129"/>
      <c r="L25" s="129"/>
      <c r="M25" s="60">
        <f t="shared" si="24"/>
        <v>3</v>
      </c>
      <c r="N25" s="61">
        <f t="shared" si="3"/>
        <v>1.3017689360138576</v>
      </c>
      <c r="O25" s="61">
        <f t="shared" si="17"/>
        <v>4.8160629036787421</v>
      </c>
      <c r="P25" s="129">
        <f t="shared" si="4"/>
        <v>5.476312119412877</v>
      </c>
      <c r="Q25" s="129">
        <f t="shared" si="5"/>
        <v>5.3940495013276522</v>
      </c>
      <c r="R25" s="129">
        <f t="shared" si="6"/>
        <v>5.5597555665772767</v>
      </c>
      <c r="S25" s="61">
        <f t="shared" si="7"/>
        <v>6.1674292711219953</v>
      </c>
      <c r="T25" s="61">
        <f t="shared" si="21"/>
        <v>7.8571935552558738</v>
      </c>
      <c r="U25" s="61">
        <f t="shared" si="8"/>
        <v>4.4343247474028749</v>
      </c>
      <c r="V25" s="61"/>
      <c r="Y25" s="163" t="s">
        <v>34</v>
      </c>
      <c r="Z25" s="163" t="s">
        <v>59</v>
      </c>
      <c r="AA25" s="163" t="s">
        <v>200</v>
      </c>
      <c r="AB25" s="163">
        <f t="shared" si="25"/>
        <v>7</v>
      </c>
      <c r="AC25" s="166">
        <f t="shared" si="26"/>
        <v>4.9041653281935966</v>
      </c>
      <c r="AD25" s="166">
        <f t="shared" si="27"/>
        <v>6.9842988630211158</v>
      </c>
      <c r="AE25" s="163"/>
      <c r="AF25" s="163">
        <f t="shared" si="11"/>
        <v>20</v>
      </c>
      <c r="AG25" s="168">
        <f t="shared" si="12"/>
        <v>957</v>
      </c>
      <c r="AH25" s="166">
        <f t="shared" si="13"/>
        <v>6.1674292711219953</v>
      </c>
      <c r="AI25" s="166">
        <f t="shared" si="14"/>
        <v>5.7996630639435285</v>
      </c>
      <c r="AJ25" s="166">
        <f t="shared" si="15"/>
        <v>6.5568928863832507</v>
      </c>
      <c r="AK25" s="168">
        <f t="shared" si="16"/>
        <v>4</v>
      </c>
    </row>
    <row r="26" spans="1:37" x14ac:dyDescent="0.2">
      <c r="A26" s="62" t="s">
        <v>49</v>
      </c>
      <c r="B26" s="62" t="s">
        <v>70</v>
      </c>
      <c r="C26" s="62" t="s">
        <v>200</v>
      </c>
      <c r="D26" s="62"/>
      <c r="E26" s="62">
        <f t="shared" si="1"/>
        <v>8</v>
      </c>
      <c r="F26" s="128">
        <v>458</v>
      </c>
      <c r="G26" s="129">
        <v>4.9041653281935966</v>
      </c>
      <c r="H26" s="129">
        <v>4.4844178893359041</v>
      </c>
      <c r="I26" s="129">
        <v>5.360996515638937</v>
      </c>
      <c r="J26" s="129"/>
      <c r="K26" s="129"/>
      <c r="L26" s="129"/>
      <c r="M26" s="60">
        <f t="shared" si="24"/>
        <v>3</v>
      </c>
      <c r="N26" s="61">
        <f t="shared" si="3"/>
        <v>1.3017689360138576</v>
      </c>
      <c r="O26" s="61">
        <f t="shared" si="17"/>
        <v>4.8160629036787421</v>
      </c>
      <c r="P26" s="129">
        <f t="shared" si="4"/>
        <v>5.476312119412877</v>
      </c>
      <c r="Q26" s="129">
        <f t="shared" si="5"/>
        <v>5.3940495013276522</v>
      </c>
      <c r="R26" s="129">
        <f t="shared" si="6"/>
        <v>5.5597555665772767</v>
      </c>
      <c r="S26" s="61">
        <f t="shared" si="7"/>
        <v>6.1674292711219953</v>
      </c>
      <c r="T26" s="61">
        <f t="shared" si="21"/>
        <v>7.8571935552558738</v>
      </c>
      <c r="U26" s="61">
        <f t="shared" si="8"/>
        <v>5.7919649041791734</v>
      </c>
      <c r="V26" s="61"/>
      <c r="Y26" s="163" t="s">
        <v>39</v>
      </c>
      <c r="Z26" s="163" t="s">
        <v>158</v>
      </c>
      <c r="AA26" s="163" t="s">
        <v>200</v>
      </c>
      <c r="AB26" s="163">
        <f t="shared" si="25"/>
        <v>3</v>
      </c>
      <c r="AC26" s="166">
        <f t="shared" si="26"/>
        <v>4.9041653281935966</v>
      </c>
      <c r="AD26" s="166">
        <f t="shared" si="27"/>
        <v>6.9842988630211158</v>
      </c>
      <c r="AE26" s="163"/>
      <c r="AF26" s="163">
        <f t="shared" si="11"/>
        <v>12</v>
      </c>
      <c r="AG26" s="168">
        <f t="shared" si="12"/>
        <v>817</v>
      </c>
      <c r="AH26" s="166">
        <f t="shared" si="13"/>
        <v>5.6104930641395407</v>
      </c>
      <c r="AI26" s="166">
        <f t="shared" si="14"/>
        <v>5.2482997742746145</v>
      </c>
      <c r="AJ26" s="166">
        <f t="shared" si="15"/>
        <v>5.9961001009475607</v>
      </c>
      <c r="AK26" s="168">
        <f t="shared" si="16"/>
        <v>5</v>
      </c>
    </row>
    <row r="27" spans="1:37" x14ac:dyDescent="0.2">
      <c r="A27" s="62" t="s">
        <v>50</v>
      </c>
      <c r="B27" s="62" t="s">
        <v>161</v>
      </c>
      <c r="C27" s="62" t="s">
        <v>163</v>
      </c>
      <c r="D27" s="62"/>
      <c r="E27" s="62">
        <f t="shared" si="1"/>
        <v>18</v>
      </c>
      <c r="F27" s="128">
        <v>358</v>
      </c>
      <c r="G27" s="129">
        <v>6.1374935710612037</v>
      </c>
      <c r="H27" s="129">
        <v>5.5499401344075849</v>
      </c>
      <c r="I27" s="129">
        <v>6.7827823474213913</v>
      </c>
      <c r="J27" s="129"/>
      <c r="K27" s="129"/>
      <c r="L27" s="129"/>
      <c r="M27" s="60">
        <f t="shared" si="24"/>
        <v>5</v>
      </c>
      <c r="N27" s="61">
        <f t="shared" si="3"/>
        <v>1.3017689360138576</v>
      </c>
      <c r="O27" s="61">
        <f t="shared" si="17"/>
        <v>4.8160629036787421</v>
      </c>
      <c r="P27" s="129">
        <f t="shared" si="4"/>
        <v>5.476312119412877</v>
      </c>
      <c r="Q27" s="129">
        <f t="shared" si="5"/>
        <v>5.3940495013276522</v>
      </c>
      <c r="R27" s="129">
        <f t="shared" si="6"/>
        <v>5.5597555665772767</v>
      </c>
      <c r="S27" s="61">
        <f t="shared" si="7"/>
        <v>6.1674292711219953</v>
      </c>
      <c r="T27" s="61">
        <f t="shared" si="21"/>
        <v>7.8571935552558738</v>
      </c>
      <c r="U27" s="61">
        <f t="shared" si="8"/>
        <v>6.3209740013721207</v>
      </c>
      <c r="V27" s="61"/>
      <c r="Y27" s="163" t="s">
        <v>40</v>
      </c>
      <c r="Z27" s="163" t="s">
        <v>63</v>
      </c>
      <c r="AA27" s="163" t="s">
        <v>200</v>
      </c>
      <c r="AB27" s="163">
        <f t="shared" si="25"/>
        <v>6</v>
      </c>
      <c r="AC27" s="166">
        <f t="shared" si="26"/>
        <v>4.9041653281935966</v>
      </c>
      <c r="AD27" s="166">
        <f t="shared" si="27"/>
        <v>6.9842988630211158</v>
      </c>
      <c r="AE27" s="163"/>
      <c r="AF27" s="163">
        <f t="shared" si="11"/>
        <v>19</v>
      </c>
      <c r="AG27" s="168">
        <f t="shared" si="12"/>
        <v>503</v>
      </c>
      <c r="AH27" s="166">
        <f t="shared" si="13"/>
        <v>6.14989607531483</v>
      </c>
      <c r="AI27" s="166">
        <f t="shared" si="14"/>
        <v>5.649542915068646</v>
      </c>
      <c r="AJ27" s="166">
        <f t="shared" si="15"/>
        <v>6.6914203542628838</v>
      </c>
      <c r="AK27" s="168">
        <f t="shared" si="16"/>
        <v>4</v>
      </c>
    </row>
    <row r="28" spans="1:37" x14ac:dyDescent="0.2">
      <c r="A28" s="62" t="s">
        <v>51</v>
      </c>
      <c r="B28" s="62" t="s">
        <v>71</v>
      </c>
      <c r="C28" s="62" t="s">
        <v>200</v>
      </c>
      <c r="D28" s="62"/>
      <c r="E28" s="62">
        <f t="shared" si="1"/>
        <v>24</v>
      </c>
      <c r="F28" s="128">
        <v>387</v>
      </c>
      <c r="G28" s="129">
        <v>6.9842988630211158</v>
      </c>
      <c r="H28" s="129">
        <v>6.342561257339983</v>
      </c>
      <c r="I28" s="129">
        <v>7.6856389102826554</v>
      </c>
      <c r="J28" s="129"/>
      <c r="K28" s="129"/>
      <c r="L28" s="129"/>
      <c r="M28" s="60">
        <f t="shared" si="24"/>
        <v>4</v>
      </c>
      <c r="N28" s="61">
        <f t="shared" si="3"/>
        <v>1.3017689360138576</v>
      </c>
      <c r="O28" s="61">
        <f t="shared" si="17"/>
        <v>4.8160629036787421</v>
      </c>
      <c r="P28" s="129">
        <f t="shared" si="4"/>
        <v>5.476312119412877</v>
      </c>
      <c r="Q28" s="129">
        <f t="shared" si="5"/>
        <v>5.3940495013276522</v>
      </c>
      <c r="R28" s="129">
        <f t="shared" si="6"/>
        <v>5.5597555665772767</v>
      </c>
      <c r="S28" s="61">
        <f t="shared" si="7"/>
        <v>6.1674292711219953</v>
      </c>
      <c r="T28" s="61">
        <f t="shared" si="21"/>
        <v>7.8571935552558738</v>
      </c>
      <c r="U28" s="61">
        <f t="shared" si="8"/>
        <v>5.7919649041791734</v>
      </c>
      <c r="V28" s="61"/>
      <c r="Y28" s="163" t="s">
        <v>42</v>
      </c>
      <c r="Z28" s="163" t="s">
        <v>65</v>
      </c>
      <c r="AA28" s="163" t="s">
        <v>200</v>
      </c>
      <c r="AB28" s="163">
        <f t="shared" si="25"/>
        <v>8</v>
      </c>
      <c r="AC28" s="166">
        <f t="shared" si="26"/>
        <v>4.9041653281935966</v>
      </c>
      <c r="AD28" s="166">
        <f t="shared" si="27"/>
        <v>6.9842988630211158</v>
      </c>
      <c r="AE28" s="163"/>
      <c r="AF28" s="163">
        <f t="shared" si="11"/>
        <v>22</v>
      </c>
      <c r="AG28" s="168">
        <f t="shared" si="12"/>
        <v>332</v>
      </c>
      <c r="AH28" s="166">
        <f t="shared" si="13"/>
        <v>6.383387810036532</v>
      </c>
      <c r="AI28" s="166">
        <f t="shared" si="14"/>
        <v>5.7506797473484728</v>
      </c>
      <c r="AJ28" s="166">
        <f t="shared" si="15"/>
        <v>7.0804787827331088</v>
      </c>
      <c r="AK28" s="168">
        <f t="shared" si="16"/>
        <v>4</v>
      </c>
    </row>
    <row r="29" spans="1:37" x14ac:dyDescent="0.2">
      <c r="A29" s="62" t="s">
        <v>52</v>
      </c>
      <c r="B29" s="62" t="s">
        <v>72</v>
      </c>
      <c r="C29" s="62" t="s">
        <v>201</v>
      </c>
      <c r="D29" s="62"/>
      <c r="E29" s="62">
        <f t="shared" si="1"/>
        <v>3</v>
      </c>
      <c r="F29" s="128">
        <v>179</v>
      </c>
      <c r="G29" s="129">
        <v>4.1215749481924933</v>
      </c>
      <c r="H29" s="129">
        <v>3.5697767349269673</v>
      </c>
      <c r="I29" s="129">
        <v>4.7544619622640356</v>
      </c>
      <c r="J29" s="129"/>
      <c r="K29" s="129"/>
      <c r="L29" s="129"/>
      <c r="M29" s="60">
        <f t="shared" si="24"/>
        <v>3</v>
      </c>
      <c r="N29" s="61">
        <f t="shared" si="3"/>
        <v>1.3017689360138576</v>
      </c>
      <c r="O29" s="61">
        <f t="shared" si="17"/>
        <v>4.8160629036787421</v>
      </c>
      <c r="P29" s="129">
        <f t="shared" si="4"/>
        <v>5.476312119412877</v>
      </c>
      <c r="Q29" s="129">
        <f t="shared" si="5"/>
        <v>5.3940495013276522</v>
      </c>
      <c r="R29" s="129">
        <f t="shared" si="6"/>
        <v>5.5597555665772767</v>
      </c>
      <c r="S29" s="61">
        <f t="shared" si="7"/>
        <v>6.1674292711219953</v>
      </c>
      <c r="T29" s="61">
        <f t="shared" si="21"/>
        <v>7.8571935552558738</v>
      </c>
      <c r="U29" s="61">
        <f t="shared" si="8"/>
        <v>4.4343247474028749</v>
      </c>
      <c r="V29" s="61"/>
      <c r="Y29" s="163" t="s">
        <v>44</v>
      </c>
      <c r="Z29" s="163" t="s">
        <v>66</v>
      </c>
      <c r="AA29" s="163" t="s">
        <v>200</v>
      </c>
      <c r="AB29" s="163">
        <f t="shared" si="25"/>
        <v>4</v>
      </c>
      <c r="AC29" s="166">
        <f t="shared" si="26"/>
        <v>4.9041653281935966</v>
      </c>
      <c r="AD29" s="166">
        <f t="shared" si="27"/>
        <v>6.9842988630211158</v>
      </c>
      <c r="AE29" s="163"/>
      <c r="AF29" s="163">
        <f t="shared" si="11"/>
        <v>13</v>
      </c>
      <c r="AG29" s="168">
        <f t="shared" si="12"/>
        <v>263</v>
      </c>
      <c r="AH29" s="166">
        <f t="shared" si="13"/>
        <v>5.940817709509826</v>
      </c>
      <c r="AI29" s="166">
        <f t="shared" si="14"/>
        <v>5.2819376448747244</v>
      </c>
      <c r="AJ29" s="166">
        <f t="shared" si="15"/>
        <v>6.6760947908359389</v>
      </c>
      <c r="AK29" s="168">
        <f t="shared" si="16"/>
        <v>5</v>
      </c>
    </row>
    <row r="30" spans="1:37" x14ac:dyDescent="0.2">
      <c r="A30" s="62" t="s">
        <v>53</v>
      </c>
      <c r="B30" s="62" t="s">
        <v>162</v>
      </c>
      <c r="C30" s="62" t="s">
        <v>163</v>
      </c>
      <c r="D30" s="62"/>
      <c r="E30" s="62">
        <f t="shared" si="1"/>
        <v>23</v>
      </c>
      <c r="F30" s="128">
        <v>1894</v>
      </c>
      <c r="G30" s="129">
        <v>6.7457349431919367</v>
      </c>
      <c r="H30" s="129">
        <v>6.4582384510282527</v>
      </c>
      <c r="I30" s="129">
        <v>7.0450658013790735</v>
      </c>
      <c r="J30" s="129"/>
      <c r="K30" s="129"/>
      <c r="L30" s="129"/>
      <c r="M30" s="60">
        <f t="shared" si="24"/>
        <v>4</v>
      </c>
      <c r="N30" s="61">
        <f t="shared" si="3"/>
        <v>1.3017689360138576</v>
      </c>
      <c r="O30" s="61">
        <f t="shared" si="17"/>
        <v>4.8160629036787421</v>
      </c>
      <c r="P30" s="129">
        <f t="shared" si="4"/>
        <v>5.476312119412877</v>
      </c>
      <c r="Q30" s="129">
        <f t="shared" si="5"/>
        <v>5.3940495013276522</v>
      </c>
      <c r="R30" s="129">
        <f t="shared" si="6"/>
        <v>5.5597555665772767</v>
      </c>
      <c r="S30" s="61">
        <f t="shared" si="7"/>
        <v>6.1674292711219953</v>
      </c>
      <c r="T30" s="61">
        <f t="shared" si="21"/>
        <v>7.8571935552558738</v>
      </c>
      <c r="U30" s="61">
        <f t="shared" si="8"/>
        <v>6.3209740013721207</v>
      </c>
      <c r="V30" s="61"/>
      <c r="Y30" s="163" t="s">
        <v>49</v>
      </c>
      <c r="Z30" s="163" t="s">
        <v>70</v>
      </c>
      <c r="AA30" s="163" t="s">
        <v>200</v>
      </c>
      <c r="AB30" s="163">
        <f t="shared" si="25"/>
        <v>1</v>
      </c>
      <c r="AC30" s="166">
        <f t="shared" si="26"/>
        <v>4.9041653281935966</v>
      </c>
      <c r="AD30" s="166">
        <f t="shared" si="27"/>
        <v>6.9842988630211158</v>
      </c>
      <c r="AE30" s="163"/>
      <c r="AF30" s="163">
        <f t="shared" si="11"/>
        <v>8</v>
      </c>
      <c r="AG30" s="168">
        <f t="shared" si="12"/>
        <v>458</v>
      </c>
      <c r="AH30" s="166">
        <f t="shared" si="13"/>
        <v>4.9041653281935966</v>
      </c>
      <c r="AI30" s="166">
        <f t="shared" si="14"/>
        <v>4.4844178893359041</v>
      </c>
      <c r="AJ30" s="166">
        <f t="shared" si="15"/>
        <v>5.360996515638937</v>
      </c>
      <c r="AK30" s="168">
        <f t="shared" si="16"/>
        <v>3</v>
      </c>
    </row>
    <row r="31" spans="1:37" x14ac:dyDescent="0.2">
      <c r="A31" s="62" t="s">
        <v>54</v>
      </c>
      <c r="B31" s="62" t="s">
        <v>73</v>
      </c>
      <c r="C31" s="62" t="s">
        <v>201</v>
      </c>
      <c r="D31" s="62"/>
      <c r="E31" s="62">
        <f t="shared" si="1"/>
        <v>2</v>
      </c>
      <c r="F31" s="128">
        <v>153</v>
      </c>
      <c r="G31" s="129">
        <v>2.2924782738987117</v>
      </c>
      <c r="H31" s="129">
        <v>1.9599141792834123</v>
      </c>
      <c r="I31" s="129">
        <v>2.679930308360535</v>
      </c>
      <c r="J31" s="129"/>
      <c r="K31" s="129"/>
      <c r="L31" s="129"/>
      <c r="M31" s="60">
        <f t="shared" si="24"/>
        <v>3</v>
      </c>
      <c r="N31" s="61">
        <f t="shared" si="3"/>
        <v>1.3017689360138576</v>
      </c>
      <c r="O31" s="61">
        <f t="shared" si="17"/>
        <v>4.8160629036787421</v>
      </c>
      <c r="P31" s="129">
        <f t="shared" si="4"/>
        <v>5.476312119412877</v>
      </c>
      <c r="Q31" s="129">
        <f t="shared" si="5"/>
        <v>5.3940495013276522</v>
      </c>
      <c r="R31" s="129">
        <f t="shared" si="6"/>
        <v>5.5597555665772767</v>
      </c>
      <c r="S31" s="61">
        <f t="shared" si="7"/>
        <v>6.1674292711219953</v>
      </c>
      <c r="T31" s="61">
        <f t="shared" si="21"/>
        <v>7.8571935552558738</v>
      </c>
      <c r="U31" s="61">
        <f t="shared" si="8"/>
        <v>4.4343247474028749</v>
      </c>
      <c r="V31" s="61"/>
      <c r="Y31" s="163" t="s">
        <v>51</v>
      </c>
      <c r="Z31" s="163" t="s">
        <v>71</v>
      </c>
      <c r="AA31" s="163" t="s">
        <v>200</v>
      </c>
      <c r="AB31" s="163">
        <f t="shared" si="25"/>
        <v>9</v>
      </c>
      <c r="AC31" s="166">
        <f t="shared" si="26"/>
        <v>4.9041653281935966</v>
      </c>
      <c r="AD31" s="166">
        <f t="shared" si="27"/>
        <v>6.9842988630211158</v>
      </c>
      <c r="AE31" s="163"/>
      <c r="AF31" s="163">
        <f t="shared" si="11"/>
        <v>24</v>
      </c>
      <c r="AG31" s="168">
        <f t="shared" si="12"/>
        <v>387</v>
      </c>
      <c r="AH31" s="166">
        <f t="shared" si="13"/>
        <v>6.9842988630211158</v>
      </c>
      <c r="AI31" s="166">
        <f t="shared" si="14"/>
        <v>6.342561257339983</v>
      </c>
      <c r="AJ31" s="166">
        <f t="shared" si="15"/>
        <v>7.6856389102826554</v>
      </c>
      <c r="AK31" s="168">
        <f t="shared" si="16"/>
        <v>4</v>
      </c>
    </row>
    <row r="32" spans="1:37" x14ac:dyDescent="0.2">
      <c r="A32" s="62"/>
      <c r="B32" s="62" t="s">
        <v>171</v>
      </c>
      <c r="C32" s="62"/>
      <c r="D32" s="62"/>
      <c r="E32" s="62"/>
      <c r="F32" s="128">
        <v>15864</v>
      </c>
      <c r="G32" s="129">
        <v>5.476312119412877</v>
      </c>
      <c r="H32" s="129">
        <v>5.3940495013276522</v>
      </c>
      <c r="I32" s="129">
        <v>5.5597555665772767</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6173</v>
      </c>
      <c r="G44" s="129">
        <v>6.3209740013721207</v>
      </c>
      <c r="H44" s="129">
        <v>6.1700676155683327</v>
      </c>
      <c r="I44" s="129">
        <v>6.4753165186092252</v>
      </c>
      <c r="J44" s="129">
        <f>VLOOKUP($C44,$AA$6:$AD$13,3,FALSE)</f>
        <v>4.5397710878137927</v>
      </c>
      <c r="K44" s="129">
        <f>VLOOKUP($C44,$AA$6:$AD$13,4,FALSE)</f>
        <v>7.8571935552558738</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4</v>
      </c>
      <c r="N44" s="61">
        <f>MIN($G$6:$G$31)</f>
        <v>1.3017689360138576</v>
      </c>
      <c r="O44" s="61">
        <f>VLOOKUP(7,$E$5:$G$39,3,FALSE)</f>
        <v>4.8160629036787421</v>
      </c>
      <c r="P44" s="129">
        <f>$G$32</f>
        <v>5.476312119412877</v>
      </c>
      <c r="Q44" s="129">
        <f>$H$32</f>
        <v>5.3940495013276522</v>
      </c>
      <c r="R44" s="129">
        <f>$I$32</f>
        <v>5.5597555665772767</v>
      </c>
      <c r="S44" s="61">
        <f>VLOOKUP(20,$E$5:$G$39,3,FALSE)</f>
        <v>6.1674292711219953</v>
      </c>
      <c r="T44" s="61">
        <f>MAX($G$6:$G$31)</f>
        <v>7.8571935552558738</v>
      </c>
    </row>
    <row r="45" spans="1:22" x14ac:dyDescent="0.2">
      <c r="C45" s="62" t="s">
        <v>201</v>
      </c>
      <c r="D45" s="62"/>
      <c r="E45" s="62"/>
      <c r="F45" s="128">
        <v>4674</v>
      </c>
      <c r="G45" s="129">
        <v>4.4343247474028749</v>
      </c>
      <c r="H45" s="129">
        <v>4.3117019370717973</v>
      </c>
      <c r="I45" s="129">
        <v>4.5602686959363554</v>
      </c>
      <c r="J45" s="129">
        <f>VLOOKUP($C45,$AA$14:$AD$22,3,FALSE)</f>
        <v>1.3017689360138576</v>
      </c>
      <c r="K45" s="129">
        <f>VLOOKUP($C45,$AA$14:$AD$22,4,FALSE)</f>
        <v>7.4441000664157624</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3</v>
      </c>
      <c r="N45" s="61">
        <f t="shared" ref="N45:N46" si="28">MIN($G$6:$G$31)</f>
        <v>1.3017689360138576</v>
      </c>
      <c r="O45" s="61">
        <f t="shared" ref="O45:O46" si="29">VLOOKUP(7,$E$5:$G$39,3,FALSE)</f>
        <v>4.8160629036787421</v>
      </c>
      <c r="P45" s="129">
        <f t="shared" ref="P45:P46" si="30">$G$32</f>
        <v>5.476312119412877</v>
      </c>
      <c r="Q45" s="129">
        <f t="shared" ref="Q45:Q46" si="31">$H$32</f>
        <v>5.3940495013276522</v>
      </c>
      <c r="R45" s="129">
        <f t="shared" ref="R45:R46" si="32">$I$32</f>
        <v>5.5597555665772767</v>
      </c>
      <c r="S45" s="61">
        <f t="shared" ref="S45:S46" si="33">VLOOKUP(20,$E$5:$G$39,3,FALSE)</f>
        <v>6.1674292711219953</v>
      </c>
      <c r="T45" s="61">
        <f t="shared" ref="T45:T46" si="34">MAX($G$6:$G$31)</f>
        <v>7.8571935552558738</v>
      </c>
    </row>
    <row r="46" spans="1:22" x14ac:dyDescent="0.2">
      <c r="C46" s="62" t="s">
        <v>200</v>
      </c>
      <c r="D46" s="62"/>
      <c r="E46" s="62"/>
      <c r="F46" s="128">
        <v>5017</v>
      </c>
      <c r="G46" s="129">
        <v>5.7919649041791734</v>
      </c>
      <c r="H46" s="129">
        <v>5.6383571851427678</v>
      </c>
      <c r="I46" s="129">
        <v>5.9494935609967818</v>
      </c>
      <c r="J46" s="129">
        <f>VLOOKUP($C46,$AA$23:$AD$31,3,FALSE)</f>
        <v>4.9041653281935966</v>
      </c>
      <c r="K46" s="129">
        <f>VLOOKUP($C46,$AA$23:$AD$31,4,FALSE)</f>
        <v>6.9842988630211158</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4</v>
      </c>
      <c r="N46" s="61">
        <f t="shared" si="28"/>
        <v>1.3017689360138576</v>
      </c>
      <c r="O46" s="61">
        <f t="shared" si="29"/>
        <v>4.8160629036787421</v>
      </c>
      <c r="P46" s="129">
        <f t="shared" si="30"/>
        <v>5.476312119412877</v>
      </c>
      <c r="Q46" s="129">
        <f t="shared" si="31"/>
        <v>5.3940495013276522</v>
      </c>
      <c r="R46" s="129">
        <f t="shared" si="32"/>
        <v>5.5597555665772767</v>
      </c>
      <c r="S46" s="61">
        <f t="shared" si="33"/>
        <v>6.1674292711219953</v>
      </c>
      <c r="T46" s="61">
        <f t="shared" si="34"/>
        <v>7.8571935552558738</v>
      </c>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sortState xmlns:xlrd2="http://schemas.microsoft.com/office/spreadsheetml/2017/richdata2" ref="Z6:AG31">
    <sortCondition ref="AA6:AA31"/>
  </sortState>
  <mergeCells count="2">
    <mergeCell ref="C2:D2"/>
    <mergeCell ref="K2:N2"/>
  </mergeCells>
  <dataValidations count="2">
    <dataValidation type="list" allowBlank="1" showInputMessage="1" showErrorMessage="1" sqref="K2:N2" xr:uid="{00000000-0002-0000-0600-000000000000}">
      <formula1>"High = Worst,Low = Worst"</formula1>
    </dataValidation>
    <dataValidation type="list" allowBlank="1" showInputMessage="1" showErrorMessage="1" sqref="C2:D2" xr:uid="{00000000-0002-0000-0600-000001000000}">
      <formula1>"Better / Worse,Higher / Lower,Significance not measured"</formula1>
    </dataValidation>
  </dataValidations>
  <pageMargins left="0.75" right="0.75" top="1" bottom="1" header="0.5" footer="0.5"/>
  <pageSetup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7">
    <tabColor theme="6" tint="0.39997558519241921"/>
  </sheetPr>
  <dimension ref="A1:AK55"/>
  <sheetViews>
    <sheetView topLeftCell="B1" workbookViewId="0">
      <selection activeCell="K82" sqref="K82"/>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8" width="7.33203125" style="21" customWidth="1"/>
    <col min="9" max="9" width="6.886718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5.554687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133</v>
      </c>
      <c r="D2" s="444"/>
      <c r="F2" s="137" t="s">
        <v>135</v>
      </c>
      <c r="G2" s="138"/>
      <c r="H2" s="138"/>
      <c r="I2" s="139"/>
      <c r="J2" s="140"/>
      <c r="K2" s="445" t="s">
        <v>137</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9</v>
      </c>
      <c r="F6" s="128" t="s">
        <v>79</v>
      </c>
      <c r="G6" s="129">
        <v>4.9884720184447708</v>
      </c>
      <c r="H6" s="129">
        <v>4.5694803046114574</v>
      </c>
      <c r="I6" s="129">
        <v>5.4436910113385135</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3</v>
      </c>
      <c r="N6" s="61">
        <f>MIN($G$6:$G$32)</f>
        <v>2.5883379380543845</v>
      </c>
      <c r="O6" s="61">
        <f>VLOOKUP(7,$E$5:$G$39,3,FALSE)</f>
        <v>4.6030607364897174</v>
      </c>
      <c r="P6" s="129">
        <f>$G$32</f>
        <v>7.0409347202149535</v>
      </c>
      <c r="Q6" s="129">
        <f>$H$32</f>
        <v>6.8826402178665145</v>
      </c>
      <c r="R6" s="129">
        <f>$I$32</f>
        <v>7.202588251782795</v>
      </c>
      <c r="S6" s="61">
        <f>VLOOKUP(20,$E$5:$G$39,3,FALSE)</f>
        <v>8.2477059179075773</v>
      </c>
      <c r="T6" s="61">
        <f t="shared" ref="T6:T31" si="1">MAX($G$6:$G$31)</f>
        <v>11.318805185046028</v>
      </c>
      <c r="U6" s="61">
        <f>VLOOKUP(C6,$C$43:$I$46,5,FALSE)</f>
        <v>4.6716294458229939</v>
      </c>
      <c r="V6" s="61"/>
      <c r="Y6" s="159" t="s">
        <v>33</v>
      </c>
      <c r="Z6" s="159" t="s">
        <v>58</v>
      </c>
      <c r="AA6" s="159" t="s">
        <v>163</v>
      </c>
      <c r="AB6" s="159">
        <f>RANK(AH6,$AH$6:$AH$13,1)</f>
        <v>5</v>
      </c>
      <c r="AC6" s="164">
        <f>MIN($AH$6:$AH$13)</f>
        <v>6.9266205988812111</v>
      </c>
      <c r="AD6" s="164">
        <f>MAX($AH$6:$AH$13)</f>
        <v>10.441558441558442</v>
      </c>
      <c r="AE6" s="159"/>
      <c r="AF6" s="159">
        <f>VLOOKUP($Y6,$A$6:$I$31,5,FALSE)</f>
        <v>19</v>
      </c>
      <c r="AG6" s="160" t="str">
        <f>VLOOKUP($Y6,$A$6:$I$31,6,FALSE)</f>
        <v>N/A</v>
      </c>
      <c r="AH6" s="161">
        <f>VLOOKUP($Y6,$A$6:$I$31,7,FALSE)</f>
        <v>8.0416767237911326</v>
      </c>
      <c r="AI6" s="161">
        <f>VLOOKUP($Y6,$A$6:$I$31,8,FALSE)</f>
        <v>7.7100715050031923</v>
      </c>
      <c r="AJ6" s="161">
        <f>VLOOKUP($Y6,$A$6:$I$31,9,FALSE)</f>
        <v>8.3862480916326678</v>
      </c>
      <c r="AK6" s="160">
        <f>VLOOKUP($Y6,$A$6:$M$31,13,FALSE)</f>
        <v>4</v>
      </c>
    </row>
    <row r="7" spans="1:37" x14ac:dyDescent="0.2">
      <c r="A7" s="62" t="s">
        <v>30</v>
      </c>
      <c r="B7" s="62" t="s">
        <v>56</v>
      </c>
      <c r="C7" s="62" t="s">
        <v>200</v>
      </c>
      <c r="D7" s="62"/>
      <c r="E7" s="62">
        <f t="shared" ref="E7:E31" si="2">RANK(G7,$G$6:$G$31,1)</f>
        <v>24</v>
      </c>
      <c r="F7" s="128" t="s">
        <v>79</v>
      </c>
      <c r="G7" s="129">
        <v>8.6733210582420774</v>
      </c>
      <c r="H7" s="129">
        <v>8.1455570569781219</v>
      </c>
      <c r="I7" s="129">
        <v>9.2318430123398709</v>
      </c>
      <c r="J7" s="129"/>
      <c r="K7" s="129"/>
      <c r="L7" s="129"/>
      <c r="M7" s="60">
        <f t="shared" si="0"/>
        <v>4</v>
      </c>
      <c r="N7" s="61">
        <f t="shared" ref="N7:N31" si="3">MIN($G$6:$G$32)</f>
        <v>2.5883379380543845</v>
      </c>
      <c r="O7" s="61">
        <f>VLOOKUP(7,$E$5:$G$39,3,FALSE)</f>
        <v>4.6030607364897174</v>
      </c>
      <c r="P7" s="129">
        <f t="shared" ref="P7:P31" si="4">$G$32</f>
        <v>7.0409347202149535</v>
      </c>
      <c r="Q7" s="129">
        <f t="shared" ref="Q7:Q31" si="5">$H$32</f>
        <v>6.8826402178665145</v>
      </c>
      <c r="R7" s="129">
        <f t="shared" ref="R7:R31" si="6">$I$32</f>
        <v>7.202588251782795</v>
      </c>
      <c r="S7" s="61">
        <f t="shared" ref="S7:S31" si="7">VLOOKUP(20,$E$5:$G$39,3,FALSE)</f>
        <v>8.2477059179075773</v>
      </c>
      <c r="T7" s="61">
        <f t="shared" si="1"/>
        <v>11.318805185046028</v>
      </c>
      <c r="U7" s="61">
        <f>VLOOKUP(C7,$C$43:$I$46,5,FALSE)</f>
        <v>8.0026371970362931</v>
      </c>
      <c r="V7" s="61"/>
      <c r="Y7" s="159" t="s">
        <v>35</v>
      </c>
      <c r="Z7" s="159" t="s">
        <v>60</v>
      </c>
      <c r="AA7" s="159" t="s">
        <v>163</v>
      </c>
      <c r="AB7" s="159">
        <f t="shared" ref="AB7:AB12" si="8">RANK(AH7,$AH$6:$AH$13,1)</f>
        <v>7</v>
      </c>
      <c r="AC7" s="164">
        <f>MIN($AH$6:$AH$13)</f>
        <v>6.9266205988812111</v>
      </c>
      <c r="AD7" s="164">
        <f t="shared" ref="AD7:AD13" si="9">MAX($AH$6:$AH$13)</f>
        <v>10.441558441558442</v>
      </c>
      <c r="AE7" s="159"/>
      <c r="AF7" s="159">
        <f t="shared" ref="AF7:AF31" si="10">VLOOKUP($Y7,$A$6:$I$31,5,FALSE)</f>
        <v>23</v>
      </c>
      <c r="AG7" s="160" t="str">
        <f t="shared" ref="AG7:AG31" si="11">VLOOKUP($Y7,$A$6:$I$31,6,FALSE)</f>
        <v>N/A</v>
      </c>
      <c r="AH7" s="161">
        <f t="shared" ref="AH7:AH31" si="12">VLOOKUP($Y7,$A$6:$I$31,7,FALSE)</f>
        <v>8.617948841466351</v>
      </c>
      <c r="AI7" s="161">
        <f t="shared" ref="AI7:AI31" si="13">VLOOKUP($Y7,$A$6:$I$31,8,FALSE)</f>
        <v>8.2438152733019443</v>
      </c>
      <c r="AJ7" s="161">
        <f t="shared" ref="AJ7:AJ31" si="14">VLOOKUP($Y7,$A$6:$I$31,9,FALSE)</f>
        <v>9.0073950965533705</v>
      </c>
      <c r="AK7" s="160">
        <f t="shared" ref="AK7:AK31" si="15">VLOOKUP($Y7,$A$6:$M$31,13,FALSE)</f>
        <v>4</v>
      </c>
    </row>
    <row r="8" spans="1:37" x14ac:dyDescent="0.2">
      <c r="A8" s="62" t="s">
        <v>31</v>
      </c>
      <c r="B8" s="62" t="s">
        <v>57</v>
      </c>
      <c r="C8" s="62" t="s">
        <v>200</v>
      </c>
      <c r="D8" s="62"/>
      <c r="E8" s="62">
        <f t="shared" si="2"/>
        <v>21</v>
      </c>
      <c r="F8" s="128" t="s">
        <v>79</v>
      </c>
      <c r="G8" s="129">
        <v>8.412401678953124</v>
      </c>
      <c r="H8" s="129">
        <v>8.0949047231556097</v>
      </c>
      <c r="I8" s="129">
        <v>8.7411670487626747</v>
      </c>
      <c r="J8" s="129"/>
      <c r="K8" s="129"/>
      <c r="L8" s="129"/>
      <c r="M8" s="60">
        <f t="shared" si="0"/>
        <v>4</v>
      </c>
      <c r="N8" s="61">
        <f t="shared" si="3"/>
        <v>2.5883379380543845</v>
      </c>
      <c r="O8" s="61">
        <f t="shared" ref="O8:O31" si="16">VLOOKUP(7,$E$5:$G$39,3,FALSE)</f>
        <v>4.6030607364897174</v>
      </c>
      <c r="P8" s="129">
        <f t="shared" si="4"/>
        <v>7.0409347202149535</v>
      </c>
      <c r="Q8" s="129">
        <f t="shared" si="5"/>
        <v>6.8826402178665145</v>
      </c>
      <c r="R8" s="129">
        <f t="shared" si="6"/>
        <v>7.202588251782795</v>
      </c>
      <c r="S8" s="61">
        <f t="shared" si="7"/>
        <v>8.2477059179075773</v>
      </c>
      <c r="T8" s="61">
        <f t="shared" si="1"/>
        <v>11.318805185046028</v>
      </c>
      <c r="U8" s="61">
        <f t="shared" ref="U8:U31" si="17">VLOOKUP(C8,$C$43:$I$46,5,FALSE)</f>
        <v>8.0026371970362931</v>
      </c>
      <c r="V8" s="61"/>
      <c r="Y8" s="159" t="s">
        <v>41</v>
      </c>
      <c r="Z8" s="159" t="s">
        <v>64</v>
      </c>
      <c r="AA8" s="159" t="s">
        <v>163</v>
      </c>
      <c r="AB8" s="159">
        <f t="shared" si="8"/>
        <v>3</v>
      </c>
      <c r="AC8" s="164">
        <f t="shared" ref="AC8:AC13" si="18">MIN($AH$6:$AH$13)</f>
        <v>6.9266205988812111</v>
      </c>
      <c r="AD8" s="164">
        <f>MAX($AH$6:$AH$13)</f>
        <v>10.441558441558442</v>
      </c>
      <c r="AE8" s="159"/>
      <c r="AF8" s="159">
        <f t="shared" si="10"/>
        <v>16</v>
      </c>
      <c r="AG8" s="160" t="str">
        <f t="shared" si="11"/>
        <v>N/A</v>
      </c>
      <c r="AH8" s="161">
        <f t="shared" si="12"/>
        <v>7.7580391275016867</v>
      </c>
      <c r="AI8" s="161">
        <f t="shared" si="13"/>
        <v>7.4136735914095517</v>
      </c>
      <c r="AJ8" s="161">
        <f t="shared" si="14"/>
        <v>8.116998117438758</v>
      </c>
      <c r="AK8" s="160">
        <f t="shared" si="15"/>
        <v>4</v>
      </c>
    </row>
    <row r="9" spans="1:37" x14ac:dyDescent="0.2">
      <c r="A9" s="62" t="s">
        <v>32</v>
      </c>
      <c r="B9" s="62" t="s">
        <v>156</v>
      </c>
      <c r="C9" s="62" t="s">
        <v>201</v>
      </c>
      <c r="D9" s="62"/>
      <c r="E9" s="62">
        <f t="shared" si="2"/>
        <v>15</v>
      </c>
      <c r="F9" s="128" t="s">
        <v>79</v>
      </c>
      <c r="G9" s="129">
        <v>7.6438425607415716</v>
      </c>
      <c r="H9" s="129">
        <v>7.3363361416338453</v>
      </c>
      <c r="I9" s="129">
        <v>7.9631306219725735</v>
      </c>
      <c r="J9" s="129"/>
      <c r="K9" s="129"/>
      <c r="L9" s="129"/>
      <c r="M9" s="60">
        <f t="shared" si="0"/>
        <v>4</v>
      </c>
      <c r="N9" s="61">
        <f t="shared" si="3"/>
        <v>2.5883379380543845</v>
      </c>
      <c r="O9" s="61">
        <f t="shared" si="16"/>
        <v>4.6030607364897174</v>
      </c>
      <c r="P9" s="129">
        <f t="shared" si="4"/>
        <v>7.0409347202149535</v>
      </c>
      <c r="Q9" s="129">
        <f t="shared" si="5"/>
        <v>6.8826402178665145</v>
      </c>
      <c r="R9" s="129">
        <f t="shared" si="6"/>
        <v>7.202588251782795</v>
      </c>
      <c r="S9" s="61">
        <f t="shared" si="7"/>
        <v>8.2477059179075773</v>
      </c>
      <c r="T9" s="61">
        <f t="shared" si="1"/>
        <v>11.318805185046028</v>
      </c>
      <c r="U9" s="61">
        <f t="shared" si="17"/>
        <v>4.6716294458229939</v>
      </c>
      <c r="V9" s="61"/>
      <c r="X9" s="63"/>
      <c r="Y9" s="159" t="s">
        <v>45</v>
      </c>
      <c r="Z9" s="159" t="s">
        <v>67</v>
      </c>
      <c r="AA9" s="159" t="s">
        <v>163</v>
      </c>
      <c r="AB9" s="159">
        <f t="shared" si="8"/>
        <v>2</v>
      </c>
      <c r="AC9" s="164">
        <f t="shared" si="18"/>
        <v>6.9266205988812111</v>
      </c>
      <c r="AD9" s="164">
        <f t="shared" si="9"/>
        <v>10.441558441558442</v>
      </c>
      <c r="AE9" s="159"/>
      <c r="AF9" s="159">
        <f t="shared" si="10"/>
        <v>14</v>
      </c>
      <c r="AG9" s="160" t="str">
        <f t="shared" si="11"/>
        <v>N/A</v>
      </c>
      <c r="AH9" s="161">
        <f t="shared" si="12"/>
        <v>7.523510971786834</v>
      </c>
      <c r="AI9" s="161">
        <f t="shared" si="13"/>
        <v>7.1390151161037529</v>
      </c>
      <c r="AJ9" s="161">
        <f t="shared" si="14"/>
        <v>7.9269474177057031</v>
      </c>
      <c r="AK9" s="160">
        <f t="shared" si="15"/>
        <v>5</v>
      </c>
    </row>
    <row r="10" spans="1:37" x14ac:dyDescent="0.2">
      <c r="A10" s="62" t="s">
        <v>33</v>
      </c>
      <c r="B10" s="62" t="s">
        <v>58</v>
      </c>
      <c r="C10" s="62" t="s">
        <v>163</v>
      </c>
      <c r="D10" s="62"/>
      <c r="E10" s="62">
        <f t="shared" si="2"/>
        <v>19</v>
      </c>
      <c r="F10" s="128" t="s">
        <v>79</v>
      </c>
      <c r="G10" s="129">
        <v>8.0416767237911326</v>
      </c>
      <c r="H10" s="129">
        <v>7.7100715050031923</v>
      </c>
      <c r="I10" s="129">
        <v>8.3862480916326678</v>
      </c>
      <c r="J10" s="129"/>
      <c r="K10" s="129"/>
      <c r="L10" s="129"/>
      <c r="M10" s="60">
        <f t="shared" si="0"/>
        <v>4</v>
      </c>
      <c r="N10" s="61">
        <f t="shared" si="3"/>
        <v>2.5883379380543845</v>
      </c>
      <c r="O10" s="61">
        <f t="shared" si="16"/>
        <v>4.6030607364897174</v>
      </c>
      <c r="P10" s="129">
        <f t="shared" si="4"/>
        <v>7.0409347202149535</v>
      </c>
      <c r="Q10" s="129">
        <f t="shared" si="5"/>
        <v>6.8826402178665145</v>
      </c>
      <c r="R10" s="129">
        <f t="shared" si="6"/>
        <v>7.202588251782795</v>
      </c>
      <c r="S10" s="61">
        <f t="shared" si="7"/>
        <v>8.2477059179075773</v>
      </c>
      <c r="T10" s="61">
        <f t="shared" si="1"/>
        <v>11.318805185046028</v>
      </c>
      <c r="U10" s="61">
        <f t="shared" si="17"/>
        <v>8.1737015230671428</v>
      </c>
      <c r="V10" s="61"/>
      <c r="Y10" s="159" t="s">
        <v>46</v>
      </c>
      <c r="Z10" s="159" t="s">
        <v>68</v>
      </c>
      <c r="AA10" s="159" t="s">
        <v>163</v>
      </c>
      <c r="AB10" s="159">
        <f t="shared" si="8"/>
        <v>4</v>
      </c>
      <c r="AC10" s="164">
        <f t="shared" si="18"/>
        <v>6.9266205988812111</v>
      </c>
      <c r="AD10" s="164">
        <f t="shared" si="9"/>
        <v>10.441558441558442</v>
      </c>
      <c r="AE10" s="159"/>
      <c r="AF10" s="159">
        <f t="shared" si="10"/>
        <v>18</v>
      </c>
      <c r="AG10" s="160" t="str">
        <f t="shared" si="11"/>
        <v>N/A</v>
      </c>
      <c r="AH10" s="161">
        <f t="shared" si="12"/>
        <v>8.0028049261515548</v>
      </c>
      <c r="AI10" s="161">
        <f t="shared" si="13"/>
        <v>7.6577644739158819</v>
      </c>
      <c r="AJ10" s="161">
        <f t="shared" si="14"/>
        <v>8.3619842519035217</v>
      </c>
      <c r="AK10" s="160">
        <f t="shared" si="15"/>
        <v>4</v>
      </c>
    </row>
    <row r="11" spans="1:37" x14ac:dyDescent="0.2">
      <c r="A11" s="62" t="s">
        <v>34</v>
      </c>
      <c r="B11" s="62" t="s">
        <v>59</v>
      </c>
      <c r="C11" s="62" t="s">
        <v>200</v>
      </c>
      <c r="D11" s="62"/>
      <c r="E11" s="62">
        <f t="shared" si="2"/>
        <v>22</v>
      </c>
      <c r="F11" s="128" t="s">
        <v>79</v>
      </c>
      <c r="G11" s="129">
        <v>8.5402110896387704</v>
      </c>
      <c r="H11" s="129">
        <v>8.2121695158843266</v>
      </c>
      <c r="I11" s="129">
        <v>8.8800887967219193</v>
      </c>
      <c r="J11" s="129"/>
      <c r="K11" s="129"/>
      <c r="L11" s="129"/>
      <c r="M11" s="60">
        <f t="shared" si="0"/>
        <v>4</v>
      </c>
      <c r="N11" s="61">
        <f t="shared" si="3"/>
        <v>2.5883379380543845</v>
      </c>
      <c r="O11" s="61">
        <f t="shared" si="16"/>
        <v>4.6030607364897174</v>
      </c>
      <c r="P11" s="129">
        <f t="shared" si="4"/>
        <v>7.0409347202149535</v>
      </c>
      <c r="Q11" s="129">
        <f t="shared" si="5"/>
        <v>6.8826402178665145</v>
      </c>
      <c r="R11" s="129">
        <f t="shared" si="6"/>
        <v>7.202588251782795</v>
      </c>
      <c r="S11" s="61">
        <f t="shared" si="7"/>
        <v>8.2477059179075773</v>
      </c>
      <c r="T11" s="61">
        <f t="shared" si="1"/>
        <v>11.318805185046028</v>
      </c>
      <c r="U11" s="61">
        <f t="shared" si="17"/>
        <v>8.0026371970362931</v>
      </c>
      <c r="V11" s="61"/>
      <c r="Y11" s="159" t="s">
        <v>47</v>
      </c>
      <c r="Z11" s="159" t="s">
        <v>69</v>
      </c>
      <c r="AA11" s="159" t="s">
        <v>163</v>
      </c>
      <c r="AB11" s="159">
        <f t="shared" si="8"/>
        <v>8</v>
      </c>
      <c r="AC11" s="164">
        <f t="shared" si="18"/>
        <v>6.9266205988812111</v>
      </c>
      <c r="AD11" s="164">
        <f t="shared" si="9"/>
        <v>10.441558441558442</v>
      </c>
      <c r="AE11" s="159"/>
      <c r="AF11" s="159">
        <f t="shared" si="10"/>
        <v>25</v>
      </c>
      <c r="AG11" s="160" t="str">
        <f t="shared" si="11"/>
        <v>N/A</v>
      </c>
      <c r="AH11" s="161">
        <f t="shared" si="12"/>
        <v>10.441558441558442</v>
      </c>
      <c r="AI11" s="161">
        <f t="shared" si="13"/>
        <v>9.5147186473120744</v>
      </c>
      <c r="AJ11" s="161">
        <f t="shared" si="14"/>
        <v>11.447260911335881</v>
      </c>
      <c r="AK11" s="160">
        <f t="shared" si="15"/>
        <v>4</v>
      </c>
    </row>
    <row r="12" spans="1:37" x14ac:dyDescent="0.2">
      <c r="A12" s="62" t="s">
        <v>35</v>
      </c>
      <c r="B12" s="62" t="s">
        <v>60</v>
      </c>
      <c r="C12" s="62" t="s">
        <v>163</v>
      </c>
      <c r="D12" s="62"/>
      <c r="E12" s="62">
        <f t="shared" si="2"/>
        <v>23</v>
      </c>
      <c r="F12" s="128" t="s">
        <v>79</v>
      </c>
      <c r="G12" s="129">
        <v>8.617948841466351</v>
      </c>
      <c r="H12" s="129">
        <v>8.2438152733019443</v>
      </c>
      <c r="I12" s="129">
        <v>9.0073950965533705</v>
      </c>
      <c r="J12" s="129"/>
      <c r="K12" s="129"/>
      <c r="L12" s="129"/>
      <c r="M12" s="60">
        <f t="shared" si="0"/>
        <v>4</v>
      </c>
      <c r="N12" s="61">
        <f t="shared" si="3"/>
        <v>2.5883379380543845</v>
      </c>
      <c r="O12" s="61">
        <f t="shared" si="16"/>
        <v>4.6030607364897174</v>
      </c>
      <c r="P12" s="129">
        <f t="shared" si="4"/>
        <v>7.0409347202149535</v>
      </c>
      <c r="Q12" s="129">
        <f t="shared" si="5"/>
        <v>6.8826402178665145</v>
      </c>
      <c r="R12" s="129">
        <f t="shared" si="6"/>
        <v>7.202588251782795</v>
      </c>
      <c r="S12" s="61">
        <f t="shared" si="7"/>
        <v>8.2477059179075773</v>
      </c>
      <c r="T12" s="61">
        <f t="shared" si="1"/>
        <v>11.318805185046028</v>
      </c>
      <c r="U12" s="61">
        <f t="shared" si="17"/>
        <v>8.1737015230671428</v>
      </c>
      <c r="V12" s="61"/>
      <c r="Y12" s="159" t="s">
        <v>50</v>
      </c>
      <c r="Z12" s="159" t="s">
        <v>161</v>
      </c>
      <c r="AA12" s="159" t="s">
        <v>163</v>
      </c>
      <c r="AB12" s="159">
        <f t="shared" si="8"/>
        <v>1</v>
      </c>
      <c r="AC12" s="164">
        <f t="shared" si="18"/>
        <v>6.9266205988812111</v>
      </c>
      <c r="AD12" s="164">
        <f t="shared" si="9"/>
        <v>10.441558441558442</v>
      </c>
      <c r="AE12" s="159"/>
      <c r="AF12" s="159">
        <f t="shared" si="10"/>
        <v>12</v>
      </c>
      <c r="AG12" s="160" t="str">
        <f t="shared" si="11"/>
        <v>N/A</v>
      </c>
      <c r="AH12" s="161">
        <f t="shared" si="12"/>
        <v>6.9266205988812111</v>
      </c>
      <c r="AI12" s="161">
        <f t="shared" si="13"/>
        <v>6.4887310233081656</v>
      </c>
      <c r="AJ12" s="161">
        <f t="shared" si="14"/>
        <v>7.3917251038261345</v>
      </c>
      <c r="AK12" s="160">
        <f t="shared" si="15"/>
        <v>5</v>
      </c>
    </row>
    <row r="13" spans="1:37" x14ac:dyDescent="0.2">
      <c r="A13" s="62" t="s">
        <v>36</v>
      </c>
      <c r="B13" s="62" t="s">
        <v>61</v>
      </c>
      <c r="C13" s="62" t="s">
        <v>201</v>
      </c>
      <c r="D13" s="62"/>
      <c r="E13" s="62">
        <f t="shared" si="2"/>
        <v>4</v>
      </c>
      <c r="F13" s="128" t="s">
        <v>79</v>
      </c>
      <c r="G13" s="129">
        <v>3.5344243245860367</v>
      </c>
      <c r="H13" s="129">
        <v>3.2911193443756583</v>
      </c>
      <c r="I13" s="129">
        <v>3.7950104516086562</v>
      </c>
      <c r="J13" s="129"/>
      <c r="K13" s="129"/>
      <c r="L13" s="129"/>
      <c r="M13" s="60">
        <f t="shared" si="0"/>
        <v>3</v>
      </c>
      <c r="N13" s="61">
        <f t="shared" si="3"/>
        <v>2.5883379380543845</v>
      </c>
      <c r="O13" s="61">
        <f t="shared" si="16"/>
        <v>4.6030607364897174</v>
      </c>
      <c r="P13" s="129">
        <f t="shared" si="4"/>
        <v>7.0409347202149535</v>
      </c>
      <c r="Q13" s="129">
        <f t="shared" si="5"/>
        <v>6.8826402178665145</v>
      </c>
      <c r="R13" s="129">
        <f t="shared" si="6"/>
        <v>7.202588251782795</v>
      </c>
      <c r="S13" s="61">
        <f t="shared" si="7"/>
        <v>8.2477059179075773</v>
      </c>
      <c r="T13" s="61">
        <f t="shared" si="1"/>
        <v>11.318805185046028</v>
      </c>
      <c r="U13" s="61">
        <f t="shared" si="17"/>
        <v>4.6716294458229939</v>
      </c>
      <c r="V13" s="61"/>
      <c r="Y13" s="159" t="s">
        <v>53</v>
      </c>
      <c r="Z13" s="159" t="s">
        <v>162</v>
      </c>
      <c r="AA13" s="159" t="s">
        <v>163</v>
      </c>
      <c r="AB13" s="159">
        <f>RANK(AH13,$AH$6:$AH$13,1)</f>
        <v>6</v>
      </c>
      <c r="AC13" s="164">
        <f t="shared" si="18"/>
        <v>6.9266205988812111</v>
      </c>
      <c r="AD13" s="164">
        <f t="shared" si="9"/>
        <v>10.441558441558442</v>
      </c>
      <c r="AE13" s="159"/>
      <c r="AF13" s="159">
        <f t="shared" si="10"/>
        <v>20</v>
      </c>
      <c r="AG13" s="160" t="str">
        <f t="shared" si="11"/>
        <v>N/A</v>
      </c>
      <c r="AH13" s="161">
        <f t="shared" si="12"/>
        <v>8.2477059179075773</v>
      </c>
      <c r="AI13" s="161">
        <f t="shared" si="13"/>
        <v>7.9694846175431602</v>
      </c>
      <c r="AJ13" s="161">
        <f t="shared" si="14"/>
        <v>8.5347393943574996</v>
      </c>
      <c r="AK13" s="160">
        <f t="shared" si="15"/>
        <v>4</v>
      </c>
    </row>
    <row r="14" spans="1:37" x14ac:dyDescent="0.2">
      <c r="A14" s="62" t="s">
        <v>37</v>
      </c>
      <c r="B14" s="62" t="s">
        <v>157</v>
      </c>
      <c r="C14" s="62" t="s">
        <v>201</v>
      </c>
      <c r="D14" s="62"/>
      <c r="E14" s="62">
        <f t="shared" si="2"/>
        <v>8</v>
      </c>
      <c r="F14" s="128" t="s">
        <v>79</v>
      </c>
      <c r="G14" s="129">
        <v>4.7324664250692816</v>
      </c>
      <c r="H14" s="129">
        <v>4.3938407835266622</v>
      </c>
      <c r="I14" s="129">
        <v>5.0957983711690957</v>
      </c>
      <c r="J14" s="129"/>
      <c r="K14" s="129"/>
      <c r="L14" s="129"/>
      <c r="M14" s="60">
        <f t="shared" si="0"/>
        <v>3</v>
      </c>
      <c r="N14" s="61">
        <f t="shared" si="3"/>
        <v>2.5883379380543845</v>
      </c>
      <c r="O14" s="61">
        <f t="shared" si="16"/>
        <v>4.6030607364897174</v>
      </c>
      <c r="P14" s="129">
        <f t="shared" si="4"/>
        <v>7.0409347202149535</v>
      </c>
      <c r="Q14" s="129">
        <f t="shared" si="5"/>
        <v>6.8826402178665145</v>
      </c>
      <c r="R14" s="129">
        <f t="shared" si="6"/>
        <v>7.202588251782795</v>
      </c>
      <c r="S14" s="61">
        <f t="shared" si="7"/>
        <v>8.2477059179075773</v>
      </c>
      <c r="T14" s="61">
        <f t="shared" si="1"/>
        <v>11.318805185046028</v>
      </c>
      <c r="U14" s="61">
        <f t="shared" si="17"/>
        <v>4.6716294458229939</v>
      </c>
      <c r="V14" s="61"/>
      <c r="Y14" s="162" t="s">
        <v>29</v>
      </c>
      <c r="Z14" s="162" t="s">
        <v>55</v>
      </c>
      <c r="AA14" s="162" t="s">
        <v>201</v>
      </c>
      <c r="AB14" s="162">
        <f>RANK(AH14,$AH$14:$AH$22,1)</f>
        <v>7</v>
      </c>
      <c r="AC14" s="165">
        <f t="shared" ref="AC14:AC22" si="19">MIN($AH$14:$AH$22)</f>
        <v>2.5883379380543845</v>
      </c>
      <c r="AD14" s="165">
        <f>MAX($AH$14:$AH$22)</f>
        <v>7.6438425607415716</v>
      </c>
      <c r="AE14" s="162"/>
      <c r="AF14" s="162">
        <f t="shared" si="10"/>
        <v>9</v>
      </c>
      <c r="AG14" s="167" t="str">
        <f t="shared" si="11"/>
        <v>N/A</v>
      </c>
      <c r="AH14" s="165">
        <f t="shared" si="12"/>
        <v>4.9884720184447708</v>
      </c>
      <c r="AI14" s="165">
        <f t="shared" si="13"/>
        <v>4.5694803046114574</v>
      </c>
      <c r="AJ14" s="165">
        <f t="shared" si="14"/>
        <v>5.4436910113385135</v>
      </c>
      <c r="AK14" s="167">
        <f t="shared" si="15"/>
        <v>3</v>
      </c>
    </row>
    <row r="15" spans="1:37" x14ac:dyDescent="0.2">
      <c r="A15" s="62" t="s">
        <v>38</v>
      </c>
      <c r="B15" s="62" t="s">
        <v>62</v>
      </c>
      <c r="C15" s="62" t="s">
        <v>201</v>
      </c>
      <c r="D15" s="62"/>
      <c r="E15" s="62">
        <f t="shared" si="2"/>
        <v>11</v>
      </c>
      <c r="F15" s="128" t="s">
        <v>79</v>
      </c>
      <c r="G15" s="129">
        <v>5.7252856433184309</v>
      </c>
      <c r="H15" s="129">
        <v>5.2386311031901318</v>
      </c>
      <c r="I15" s="129">
        <v>6.2541653173122809</v>
      </c>
      <c r="J15" s="129"/>
      <c r="K15" s="129"/>
      <c r="L15" s="129"/>
      <c r="M15" s="60">
        <f t="shared" si="0"/>
        <v>3</v>
      </c>
      <c r="N15" s="61">
        <f t="shared" si="3"/>
        <v>2.5883379380543845</v>
      </c>
      <c r="O15" s="61">
        <f t="shared" si="16"/>
        <v>4.6030607364897174</v>
      </c>
      <c r="P15" s="129">
        <f t="shared" si="4"/>
        <v>7.0409347202149535</v>
      </c>
      <c r="Q15" s="129">
        <f t="shared" si="5"/>
        <v>6.8826402178665145</v>
      </c>
      <c r="R15" s="129">
        <f t="shared" si="6"/>
        <v>7.202588251782795</v>
      </c>
      <c r="S15" s="61">
        <f t="shared" si="7"/>
        <v>8.2477059179075773</v>
      </c>
      <c r="T15" s="61">
        <f t="shared" si="1"/>
        <v>11.318805185046028</v>
      </c>
      <c r="U15" s="61">
        <f t="shared" si="17"/>
        <v>4.6716294458229939</v>
      </c>
      <c r="V15" s="61"/>
      <c r="Y15" s="162" t="s">
        <v>32</v>
      </c>
      <c r="Z15" s="162" t="s">
        <v>156</v>
      </c>
      <c r="AA15" s="162" t="s">
        <v>201</v>
      </c>
      <c r="AB15" s="162">
        <f>RANK(AH15,$AH$14:$AH$22,1)</f>
        <v>9</v>
      </c>
      <c r="AC15" s="165">
        <f t="shared" si="19"/>
        <v>2.5883379380543845</v>
      </c>
      <c r="AD15" s="165">
        <f t="shared" ref="AD15:AD22" si="20">MAX($AH$14:$AH$22)</f>
        <v>7.6438425607415716</v>
      </c>
      <c r="AE15" s="162"/>
      <c r="AF15" s="162">
        <f t="shared" si="10"/>
        <v>15</v>
      </c>
      <c r="AG15" s="167" t="str">
        <f t="shared" si="11"/>
        <v>N/A</v>
      </c>
      <c r="AH15" s="165">
        <f t="shared" si="12"/>
        <v>7.6438425607415716</v>
      </c>
      <c r="AI15" s="165">
        <f t="shared" si="13"/>
        <v>7.3363361416338453</v>
      </c>
      <c r="AJ15" s="165">
        <f t="shared" si="14"/>
        <v>7.9631306219725735</v>
      </c>
      <c r="AK15" s="167">
        <f t="shared" si="15"/>
        <v>4</v>
      </c>
    </row>
    <row r="16" spans="1:37" x14ac:dyDescent="0.2">
      <c r="A16" s="62" t="s">
        <v>39</v>
      </c>
      <c r="B16" s="62" t="s">
        <v>158</v>
      </c>
      <c r="C16" s="62" t="s">
        <v>200</v>
      </c>
      <c r="D16" s="62"/>
      <c r="E16" s="62">
        <f t="shared" si="2"/>
        <v>17</v>
      </c>
      <c r="F16" s="128" t="s">
        <v>79</v>
      </c>
      <c r="G16" s="129">
        <v>7.7756211180124213</v>
      </c>
      <c r="H16" s="129">
        <v>7.4548672442770751</v>
      </c>
      <c r="I16" s="129">
        <v>8.1089665311704771</v>
      </c>
      <c r="J16" s="129"/>
      <c r="K16" s="129"/>
      <c r="L16" s="129"/>
      <c r="M16" s="60">
        <f t="shared" si="0"/>
        <v>4</v>
      </c>
      <c r="N16" s="61">
        <f t="shared" si="3"/>
        <v>2.5883379380543845</v>
      </c>
      <c r="O16" s="61">
        <f t="shared" si="16"/>
        <v>4.6030607364897174</v>
      </c>
      <c r="P16" s="129">
        <f t="shared" si="4"/>
        <v>7.0409347202149535</v>
      </c>
      <c r="Q16" s="129">
        <f t="shared" si="5"/>
        <v>6.8826402178665145</v>
      </c>
      <c r="R16" s="129">
        <f t="shared" si="6"/>
        <v>7.202588251782795</v>
      </c>
      <c r="S16" s="61">
        <f t="shared" si="7"/>
        <v>8.2477059179075773</v>
      </c>
      <c r="T16" s="61">
        <f t="shared" si="1"/>
        <v>11.318805185046028</v>
      </c>
      <c r="U16" s="61">
        <f t="shared" si="17"/>
        <v>8.0026371970362931</v>
      </c>
      <c r="V16" s="61"/>
      <c r="Y16" s="162" t="s">
        <v>36</v>
      </c>
      <c r="Z16" s="162" t="s">
        <v>61</v>
      </c>
      <c r="AA16" s="162" t="s">
        <v>201</v>
      </c>
      <c r="AB16" s="162">
        <f>RANK(AH16,$AH$14:$AH$22,1)</f>
        <v>4</v>
      </c>
      <c r="AC16" s="165">
        <f t="shared" si="19"/>
        <v>2.5883379380543845</v>
      </c>
      <c r="AD16" s="165">
        <f t="shared" si="20"/>
        <v>7.6438425607415716</v>
      </c>
      <c r="AE16" s="162"/>
      <c r="AF16" s="162">
        <f t="shared" si="10"/>
        <v>4</v>
      </c>
      <c r="AG16" s="167" t="str">
        <f t="shared" si="11"/>
        <v>N/A</v>
      </c>
      <c r="AH16" s="165">
        <f t="shared" si="12"/>
        <v>3.5344243245860367</v>
      </c>
      <c r="AI16" s="165">
        <f t="shared" si="13"/>
        <v>3.2911193443756583</v>
      </c>
      <c r="AJ16" s="165">
        <f t="shared" si="14"/>
        <v>3.7950104516086562</v>
      </c>
      <c r="AK16" s="167">
        <f t="shared" si="15"/>
        <v>3</v>
      </c>
    </row>
    <row r="17" spans="1:37" x14ac:dyDescent="0.2">
      <c r="A17" s="62" t="s">
        <v>40</v>
      </c>
      <c r="B17" s="62" t="s">
        <v>63</v>
      </c>
      <c r="C17" s="62" t="s">
        <v>200</v>
      </c>
      <c r="D17" s="62"/>
      <c r="E17" s="62">
        <f t="shared" si="2"/>
        <v>13</v>
      </c>
      <c r="F17" s="128" t="s">
        <v>79</v>
      </c>
      <c r="G17" s="129">
        <v>7.3632042075452615</v>
      </c>
      <c r="H17" s="129">
        <v>6.8647944550063151</v>
      </c>
      <c r="I17" s="129">
        <v>7.8947329815476417</v>
      </c>
      <c r="J17" s="129"/>
      <c r="K17" s="129"/>
      <c r="L17" s="129"/>
      <c r="M17" s="60">
        <f t="shared" si="0"/>
        <v>5</v>
      </c>
      <c r="N17" s="61">
        <f t="shared" si="3"/>
        <v>2.5883379380543845</v>
      </c>
      <c r="O17" s="61">
        <f t="shared" si="16"/>
        <v>4.6030607364897174</v>
      </c>
      <c r="P17" s="129">
        <f t="shared" si="4"/>
        <v>7.0409347202149535</v>
      </c>
      <c r="Q17" s="129">
        <f t="shared" si="5"/>
        <v>6.8826402178665145</v>
      </c>
      <c r="R17" s="129">
        <f t="shared" si="6"/>
        <v>7.202588251782795</v>
      </c>
      <c r="S17" s="61">
        <f t="shared" si="7"/>
        <v>8.2477059179075773</v>
      </c>
      <c r="T17" s="61">
        <f t="shared" si="1"/>
        <v>11.318805185046028</v>
      </c>
      <c r="U17" s="61">
        <f t="shared" si="17"/>
        <v>8.0026371970362931</v>
      </c>
      <c r="V17" s="61"/>
      <c r="Y17" s="162" t="s">
        <v>37</v>
      </c>
      <c r="Z17" s="162" t="s">
        <v>157</v>
      </c>
      <c r="AA17" s="162" t="s">
        <v>201</v>
      </c>
      <c r="AB17" s="162">
        <f t="shared" ref="AB17:AB22" si="21">RANK(AH17,$AH$14:$AH$22,1)</f>
        <v>6</v>
      </c>
      <c r="AC17" s="165">
        <f t="shared" si="19"/>
        <v>2.5883379380543845</v>
      </c>
      <c r="AD17" s="165">
        <f>MAX($AH$14:$AH$22)</f>
        <v>7.6438425607415716</v>
      </c>
      <c r="AE17" s="162"/>
      <c r="AF17" s="162">
        <f t="shared" si="10"/>
        <v>8</v>
      </c>
      <c r="AG17" s="167" t="str">
        <f t="shared" si="11"/>
        <v>N/A</v>
      </c>
      <c r="AH17" s="165">
        <f t="shared" si="12"/>
        <v>4.7324664250692816</v>
      </c>
      <c r="AI17" s="165">
        <f t="shared" si="13"/>
        <v>4.3938407835266622</v>
      </c>
      <c r="AJ17" s="165">
        <f t="shared" si="14"/>
        <v>5.0957983711690957</v>
      </c>
      <c r="AK17" s="167">
        <f t="shared" si="15"/>
        <v>3</v>
      </c>
    </row>
    <row r="18" spans="1:37" x14ac:dyDescent="0.2">
      <c r="A18" s="62" t="s">
        <v>41</v>
      </c>
      <c r="B18" s="62" t="s">
        <v>64</v>
      </c>
      <c r="C18" s="62" t="s">
        <v>163</v>
      </c>
      <c r="D18" s="62"/>
      <c r="E18" s="62">
        <f t="shared" si="2"/>
        <v>16</v>
      </c>
      <c r="F18" s="128" t="s">
        <v>79</v>
      </c>
      <c r="G18" s="129">
        <v>7.7580391275016867</v>
      </c>
      <c r="H18" s="129">
        <v>7.4136735914095517</v>
      </c>
      <c r="I18" s="129">
        <v>8.116998117438758</v>
      </c>
      <c r="J18" s="129"/>
      <c r="K18" s="129"/>
      <c r="L18" s="129"/>
      <c r="M18" s="60">
        <f t="shared" si="0"/>
        <v>4</v>
      </c>
      <c r="N18" s="61">
        <f t="shared" si="3"/>
        <v>2.5883379380543845</v>
      </c>
      <c r="O18" s="61">
        <f t="shared" si="16"/>
        <v>4.6030607364897174</v>
      </c>
      <c r="P18" s="129">
        <f t="shared" si="4"/>
        <v>7.0409347202149535</v>
      </c>
      <c r="Q18" s="129">
        <f t="shared" si="5"/>
        <v>6.8826402178665145</v>
      </c>
      <c r="R18" s="129">
        <f t="shared" si="6"/>
        <v>7.202588251782795</v>
      </c>
      <c r="S18" s="61">
        <f t="shared" si="7"/>
        <v>8.2477059179075773</v>
      </c>
      <c r="T18" s="61">
        <f t="shared" si="1"/>
        <v>11.318805185046028</v>
      </c>
      <c r="U18" s="61">
        <f t="shared" si="17"/>
        <v>8.1737015230671428</v>
      </c>
      <c r="V18" s="61"/>
      <c r="Y18" s="162" t="s">
        <v>38</v>
      </c>
      <c r="Z18" s="162" t="s">
        <v>62</v>
      </c>
      <c r="AA18" s="162" t="s">
        <v>201</v>
      </c>
      <c r="AB18" s="162">
        <f t="shared" si="21"/>
        <v>8</v>
      </c>
      <c r="AC18" s="165">
        <f t="shared" si="19"/>
        <v>2.5883379380543845</v>
      </c>
      <c r="AD18" s="165">
        <f t="shared" si="20"/>
        <v>7.6438425607415716</v>
      </c>
      <c r="AE18" s="162"/>
      <c r="AF18" s="162">
        <f t="shared" si="10"/>
        <v>11</v>
      </c>
      <c r="AG18" s="167" t="str">
        <f t="shared" si="11"/>
        <v>N/A</v>
      </c>
      <c r="AH18" s="165">
        <f t="shared" si="12"/>
        <v>5.7252856433184309</v>
      </c>
      <c r="AI18" s="165">
        <f t="shared" si="13"/>
        <v>5.2386311031901318</v>
      </c>
      <c r="AJ18" s="165">
        <f t="shared" si="14"/>
        <v>6.2541653173122809</v>
      </c>
      <c r="AK18" s="167">
        <f t="shared" si="15"/>
        <v>3</v>
      </c>
    </row>
    <row r="19" spans="1:37" x14ac:dyDescent="0.2">
      <c r="A19" s="62" t="s">
        <v>42</v>
      </c>
      <c r="B19" s="62" t="s">
        <v>65</v>
      </c>
      <c r="C19" s="62" t="s">
        <v>200</v>
      </c>
      <c r="D19" s="62"/>
      <c r="E19" s="62">
        <f t="shared" si="2"/>
        <v>10</v>
      </c>
      <c r="F19" s="128" t="s">
        <v>79</v>
      </c>
      <c r="G19" s="129">
        <v>5.2306425041186158</v>
      </c>
      <c r="H19" s="129">
        <v>4.7425324067067214</v>
      </c>
      <c r="I19" s="129">
        <v>5.7659489200072827</v>
      </c>
      <c r="J19" s="129"/>
      <c r="K19" s="129"/>
      <c r="L19" s="129"/>
      <c r="M19" s="60">
        <f t="shared" si="0"/>
        <v>3</v>
      </c>
      <c r="N19" s="61">
        <f t="shared" si="3"/>
        <v>2.5883379380543845</v>
      </c>
      <c r="O19" s="61">
        <f t="shared" si="16"/>
        <v>4.6030607364897174</v>
      </c>
      <c r="P19" s="129">
        <f t="shared" si="4"/>
        <v>7.0409347202149535</v>
      </c>
      <c r="Q19" s="129">
        <f t="shared" si="5"/>
        <v>6.8826402178665145</v>
      </c>
      <c r="R19" s="129">
        <f t="shared" si="6"/>
        <v>7.202588251782795</v>
      </c>
      <c r="S19" s="61">
        <f t="shared" si="7"/>
        <v>8.2477059179075773</v>
      </c>
      <c r="T19" s="61">
        <f t="shared" si="1"/>
        <v>11.318805185046028</v>
      </c>
      <c r="U19" s="61">
        <f t="shared" si="17"/>
        <v>8.0026371970362931</v>
      </c>
      <c r="V19" s="61"/>
      <c r="Y19" s="162" t="s">
        <v>43</v>
      </c>
      <c r="Z19" s="162" t="s">
        <v>159</v>
      </c>
      <c r="AA19" s="162" t="s">
        <v>201</v>
      </c>
      <c r="AB19" s="162">
        <f t="shared" si="21"/>
        <v>5</v>
      </c>
      <c r="AC19" s="165">
        <f t="shared" si="19"/>
        <v>2.5883379380543845</v>
      </c>
      <c r="AD19" s="165">
        <f t="shared" si="20"/>
        <v>7.6438425607415716</v>
      </c>
      <c r="AE19" s="162"/>
      <c r="AF19" s="162">
        <f t="shared" si="10"/>
        <v>6</v>
      </c>
      <c r="AG19" s="167" t="str">
        <f t="shared" si="11"/>
        <v>N/A</v>
      </c>
      <c r="AH19" s="165">
        <f t="shared" si="12"/>
        <v>4.4562441188331761</v>
      </c>
      <c r="AI19" s="165">
        <f t="shared" si="13"/>
        <v>4.1362752832492617</v>
      </c>
      <c r="AJ19" s="165">
        <f t="shared" si="14"/>
        <v>4.7997254294345622</v>
      </c>
      <c r="AK19" s="167">
        <f t="shared" si="15"/>
        <v>3</v>
      </c>
    </row>
    <row r="20" spans="1:37" x14ac:dyDescent="0.2">
      <c r="A20" s="62" t="s">
        <v>43</v>
      </c>
      <c r="B20" s="62" t="s">
        <v>159</v>
      </c>
      <c r="C20" s="62" t="s">
        <v>201</v>
      </c>
      <c r="D20" s="62"/>
      <c r="E20" s="62">
        <f t="shared" si="2"/>
        <v>6</v>
      </c>
      <c r="F20" s="128" t="s">
        <v>79</v>
      </c>
      <c r="G20" s="129">
        <v>4.4562441188331761</v>
      </c>
      <c r="H20" s="129">
        <v>4.1362752832492617</v>
      </c>
      <c r="I20" s="129">
        <v>4.7997254294345622</v>
      </c>
      <c r="J20" s="129"/>
      <c r="K20" s="129"/>
      <c r="L20" s="129"/>
      <c r="M20" s="60">
        <f t="shared" si="0"/>
        <v>3</v>
      </c>
      <c r="N20" s="61">
        <f t="shared" si="3"/>
        <v>2.5883379380543845</v>
      </c>
      <c r="O20" s="61">
        <f t="shared" si="16"/>
        <v>4.6030607364897174</v>
      </c>
      <c r="P20" s="129">
        <f t="shared" si="4"/>
        <v>7.0409347202149535</v>
      </c>
      <c r="Q20" s="129">
        <f t="shared" si="5"/>
        <v>6.8826402178665145</v>
      </c>
      <c r="R20" s="129">
        <f t="shared" si="6"/>
        <v>7.202588251782795</v>
      </c>
      <c r="S20" s="61">
        <f t="shared" si="7"/>
        <v>8.2477059179075773</v>
      </c>
      <c r="T20" s="61">
        <f t="shared" si="1"/>
        <v>11.318805185046028</v>
      </c>
      <c r="U20" s="61">
        <f t="shared" si="17"/>
        <v>4.6716294458229939</v>
      </c>
      <c r="V20" s="61"/>
      <c r="Y20" s="162" t="s">
        <v>48</v>
      </c>
      <c r="Z20" s="162" t="s">
        <v>160</v>
      </c>
      <c r="AA20" s="162" t="s">
        <v>201</v>
      </c>
      <c r="AB20" s="162">
        <f t="shared" si="21"/>
        <v>3</v>
      </c>
      <c r="AC20" s="165">
        <f t="shared" si="19"/>
        <v>2.5883379380543845</v>
      </c>
      <c r="AD20" s="165">
        <f t="shared" si="20"/>
        <v>7.6438425607415716</v>
      </c>
      <c r="AE20" s="162"/>
      <c r="AF20" s="162">
        <f t="shared" si="10"/>
        <v>3</v>
      </c>
      <c r="AG20" s="167" t="str">
        <f t="shared" si="11"/>
        <v>N/A</v>
      </c>
      <c r="AH20" s="165">
        <f t="shared" si="12"/>
        <v>3.4069677986591933</v>
      </c>
      <c r="AI20" s="165">
        <f t="shared" si="13"/>
        <v>3.0534487975564057</v>
      </c>
      <c r="AJ20" s="165">
        <f t="shared" si="14"/>
        <v>3.7998119303472864</v>
      </c>
      <c r="AK20" s="167">
        <f t="shared" si="15"/>
        <v>3</v>
      </c>
    </row>
    <row r="21" spans="1:37" x14ac:dyDescent="0.2">
      <c r="A21" s="62" t="s">
        <v>44</v>
      </c>
      <c r="B21" s="62" t="s">
        <v>66</v>
      </c>
      <c r="C21" s="62" t="s">
        <v>200</v>
      </c>
      <c r="D21" s="62"/>
      <c r="E21" s="62">
        <f t="shared" si="2"/>
        <v>7</v>
      </c>
      <c r="F21" s="128" t="s">
        <v>79</v>
      </c>
      <c r="G21" s="129">
        <v>4.6030607364897174</v>
      </c>
      <c r="H21" s="129">
        <v>4.1744327606087088</v>
      </c>
      <c r="I21" s="129">
        <v>5.0733698253852424</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3</v>
      </c>
      <c r="N21" s="61">
        <f t="shared" si="3"/>
        <v>2.5883379380543845</v>
      </c>
      <c r="O21" s="61">
        <f t="shared" si="16"/>
        <v>4.6030607364897174</v>
      </c>
      <c r="P21" s="129">
        <f t="shared" si="4"/>
        <v>7.0409347202149535</v>
      </c>
      <c r="Q21" s="129">
        <f t="shared" si="5"/>
        <v>6.8826402178665145</v>
      </c>
      <c r="R21" s="129">
        <f t="shared" si="6"/>
        <v>7.202588251782795</v>
      </c>
      <c r="S21" s="61">
        <f t="shared" si="7"/>
        <v>8.2477059179075773</v>
      </c>
      <c r="T21" s="61">
        <f t="shared" si="1"/>
        <v>11.318805185046028</v>
      </c>
      <c r="U21" s="61">
        <f t="shared" si="17"/>
        <v>8.0026371970362931</v>
      </c>
      <c r="V21" s="61"/>
      <c r="Y21" s="162" t="s">
        <v>52</v>
      </c>
      <c r="Z21" s="162" t="s">
        <v>72</v>
      </c>
      <c r="AA21" s="162" t="s">
        <v>201</v>
      </c>
      <c r="AB21" s="162">
        <f t="shared" si="21"/>
        <v>1</v>
      </c>
      <c r="AC21" s="165">
        <f t="shared" si="19"/>
        <v>2.5883379380543845</v>
      </c>
      <c r="AD21" s="165">
        <f t="shared" si="20"/>
        <v>7.6438425607415716</v>
      </c>
      <c r="AE21" s="162"/>
      <c r="AF21" s="162">
        <f t="shared" si="10"/>
        <v>1</v>
      </c>
      <c r="AG21" s="167" t="str">
        <f t="shared" si="11"/>
        <v>N/A</v>
      </c>
      <c r="AH21" s="165">
        <f t="shared" si="12"/>
        <v>2.5883379380543845</v>
      </c>
      <c r="AI21" s="165">
        <f t="shared" si="13"/>
        <v>2.2386914262526356</v>
      </c>
      <c r="AJ21" s="165">
        <f t="shared" si="14"/>
        <v>2.9909227273972183</v>
      </c>
      <c r="AK21" s="167">
        <f t="shared" si="15"/>
        <v>3</v>
      </c>
    </row>
    <row r="22" spans="1:37" x14ac:dyDescent="0.2">
      <c r="A22" s="62" t="s">
        <v>45</v>
      </c>
      <c r="B22" s="62" t="s">
        <v>67</v>
      </c>
      <c r="C22" s="62" t="s">
        <v>163</v>
      </c>
      <c r="D22" s="62"/>
      <c r="E22" s="62">
        <f t="shared" si="2"/>
        <v>14</v>
      </c>
      <c r="F22" s="128" t="s">
        <v>79</v>
      </c>
      <c r="G22" s="129">
        <v>7.523510971786834</v>
      </c>
      <c r="H22" s="129">
        <v>7.1390151161037529</v>
      </c>
      <c r="I22" s="129">
        <v>7.9269474177057031</v>
      </c>
      <c r="J22" s="129"/>
      <c r="K22" s="129"/>
      <c r="L22" s="129"/>
      <c r="M22" s="60">
        <f t="shared" si="0"/>
        <v>5</v>
      </c>
      <c r="N22" s="61">
        <f t="shared" si="3"/>
        <v>2.5883379380543845</v>
      </c>
      <c r="O22" s="61">
        <f t="shared" si="16"/>
        <v>4.6030607364897174</v>
      </c>
      <c r="P22" s="129">
        <f t="shared" si="4"/>
        <v>7.0409347202149535</v>
      </c>
      <c r="Q22" s="129">
        <f t="shared" si="5"/>
        <v>6.8826402178665145</v>
      </c>
      <c r="R22" s="129">
        <f t="shared" si="6"/>
        <v>7.202588251782795</v>
      </c>
      <c r="S22" s="61">
        <f t="shared" si="7"/>
        <v>8.2477059179075773</v>
      </c>
      <c r="T22" s="61">
        <f t="shared" si="1"/>
        <v>11.318805185046028</v>
      </c>
      <c r="U22" s="61">
        <f>VLOOKUP(C22,$C$43:$I$46,5,FALSE)</f>
        <v>8.1737015230671428</v>
      </c>
      <c r="V22" s="61"/>
      <c r="Y22" s="162" t="s">
        <v>54</v>
      </c>
      <c r="Z22" s="162" t="s">
        <v>73</v>
      </c>
      <c r="AA22" s="162" t="s">
        <v>201</v>
      </c>
      <c r="AB22" s="162">
        <f t="shared" si="21"/>
        <v>2</v>
      </c>
      <c r="AC22" s="165">
        <f t="shared" si="19"/>
        <v>2.5883379380543845</v>
      </c>
      <c r="AD22" s="165">
        <f t="shared" si="20"/>
        <v>7.6438425607415716</v>
      </c>
      <c r="AE22" s="162"/>
      <c r="AF22" s="162">
        <f t="shared" si="10"/>
        <v>2</v>
      </c>
      <c r="AG22" s="167" t="str">
        <f t="shared" si="11"/>
        <v>N/A</v>
      </c>
      <c r="AH22" s="165">
        <f t="shared" si="12"/>
        <v>3.2491255343956471</v>
      </c>
      <c r="AI22" s="165">
        <f t="shared" si="13"/>
        <v>2.9564336772383166</v>
      </c>
      <c r="AJ22" s="165">
        <f t="shared" si="14"/>
        <v>3.5697284602635118</v>
      </c>
      <c r="AK22" s="167">
        <f t="shared" si="15"/>
        <v>3</v>
      </c>
    </row>
    <row r="23" spans="1:37" x14ac:dyDescent="0.2">
      <c r="A23" s="62" t="s">
        <v>46</v>
      </c>
      <c r="B23" s="62" t="s">
        <v>68</v>
      </c>
      <c r="C23" s="62" t="s">
        <v>163</v>
      </c>
      <c r="D23" s="62"/>
      <c r="E23" s="62">
        <f t="shared" si="2"/>
        <v>18</v>
      </c>
      <c r="F23" s="128" t="s">
        <v>79</v>
      </c>
      <c r="G23" s="129">
        <v>8.0028049261515548</v>
      </c>
      <c r="H23" s="129">
        <v>7.6577644739158819</v>
      </c>
      <c r="I23" s="129">
        <v>8.3619842519035217</v>
      </c>
      <c r="J23" s="129"/>
      <c r="K23" s="129"/>
      <c r="L23" s="129"/>
      <c r="M23" s="60">
        <f t="shared" si="0"/>
        <v>4</v>
      </c>
      <c r="N23" s="61">
        <f t="shared" si="3"/>
        <v>2.5883379380543845</v>
      </c>
      <c r="O23" s="61">
        <f t="shared" si="16"/>
        <v>4.6030607364897174</v>
      </c>
      <c r="P23" s="129">
        <f t="shared" si="4"/>
        <v>7.0409347202149535</v>
      </c>
      <c r="Q23" s="129">
        <f t="shared" si="5"/>
        <v>6.8826402178665145</v>
      </c>
      <c r="R23" s="129">
        <f t="shared" si="6"/>
        <v>7.202588251782795</v>
      </c>
      <c r="S23" s="61">
        <f t="shared" si="7"/>
        <v>8.2477059179075773</v>
      </c>
      <c r="T23" s="61">
        <f t="shared" si="1"/>
        <v>11.318805185046028</v>
      </c>
      <c r="U23" s="61">
        <f t="shared" si="17"/>
        <v>8.1737015230671428</v>
      </c>
      <c r="V23" s="61"/>
      <c r="Y23" s="163" t="s">
        <v>30</v>
      </c>
      <c r="Z23" s="163" t="s">
        <v>56</v>
      </c>
      <c r="AA23" s="163" t="s">
        <v>200</v>
      </c>
      <c r="AB23" s="163">
        <f>RANK(AH23,$AH$23:$AH$31,1)</f>
        <v>8</v>
      </c>
      <c r="AC23" s="166">
        <f>MIN($AH$23:$AH$31)</f>
        <v>4.0080390467987366</v>
      </c>
      <c r="AD23" s="166">
        <f>MAX($AH$23:$AH$31)</f>
        <v>11.318805185046028</v>
      </c>
      <c r="AE23" s="163"/>
      <c r="AF23" s="163">
        <f t="shared" si="10"/>
        <v>24</v>
      </c>
      <c r="AG23" s="168" t="str">
        <f t="shared" si="11"/>
        <v>N/A</v>
      </c>
      <c r="AH23" s="166">
        <f t="shared" si="12"/>
        <v>8.6733210582420774</v>
      </c>
      <c r="AI23" s="166">
        <f t="shared" si="13"/>
        <v>8.1455570569781219</v>
      </c>
      <c r="AJ23" s="166">
        <f t="shared" si="14"/>
        <v>9.2318430123398709</v>
      </c>
      <c r="AK23" s="168">
        <f t="shared" si="15"/>
        <v>4</v>
      </c>
    </row>
    <row r="24" spans="1:37" x14ac:dyDescent="0.2">
      <c r="A24" s="62" t="s">
        <v>47</v>
      </c>
      <c r="B24" s="62" t="s">
        <v>69</v>
      </c>
      <c r="C24" s="62" t="s">
        <v>163</v>
      </c>
      <c r="D24" s="62"/>
      <c r="E24" s="62">
        <f t="shared" si="2"/>
        <v>25</v>
      </c>
      <c r="F24" s="128" t="s">
        <v>79</v>
      </c>
      <c r="G24" s="129">
        <v>10.441558441558442</v>
      </c>
      <c r="H24" s="129">
        <v>9.5147186473120744</v>
      </c>
      <c r="I24" s="129">
        <v>11.447260911335881</v>
      </c>
      <c r="J24" s="129"/>
      <c r="K24" s="129"/>
      <c r="L24" s="129"/>
      <c r="M24" s="60">
        <f t="shared" si="0"/>
        <v>4</v>
      </c>
      <c r="N24" s="61">
        <f t="shared" si="3"/>
        <v>2.5883379380543845</v>
      </c>
      <c r="O24" s="61">
        <f t="shared" si="16"/>
        <v>4.6030607364897174</v>
      </c>
      <c r="P24" s="129">
        <f t="shared" si="4"/>
        <v>7.0409347202149535</v>
      </c>
      <c r="Q24" s="129">
        <f t="shared" si="5"/>
        <v>6.8826402178665145</v>
      </c>
      <c r="R24" s="129">
        <f t="shared" si="6"/>
        <v>7.202588251782795</v>
      </c>
      <c r="S24" s="61">
        <f t="shared" si="7"/>
        <v>8.2477059179075773</v>
      </c>
      <c r="T24" s="61">
        <f t="shared" si="1"/>
        <v>11.318805185046028</v>
      </c>
      <c r="U24" s="61">
        <f t="shared" si="17"/>
        <v>8.1737015230671428</v>
      </c>
      <c r="V24" s="61"/>
      <c r="Y24" s="163" t="s">
        <v>31</v>
      </c>
      <c r="Z24" s="163" t="s">
        <v>57</v>
      </c>
      <c r="AA24" s="163" t="s">
        <v>200</v>
      </c>
      <c r="AB24" s="163">
        <f t="shared" ref="AB24:AB31" si="22">RANK(AH24,$AH$23:$AH$31,1)</f>
        <v>6</v>
      </c>
      <c r="AC24" s="166">
        <f t="shared" ref="AC24:AC31" si="23">MIN($AH$23:$AH$31)</f>
        <v>4.0080390467987366</v>
      </c>
      <c r="AD24" s="166">
        <f t="shared" ref="AD24:AD31" si="24">MAX($AH$23:$AH$31)</f>
        <v>11.318805185046028</v>
      </c>
      <c r="AE24" s="163"/>
      <c r="AF24" s="163">
        <f t="shared" si="10"/>
        <v>21</v>
      </c>
      <c r="AG24" s="168" t="str">
        <f t="shared" si="11"/>
        <v>N/A</v>
      </c>
      <c r="AH24" s="166">
        <f t="shared" si="12"/>
        <v>8.412401678953124</v>
      </c>
      <c r="AI24" s="166">
        <f t="shared" si="13"/>
        <v>8.0949047231556097</v>
      </c>
      <c r="AJ24" s="166">
        <f t="shared" si="14"/>
        <v>8.7411670487626747</v>
      </c>
      <c r="AK24" s="168">
        <f t="shared" si="15"/>
        <v>4</v>
      </c>
    </row>
    <row r="25" spans="1:37" x14ac:dyDescent="0.2">
      <c r="A25" s="62" t="s">
        <v>48</v>
      </c>
      <c r="B25" s="62" t="s">
        <v>160</v>
      </c>
      <c r="C25" s="62" t="s">
        <v>201</v>
      </c>
      <c r="D25" s="62"/>
      <c r="E25" s="62">
        <f t="shared" si="2"/>
        <v>3</v>
      </c>
      <c r="F25" s="128" t="s">
        <v>79</v>
      </c>
      <c r="G25" s="129">
        <v>3.4069677986591933</v>
      </c>
      <c r="H25" s="129">
        <v>3.0534487975564057</v>
      </c>
      <c r="I25" s="129">
        <v>3.7998119303472864</v>
      </c>
      <c r="J25" s="129"/>
      <c r="K25" s="129"/>
      <c r="L25" s="129"/>
      <c r="M25" s="60">
        <f t="shared" si="0"/>
        <v>3</v>
      </c>
      <c r="N25" s="61">
        <f t="shared" si="3"/>
        <v>2.5883379380543845</v>
      </c>
      <c r="O25" s="61">
        <f t="shared" si="16"/>
        <v>4.6030607364897174</v>
      </c>
      <c r="P25" s="129">
        <f t="shared" si="4"/>
        <v>7.0409347202149535</v>
      </c>
      <c r="Q25" s="129">
        <f t="shared" si="5"/>
        <v>6.8826402178665145</v>
      </c>
      <c r="R25" s="129">
        <f t="shared" si="6"/>
        <v>7.202588251782795</v>
      </c>
      <c r="S25" s="61">
        <f t="shared" si="7"/>
        <v>8.2477059179075773</v>
      </c>
      <c r="T25" s="61">
        <f t="shared" si="1"/>
        <v>11.318805185046028</v>
      </c>
      <c r="U25" s="61">
        <f t="shared" si="17"/>
        <v>4.6716294458229939</v>
      </c>
      <c r="V25" s="61"/>
      <c r="Y25" s="163" t="s">
        <v>34</v>
      </c>
      <c r="Z25" s="163" t="s">
        <v>59</v>
      </c>
      <c r="AA25" s="163" t="s">
        <v>200</v>
      </c>
      <c r="AB25" s="163">
        <f t="shared" si="22"/>
        <v>7</v>
      </c>
      <c r="AC25" s="166">
        <f t="shared" si="23"/>
        <v>4.0080390467987366</v>
      </c>
      <c r="AD25" s="166">
        <f t="shared" si="24"/>
        <v>11.318805185046028</v>
      </c>
      <c r="AE25" s="163"/>
      <c r="AF25" s="163">
        <f t="shared" si="10"/>
        <v>22</v>
      </c>
      <c r="AG25" s="168" t="str">
        <f t="shared" si="11"/>
        <v>N/A</v>
      </c>
      <c r="AH25" s="166">
        <f t="shared" si="12"/>
        <v>8.5402110896387704</v>
      </c>
      <c r="AI25" s="166">
        <f t="shared" si="13"/>
        <v>8.2121695158843266</v>
      </c>
      <c r="AJ25" s="166">
        <f t="shared" si="14"/>
        <v>8.8800887967219193</v>
      </c>
      <c r="AK25" s="168">
        <f t="shared" si="15"/>
        <v>4</v>
      </c>
    </row>
    <row r="26" spans="1:37" x14ac:dyDescent="0.2">
      <c r="A26" s="62" t="s">
        <v>49</v>
      </c>
      <c r="B26" s="62" t="s">
        <v>70</v>
      </c>
      <c r="C26" s="62" t="s">
        <v>200</v>
      </c>
      <c r="D26" s="62"/>
      <c r="E26" s="62">
        <f t="shared" si="2"/>
        <v>5</v>
      </c>
      <c r="F26" s="128" t="s">
        <v>79</v>
      </c>
      <c r="G26" s="129">
        <v>4.0080390467987366</v>
      </c>
      <c r="H26" s="129">
        <v>3.7267178243153913</v>
      </c>
      <c r="I26" s="129">
        <v>4.3096459150872137</v>
      </c>
      <c r="J26" s="129"/>
      <c r="K26" s="129"/>
      <c r="L26" s="129"/>
      <c r="M26" s="60">
        <f t="shared" si="0"/>
        <v>3</v>
      </c>
      <c r="N26" s="61">
        <f t="shared" si="3"/>
        <v>2.5883379380543845</v>
      </c>
      <c r="O26" s="61">
        <f t="shared" si="16"/>
        <v>4.6030607364897174</v>
      </c>
      <c r="P26" s="129">
        <f t="shared" si="4"/>
        <v>7.0409347202149535</v>
      </c>
      <c r="Q26" s="129">
        <f t="shared" si="5"/>
        <v>6.8826402178665145</v>
      </c>
      <c r="R26" s="129">
        <f t="shared" si="6"/>
        <v>7.202588251782795</v>
      </c>
      <c r="S26" s="61">
        <f t="shared" si="7"/>
        <v>8.2477059179075773</v>
      </c>
      <c r="T26" s="61">
        <f t="shared" si="1"/>
        <v>11.318805185046028</v>
      </c>
      <c r="U26" s="61">
        <f t="shared" si="17"/>
        <v>8.0026371970362931</v>
      </c>
      <c r="V26" s="61"/>
      <c r="Y26" s="163" t="s">
        <v>39</v>
      </c>
      <c r="Z26" s="163" t="s">
        <v>158</v>
      </c>
      <c r="AA26" s="163" t="s">
        <v>200</v>
      </c>
      <c r="AB26" s="163">
        <f t="shared" si="22"/>
        <v>5</v>
      </c>
      <c r="AC26" s="166">
        <f t="shared" si="23"/>
        <v>4.0080390467987366</v>
      </c>
      <c r="AD26" s="166">
        <f t="shared" si="24"/>
        <v>11.318805185046028</v>
      </c>
      <c r="AE26" s="163"/>
      <c r="AF26" s="163">
        <f t="shared" si="10"/>
        <v>17</v>
      </c>
      <c r="AG26" s="168" t="str">
        <f t="shared" si="11"/>
        <v>N/A</v>
      </c>
      <c r="AH26" s="166">
        <f t="shared" si="12"/>
        <v>7.7756211180124213</v>
      </c>
      <c r="AI26" s="166">
        <f t="shared" si="13"/>
        <v>7.4548672442770751</v>
      </c>
      <c r="AJ26" s="166">
        <f t="shared" si="14"/>
        <v>8.1089665311704771</v>
      </c>
      <c r="AK26" s="168">
        <f t="shared" si="15"/>
        <v>4</v>
      </c>
    </row>
    <row r="27" spans="1:37" x14ac:dyDescent="0.2">
      <c r="A27" s="62" t="s">
        <v>50</v>
      </c>
      <c r="B27" s="62" t="s">
        <v>161</v>
      </c>
      <c r="C27" s="62" t="s">
        <v>163</v>
      </c>
      <c r="D27" s="62"/>
      <c r="E27" s="62">
        <f t="shared" si="2"/>
        <v>12</v>
      </c>
      <c r="F27" s="128" t="s">
        <v>79</v>
      </c>
      <c r="G27" s="129">
        <v>6.9266205988812111</v>
      </c>
      <c r="H27" s="129">
        <v>6.4887310233081656</v>
      </c>
      <c r="I27" s="129">
        <v>7.3917251038261345</v>
      </c>
      <c r="J27" s="129"/>
      <c r="K27" s="129"/>
      <c r="L27" s="129"/>
      <c r="M27" s="60">
        <f t="shared" si="0"/>
        <v>5</v>
      </c>
      <c r="N27" s="61">
        <f t="shared" si="3"/>
        <v>2.5883379380543845</v>
      </c>
      <c r="O27" s="61">
        <f t="shared" si="16"/>
        <v>4.6030607364897174</v>
      </c>
      <c r="P27" s="129">
        <f t="shared" si="4"/>
        <v>7.0409347202149535</v>
      </c>
      <c r="Q27" s="129">
        <f t="shared" si="5"/>
        <v>6.8826402178665145</v>
      </c>
      <c r="R27" s="129">
        <f t="shared" si="6"/>
        <v>7.202588251782795</v>
      </c>
      <c r="S27" s="61">
        <f t="shared" si="7"/>
        <v>8.2477059179075773</v>
      </c>
      <c r="T27" s="61">
        <f t="shared" si="1"/>
        <v>11.318805185046028</v>
      </c>
      <c r="U27" s="61">
        <f t="shared" si="17"/>
        <v>8.1737015230671428</v>
      </c>
      <c r="V27" s="61"/>
      <c r="Y27" s="163" t="s">
        <v>40</v>
      </c>
      <c r="Z27" s="163" t="s">
        <v>63</v>
      </c>
      <c r="AA27" s="163" t="s">
        <v>200</v>
      </c>
      <c r="AB27" s="163">
        <f t="shared" si="22"/>
        <v>4</v>
      </c>
      <c r="AC27" s="166">
        <f t="shared" si="23"/>
        <v>4.0080390467987366</v>
      </c>
      <c r="AD27" s="166">
        <f t="shared" si="24"/>
        <v>11.318805185046028</v>
      </c>
      <c r="AE27" s="163"/>
      <c r="AF27" s="163">
        <f t="shared" si="10"/>
        <v>13</v>
      </c>
      <c r="AG27" s="168" t="str">
        <f t="shared" si="11"/>
        <v>N/A</v>
      </c>
      <c r="AH27" s="166">
        <f t="shared" si="12"/>
        <v>7.3632042075452615</v>
      </c>
      <c r="AI27" s="166">
        <f t="shared" si="13"/>
        <v>6.8647944550063151</v>
      </c>
      <c r="AJ27" s="166">
        <f t="shared" si="14"/>
        <v>7.8947329815476417</v>
      </c>
      <c r="AK27" s="168">
        <f t="shared" si="15"/>
        <v>5</v>
      </c>
    </row>
    <row r="28" spans="1:37" x14ac:dyDescent="0.2">
      <c r="A28" s="62" t="s">
        <v>51</v>
      </c>
      <c r="B28" s="62" t="s">
        <v>71</v>
      </c>
      <c r="C28" s="62" t="s">
        <v>200</v>
      </c>
      <c r="D28" s="62"/>
      <c r="E28" s="62">
        <f t="shared" si="2"/>
        <v>26</v>
      </c>
      <c r="F28" s="128" t="s">
        <v>79</v>
      </c>
      <c r="G28" s="129">
        <v>11.318805185046028</v>
      </c>
      <c r="H28" s="129">
        <v>10.730878557120208</v>
      </c>
      <c r="I28" s="129">
        <v>11.934636870073671</v>
      </c>
      <c r="J28" s="129"/>
      <c r="K28" s="129"/>
      <c r="L28" s="129"/>
      <c r="M28" s="60">
        <f t="shared" si="0"/>
        <v>4</v>
      </c>
      <c r="N28" s="61">
        <f t="shared" si="3"/>
        <v>2.5883379380543845</v>
      </c>
      <c r="O28" s="61">
        <f t="shared" si="16"/>
        <v>4.6030607364897174</v>
      </c>
      <c r="P28" s="129">
        <f t="shared" si="4"/>
        <v>7.0409347202149535</v>
      </c>
      <c r="Q28" s="129">
        <f t="shared" si="5"/>
        <v>6.8826402178665145</v>
      </c>
      <c r="R28" s="129">
        <f t="shared" si="6"/>
        <v>7.202588251782795</v>
      </c>
      <c r="S28" s="61">
        <f t="shared" si="7"/>
        <v>8.2477059179075773</v>
      </c>
      <c r="T28" s="61">
        <f t="shared" si="1"/>
        <v>11.318805185046028</v>
      </c>
      <c r="U28" s="61">
        <f t="shared" si="17"/>
        <v>8.0026371970362931</v>
      </c>
      <c r="V28" s="61"/>
      <c r="Y28" s="163" t="s">
        <v>42</v>
      </c>
      <c r="Z28" s="163" t="s">
        <v>65</v>
      </c>
      <c r="AA28" s="163" t="s">
        <v>200</v>
      </c>
      <c r="AB28" s="163">
        <f t="shared" si="22"/>
        <v>3</v>
      </c>
      <c r="AC28" s="166">
        <f t="shared" si="23"/>
        <v>4.0080390467987366</v>
      </c>
      <c r="AD28" s="166">
        <f t="shared" si="24"/>
        <v>11.318805185046028</v>
      </c>
      <c r="AE28" s="163"/>
      <c r="AF28" s="163">
        <f t="shared" si="10"/>
        <v>10</v>
      </c>
      <c r="AG28" s="168" t="str">
        <f t="shared" si="11"/>
        <v>N/A</v>
      </c>
      <c r="AH28" s="166">
        <f t="shared" si="12"/>
        <v>5.2306425041186158</v>
      </c>
      <c r="AI28" s="166">
        <f t="shared" si="13"/>
        <v>4.7425324067067214</v>
      </c>
      <c r="AJ28" s="166">
        <f t="shared" si="14"/>
        <v>5.7659489200072827</v>
      </c>
      <c r="AK28" s="168">
        <f t="shared" si="15"/>
        <v>3</v>
      </c>
    </row>
    <row r="29" spans="1:37" x14ac:dyDescent="0.2">
      <c r="A29" s="62" t="s">
        <v>52</v>
      </c>
      <c r="B29" s="62" t="s">
        <v>72</v>
      </c>
      <c r="C29" s="62" t="s">
        <v>201</v>
      </c>
      <c r="D29" s="62"/>
      <c r="E29" s="62">
        <f t="shared" si="2"/>
        <v>1</v>
      </c>
      <c r="F29" s="128" t="s">
        <v>79</v>
      </c>
      <c r="G29" s="129">
        <v>2.5883379380543845</v>
      </c>
      <c r="H29" s="129">
        <v>2.2386914262526356</v>
      </c>
      <c r="I29" s="129">
        <v>2.9909227273972183</v>
      </c>
      <c r="J29" s="129"/>
      <c r="K29" s="129"/>
      <c r="L29" s="129"/>
      <c r="M29" s="60">
        <f t="shared" si="0"/>
        <v>3</v>
      </c>
      <c r="N29" s="61">
        <f t="shared" si="3"/>
        <v>2.5883379380543845</v>
      </c>
      <c r="O29" s="61">
        <f t="shared" si="16"/>
        <v>4.6030607364897174</v>
      </c>
      <c r="P29" s="129">
        <f t="shared" si="4"/>
        <v>7.0409347202149535</v>
      </c>
      <c r="Q29" s="129">
        <f t="shared" si="5"/>
        <v>6.8826402178665145</v>
      </c>
      <c r="R29" s="129">
        <f t="shared" si="6"/>
        <v>7.202588251782795</v>
      </c>
      <c r="S29" s="61">
        <f t="shared" si="7"/>
        <v>8.2477059179075773</v>
      </c>
      <c r="T29" s="61">
        <f t="shared" si="1"/>
        <v>11.318805185046028</v>
      </c>
      <c r="U29" s="61">
        <f t="shared" si="17"/>
        <v>4.6716294458229939</v>
      </c>
      <c r="V29" s="61"/>
      <c r="Y29" s="163" t="s">
        <v>44</v>
      </c>
      <c r="Z29" s="163" t="s">
        <v>66</v>
      </c>
      <c r="AA29" s="163" t="s">
        <v>200</v>
      </c>
      <c r="AB29" s="163">
        <f t="shared" si="22"/>
        <v>2</v>
      </c>
      <c r="AC29" s="166">
        <f t="shared" si="23"/>
        <v>4.0080390467987366</v>
      </c>
      <c r="AD29" s="166">
        <f t="shared" si="24"/>
        <v>11.318805185046028</v>
      </c>
      <c r="AE29" s="163"/>
      <c r="AF29" s="163">
        <f t="shared" si="10"/>
        <v>7</v>
      </c>
      <c r="AG29" s="168" t="str">
        <f t="shared" si="11"/>
        <v>N/A</v>
      </c>
      <c r="AH29" s="166">
        <f t="shared" si="12"/>
        <v>4.6030607364897174</v>
      </c>
      <c r="AI29" s="166">
        <f t="shared" si="13"/>
        <v>4.1744327606087088</v>
      </c>
      <c r="AJ29" s="166">
        <f t="shared" si="14"/>
        <v>5.0733698253852424</v>
      </c>
      <c r="AK29" s="168">
        <f t="shared" si="15"/>
        <v>3</v>
      </c>
    </row>
    <row r="30" spans="1:37" x14ac:dyDescent="0.2">
      <c r="A30" s="62" t="s">
        <v>53</v>
      </c>
      <c r="B30" s="62" t="s">
        <v>162</v>
      </c>
      <c r="C30" s="62" t="s">
        <v>163</v>
      </c>
      <c r="D30" s="62"/>
      <c r="E30" s="62">
        <f t="shared" si="2"/>
        <v>20</v>
      </c>
      <c r="F30" s="128" t="s">
        <v>79</v>
      </c>
      <c r="G30" s="129">
        <v>8.2477059179075773</v>
      </c>
      <c r="H30" s="129">
        <v>7.9694846175431602</v>
      </c>
      <c r="I30" s="129">
        <v>8.5347393943574996</v>
      </c>
      <c r="J30" s="129"/>
      <c r="K30" s="129"/>
      <c r="L30" s="129"/>
      <c r="M30" s="60">
        <f t="shared" si="0"/>
        <v>4</v>
      </c>
      <c r="N30" s="61">
        <f t="shared" si="3"/>
        <v>2.5883379380543845</v>
      </c>
      <c r="O30" s="61">
        <f t="shared" si="16"/>
        <v>4.6030607364897174</v>
      </c>
      <c r="P30" s="129">
        <f>$G$32</f>
        <v>7.0409347202149535</v>
      </c>
      <c r="Q30" s="129">
        <f t="shared" si="5"/>
        <v>6.8826402178665145</v>
      </c>
      <c r="R30" s="129">
        <f t="shared" si="6"/>
        <v>7.202588251782795</v>
      </c>
      <c r="S30" s="61">
        <f t="shared" si="7"/>
        <v>8.2477059179075773</v>
      </c>
      <c r="T30" s="61">
        <f t="shared" si="1"/>
        <v>11.318805185046028</v>
      </c>
      <c r="U30" s="61">
        <f t="shared" si="17"/>
        <v>8.1737015230671428</v>
      </c>
      <c r="V30" s="61"/>
      <c r="Y30" s="163" t="s">
        <v>49</v>
      </c>
      <c r="Z30" s="163" t="s">
        <v>70</v>
      </c>
      <c r="AA30" s="163" t="s">
        <v>200</v>
      </c>
      <c r="AB30" s="163">
        <f t="shared" si="22"/>
        <v>1</v>
      </c>
      <c r="AC30" s="166">
        <f t="shared" si="23"/>
        <v>4.0080390467987366</v>
      </c>
      <c r="AD30" s="166">
        <f t="shared" si="24"/>
        <v>11.318805185046028</v>
      </c>
      <c r="AE30" s="163"/>
      <c r="AF30" s="163">
        <f t="shared" si="10"/>
        <v>5</v>
      </c>
      <c r="AG30" s="168" t="str">
        <f t="shared" si="11"/>
        <v>N/A</v>
      </c>
      <c r="AH30" s="166">
        <f t="shared" si="12"/>
        <v>4.0080390467987366</v>
      </c>
      <c r="AI30" s="166">
        <f t="shared" si="13"/>
        <v>3.7267178243153913</v>
      </c>
      <c r="AJ30" s="166">
        <f t="shared" si="14"/>
        <v>4.3096459150872137</v>
      </c>
      <c r="AK30" s="168">
        <f t="shared" si="15"/>
        <v>3</v>
      </c>
    </row>
    <row r="31" spans="1:37" x14ac:dyDescent="0.2">
      <c r="A31" s="62" t="s">
        <v>54</v>
      </c>
      <c r="B31" s="62" t="s">
        <v>73</v>
      </c>
      <c r="C31" s="62" t="s">
        <v>201</v>
      </c>
      <c r="D31" s="62"/>
      <c r="E31" s="62">
        <f t="shared" si="2"/>
        <v>2</v>
      </c>
      <c r="F31" s="128" t="s">
        <v>79</v>
      </c>
      <c r="G31" s="129">
        <v>3.2491255343956471</v>
      </c>
      <c r="H31" s="129">
        <v>2.9564336772383166</v>
      </c>
      <c r="I31" s="129">
        <v>3.5697284602635118</v>
      </c>
      <c r="J31" s="129"/>
      <c r="K31" s="129"/>
      <c r="L31" s="129"/>
      <c r="M31" s="60">
        <f t="shared" si="0"/>
        <v>3</v>
      </c>
      <c r="N31" s="61">
        <f t="shared" si="3"/>
        <v>2.5883379380543845</v>
      </c>
      <c r="O31" s="61">
        <f t="shared" si="16"/>
        <v>4.6030607364897174</v>
      </c>
      <c r="P31" s="129">
        <f t="shared" si="4"/>
        <v>7.0409347202149535</v>
      </c>
      <c r="Q31" s="129">
        <f t="shared" si="5"/>
        <v>6.8826402178665145</v>
      </c>
      <c r="R31" s="129">
        <f t="shared" si="6"/>
        <v>7.202588251782795</v>
      </c>
      <c r="S31" s="61">
        <f t="shared" si="7"/>
        <v>8.2477059179075773</v>
      </c>
      <c r="T31" s="61">
        <f t="shared" si="1"/>
        <v>11.318805185046028</v>
      </c>
      <c r="U31" s="61">
        <f t="shared" si="17"/>
        <v>4.6716294458229939</v>
      </c>
      <c r="V31" s="61"/>
      <c r="Y31" s="163" t="s">
        <v>51</v>
      </c>
      <c r="Z31" s="163" t="s">
        <v>71</v>
      </c>
      <c r="AA31" s="163" t="s">
        <v>200</v>
      </c>
      <c r="AB31" s="163">
        <f t="shared" si="22"/>
        <v>9</v>
      </c>
      <c r="AC31" s="166">
        <f t="shared" si="23"/>
        <v>4.0080390467987366</v>
      </c>
      <c r="AD31" s="166">
        <f t="shared" si="24"/>
        <v>11.318805185046028</v>
      </c>
      <c r="AE31" s="163"/>
      <c r="AF31" s="163">
        <f t="shared" si="10"/>
        <v>26</v>
      </c>
      <c r="AG31" s="168" t="str">
        <f t="shared" si="11"/>
        <v>N/A</v>
      </c>
      <c r="AH31" s="166">
        <f t="shared" si="12"/>
        <v>11.318805185046028</v>
      </c>
      <c r="AI31" s="166">
        <f t="shared" si="13"/>
        <v>10.730878557120208</v>
      </c>
      <c r="AJ31" s="166">
        <f t="shared" si="14"/>
        <v>11.934636870073671</v>
      </c>
      <c r="AK31" s="168">
        <f t="shared" si="15"/>
        <v>4</v>
      </c>
    </row>
    <row r="32" spans="1:37" x14ac:dyDescent="0.2">
      <c r="A32" s="62"/>
      <c r="B32" s="62" t="s">
        <v>171</v>
      </c>
      <c r="C32" s="62"/>
      <c r="D32" s="62"/>
      <c r="E32" s="62"/>
      <c r="F32" s="128">
        <v>6918</v>
      </c>
      <c r="G32" s="129">
        <v>7.0409347202149535</v>
      </c>
      <c r="H32" s="129">
        <v>6.8826402178665145</v>
      </c>
      <c r="I32" s="129">
        <v>7.202588251782795</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2957</v>
      </c>
      <c r="G44" s="129">
        <v>8.1737015230671428</v>
      </c>
      <c r="H44" s="129">
        <v>7.8958134286505857</v>
      </c>
      <c r="I44" s="129">
        <v>8.4604713348093767</v>
      </c>
      <c r="J44" s="129">
        <f>VLOOKUP($C44,$AA$6:$AD$13,3,FALSE)</f>
        <v>6.9266205988812111</v>
      </c>
      <c r="K44" s="129">
        <f>VLOOKUP($C44,$AA$6:$AD$13,4,FALSE)</f>
        <v>10.441558441558442</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4</v>
      </c>
      <c r="N44" s="61">
        <f>MIN($G$6:$G$31)</f>
        <v>2.5883379380543845</v>
      </c>
      <c r="O44" s="61">
        <f>VLOOKUP(7,$E$5:$G$39,3,FALSE)</f>
        <v>4.6030607364897174</v>
      </c>
      <c r="P44" s="129">
        <f>$G$32</f>
        <v>7.0409347202149535</v>
      </c>
      <c r="Q44" s="129">
        <f>$H$32</f>
        <v>6.8826402178665145</v>
      </c>
      <c r="R44" s="129">
        <f>$I$32</f>
        <v>7.202588251782795</v>
      </c>
      <c r="S44" s="61">
        <f>VLOOKUP(20,$E$5:$G$39,3,FALSE)</f>
        <v>8.2477059179075773</v>
      </c>
      <c r="T44" s="61">
        <f>MAX($G$6:$G$31)</f>
        <v>11.318805185046028</v>
      </c>
    </row>
    <row r="45" spans="1:22" x14ac:dyDescent="0.2">
      <c r="C45" s="62" t="s">
        <v>201</v>
      </c>
      <c r="D45" s="62"/>
      <c r="E45" s="62"/>
      <c r="F45" s="128">
        <v>1412</v>
      </c>
      <c r="G45" s="129">
        <v>4.6716294458229939</v>
      </c>
      <c r="H45" s="129">
        <v>4.439426489580871</v>
      </c>
      <c r="I45" s="129">
        <v>4.9153529936915108</v>
      </c>
      <c r="J45" s="129">
        <f>VLOOKUP($C45,$AA$14:$AD$22,3,FALSE)</f>
        <v>2.5883379380543845</v>
      </c>
      <c r="K45" s="129">
        <f>VLOOKUP($C45,$AA$14:$AD$22,4,FALSE)</f>
        <v>7.6438425607415716</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3</v>
      </c>
      <c r="N45" s="61">
        <f>MIN($G$6:$G$31)</f>
        <v>2.5883379380543845</v>
      </c>
      <c r="O45" s="61">
        <f>VLOOKUP(7,$E$5:$G$39,3,FALSE)</f>
        <v>4.6030607364897174</v>
      </c>
      <c r="P45" s="129">
        <f>$G$32</f>
        <v>7.0409347202149535</v>
      </c>
      <c r="Q45" s="129">
        <f t="shared" ref="Q45:Q46" si="25">$H$32</f>
        <v>6.8826402178665145</v>
      </c>
      <c r="R45" s="129">
        <f t="shared" ref="R45:R46" si="26">$I$32</f>
        <v>7.202588251782795</v>
      </c>
      <c r="S45" s="61">
        <f>VLOOKUP(20,$E$5:$G$39,3,FALSE)</f>
        <v>8.2477059179075773</v>
      </c>
      <c r="T45" s="61">
        <f t="shared" ref="T45:T46" si="27">MAX($G$6:$G$31)</f>
        <v>11.318805185046028</v>
      </c>
    </row>
    <row r="46" spans="1:22" x14ac:dyDescent="0.2">
      <c r="C46" s="62" t="s">
        <v>200</v>
      </c>
      <c r="D46" s="62"/>
      <c r="E46" s="62"/>
      <c r="F46" s="128">
        <v>2549</v>
      </c>
      <c r="G46" s="129">
        <v>8.0026371970362931</v>
      </c>
      <c r="H46" s="129">
        <v>7.7096986845348283</v>
      </c>
      <c r="I46" s="129">
        <v>8.305704535674332</v>
      </c>
      <c r="J46" s="129">
        <f>VLOOKUP($C46,$AA$23:$AD$31,3,FALSE)</f>
        <v>4.0080390467987366</v>
      </c>
      <c r="K46" s="129">
        <f>VLOOKUP($C46,$AA$23:$AD$31,4,FALSE)</f>
        <v>11.318805185046028</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4</v>
      </c>
      <c r="N46" s="61">
        <f>MIN($G$6:$G$31)</f>
        <v>2.5883379380543845</v>
      </c>
      <c r="O46" s="61">
        <f>VLOOKUP(7,$E$5:$G$39,3,FALSE)</f>
        <v>4.6030607364897174</v>
      </c>
      <c r="P46" s="129">
        <f t="shared" ref="P46" si="28">$G$32</f>
        <v>7.0409347202149535</v>
      </c>
      <c r="Q46" s="129">
        <f t="shared" si="25"/>
        <v>6.8826402178665145</v>
      </c>
      <c r="R46" s="129">
        <f t="shared" si="26"/>
        <v>7.202588251782795</v>
      </c>
      <c r="S46" s="61">
        <f>VLOOKUP(20,$E$5:$G$39,3,FALSE)</f>
        <v>8.2477059179075773</v>
      </c>
      <c r="T46" s="61">
        <f t="shared" si="27"/>
        <v>11.318805185046028</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C2:D2" xr:uid="{00000000-0002-0000-4500-000000000000}">
      <formula1>"Better / Worse,Higher / Lower,Significance not measured"</formula1>
    </dataValidation>
    <dataValidation type="list" allowBlank="1" showInputMessage="1" showErrorMessage="1" sqref="K2:N2" xr:uid="{00000000-0002-0000-4500-000001000000}">
      <formula1>"High = Worst,Low = Worst"</formula1>
    </dataValidation>
  </dataValidations>
  <pageMargins left="0.75" right="0.75" top="1" bottom="1" header="0.5" footer="0.5"/>
  <pageSetup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8">
    <tabColor theme="6" tint="0.39997558519241921"/>
  </sheetPr>
  <dimension ref="A1:AK55"/>
  <sheetViews>
    <sheetView workbookViewId="0">
      <selection activeCell="D57" sqref="D57"/>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8" width="7.33203125" style="21" customWidth="1"/>
    <col min="9" max="9" width="6.886718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6" style="21" customWidth="1"/>
    <col min="17" max="17" width="5.5546875" style="21" customWidth="1"/>
    <col min="18" max="18" width="5.6640625" style="21" customWidth="1"/>
    <col min="19" max="19" width="7" style="21" bestFit="1" customWidth="1"/>
    <col min="20" max="20" width="5.5546875" style="21" customWidth="1"/>
    <col min="21" max="21" width="8.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134</v>
      </c>
      <c r="D2" s="444"/>
      <c r="F2" s="137" t="s">
        <v>135</v>
      </c>
      <c r="G2" s="138"/>
      <c r="H2" s="138"/>
      <c r="I2" s="139"/>
      <c r="J2" s="140"/>
      <c r="K2" s="445" t="s">
        <v>138</v>
      </c>
      <c r="L2" s="443"/>
      <c r="M2" s="443"/>
      <c r="N2" s="446"/>
      <c r="P2" s="141" t="s">
        <v>136</v>
      </c>
    </row>
    <row r="3" spans="1:37" x14ac:dyDescent="0.2">
      <c r="X3" s="21" t="s">
        <v>203</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188"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1</v>
      </c>
      <c r="F6" s="128" t="s">
        <v>79</v>
      </c>
      <c r="G6" s="129">
        <v>63.531815335947542</v>
      </c>
      <c r="H6" s="129">
        <v>60.727274995501332</v>
      </c>
      <c r="I6" s="129">
        <v>66.432461164535539</v>
      </c>
      <c r="J6" s="129"/>
      <c r="K6" s="129"/>
      <c r="L6" s="129"/>
      <c r="M6" s="60">
        <f t="shared" ref="M6:M31" si="0">IF($C$2="Significance not measured",6,IF(AND($C$2="Better / Worse",$K$2="Low = Worst",I6&lt;Q6),1,IF(AND($C$2="Better / Worse",$K$2="Low = Worst",H6&gt;R6),2,IF(AND($C$2="Better / Worse",$K$2="High = Worst",I6&lt;Q6),2,IF(AND($C$2="Better / Worse",$K$2="High = Worst",H6&gt;R6),1,IF(AND($C$2="Higher / Lower",I6&lt;Q6),3,IF(AND($C$2="Higher / Lower",H6&gt;R6),4,5)))))))</f>
        <v>2</v>
      </c>
      <c r="N6" s="61">
        <f>MIN($G$6:$G$32)</f>
        <v>63.531815335947542</v>
      </c>
      <c r="O6" s="61">
        <f>VLOOKUP(7,$E$5:$G$39,3,FALSE)</f>
        <v>94.572202239017088</v>
      </c>
      <c r="P6" s="129">
        <f>$G$32</f>
        <v>120.58020743975669</v>
      </c>
      <c r="Q6" s="129">
        <f>$H$32</f>
        <v>119.23997520487846</v>
      </c>
      <c r="R6" s="129">
        <f>$I$32</f>
        <v>121.93174698104775</v>
      </c>
      <c r="S6" s="61">
        <f>VLOOKUP(20,$E$5:$G$39,3,FALSE)</f>
        <v>129.90240213202722</v>
      </c>
      <c r="T6" s="61">
        <f t="shared" ref="T6:T31" si="1">MAX($G$6:$G$31)</f>
        <v>262.32869860958283</v>
      </c>
      <c r="U6" s="61">
        <f>VLOOKUP(C6,$C$43:$I$46,5,FALSE)</f>
        <v>151.03852932646186</v>
      </c>
      <c r="V6" s="61"/>
      <c r="Y6" s="159" t="s">
        <v>33</v>
      </c>
      <c r="Z6" s="159" t="s">
        <v>58</v>
      </c>
      <c r="AA6" s="159" t="s">
        <v>163</v>
      </c>
      <c r="AB6" s="159">
        <f>RANK(AH6,$AH$6:$AH$13,1)</f>
        <v>5</v>
      </c>
      <c r="AC6" s="164">
        <f>MIN($AH$6:$AH$13)</f>
        <v>75.745418365054405</v>
      </c>
      <c r="AD6" s="164">
        <f>MAX($AH$6:$AH$13)</f>
        <v>98.902317330080933</v>
      </c>
      <c r="AE6" s="159"/>
      <c r="AF6" s="159">
        <f>VLOOKUP($Y6,$A$6:$I$31,5,FALSE)</f>
        <v>10</v>
      </c>
      <c r="AG6" s="160" t="str">
        <f>VLOOKUP($Y6,$A$6:$I$31,6,FALSE)</f>
        <v>N/A</v>
      </c>
      <c r="AH6" s="161">
        <f>VLOOKUP($Y6,$A$6:$I$31,7,FALSE)</f>
        <v>96.159656248950952</v>
      </c>
      <c r="AI6" s="161">
        <f>VLOOKUP($Y6,$A$6:$I$31,8,FALSE)</f>
        <v>93.685575569018198</v>
      </c>
      <c r="AJ6" s="161">
        <f>VLOOKUP($Y6,$A$6:$I$31,9,FALSE)</f>
        <v>98.682533733819298</v>
      </c>
      <c r="AK6" s="160">
        <f>VLOOKUP($Y6,$A$6:$M$31,13,FALSE)</f>
        <v>2</v>
      </c>
    </row>
    <row r="7" spans="1:37" x14ac:dyDescent="0.2">
      <c r="A7" s="62" t="s">
        <v>30</v>
      </c>
      <c r="B7" s="62" t="s">
        <v>56</v>
      </c>
      <c r="C7" s="62" t="s">
        <v>200</v>
      </c>
      <c r="D7" s="62"/>
      <c r="E7" s="62">
        <f t="shared" ref="E7:E31" si="2">RANK(G7,$G$6:$G$31,1)</f>
        <v>13</v>
      </c>
      <c r="F7" s="128" t="s">
        <v>79</v>
      </c>
      <c r="G7" s="129">
        <v>98.899407373200944</v>
      </c>
      <c r="H7" s="129">
        <v>95.112348969368583</v>
      </c>
      <c r="I7" s="129">
        <v>102.79858590305008</v>
      </c>
      <c r="J7" s="129"/>
      <c r="K7" s="129"/>
      <c r="L7" s="129"/>
      <c r="M7" s="60">
        <f t="shared" si="0"/>
        <v>2</v>
      </c>
      <c r="N7" s="61">
        <f t="shared" ref="N7:N31" si="3">MIN($G$6:$G$32)</f>
        <v>63.531815335947542</v>
      </c>
      <c r="O7" s="61">
        <f>VLOOKUP(7,$E$5:$G$39,3,FALSE)</f>
        <v>94.572202239017088</v>
      </c>
      <c r="P7" s="129">
        <f t="shared" ref="P7:P31" si="4">$G$32</f>
        <v>120.58020743975669</v>
      </c>
      <c r="Q7" s="129">
        <f t="shared" ref="Q7:Q31" si="5">$H$32</f>
        <v>119.23997520487846</v>
      </c>
      <c r="R7" s="129">
        <f t="shared" ref="R7:R31" si="6">$I$32</f>
        <v>121.93174698104775</v>
      </c>
      <c r="S7" s="61">
        <f t="shared" ref="S7:S31" si="7">VLOOKUP(20,$E$5:$G$39,3,FALSE)</f>
        <v>129.90240213202722</v>
      </c>
      <c r="T7" s="61">
        <f t="shared" si="1"/>
        <v>262.32869860958283</v>
      </c>
      <c r="U7" s="61">
        <f>VLOOKUP(C7,$C$43:$I$46,5,FALSE)</f>
        <v>116.26629886466675</v>
      </c>
      <c r="V7" s="61"/>
      <c r="Y7" s="159" t="s">
        <v>35</v>
      </c>
      <c r="Z7" s="159" t="s">
        <v>60</v>
      </c>
      <c r="AA7" s="159" t="s">
        <v>163</v>
      </c>
      <c r="AB7" s="159">
        <f t="shared" ref="AB7:AB12" si="8">RANK(AH7,$AH$6:$AH$13,1)</f>
        <v>7</v>
      </c>
      <c r="AC7" s="164">
        <f>MIN($AH$6:$AH$13)</f>
        <v>75.745418365054405</v>
      </c>
      <c r="AD7" s="164">
        <f t="shared" ref="AD7:AD13" si="9">MAX($AH$6:$AH$13)</f>
        <v>98.902317330080933</v>
      </c>
      <c r="AE7" s="159"/>
      <c r="AF7" s="159">
        <f t="shared" ref="AF7:AF31" si="10">VLOOKUP($Y7,$A$6:$I$31,5,FALSE)</f>
        <v>12</v>
      </c>
      <c r="AG7" s="160" t="str">
        <f t="shared" ref="AG7:AG31" si="11">VLOOKUP($Y7,$A$6:$I$31,6,FALSE)</f>
        <v>N/A</v>
      </c>
      <c r="AH7" s="161">
        <f t="shared" ref="AH7:AH31" si="12">VLOOKUP($Y7,$A$6:$I$31,7,FALSE)</f>
        <v>98.106249759920104</v>
      </c>
      <c r="AI7" s="161">
        <f t="shared" ref="AI7:AI31" si="13">VLOOKUP($Y7,$A$6:$I$31,8,FALSE)</f>
        <v>95.434067578898848</v>
      </c>
      <c r="AJ7" s="161">
        <f t="shared" ref="AJ7:AJ31" si="14">VLOOKUP($Y7,$A$6:$I$31,9,FALSE)</f>
        <v>100.83428366692078</v>
      </c>
      <c r="AK7" s="160">
        <f t="shared" ref="AK7:AK31" si="15">VLOOKUP($Y7,$A$6:$M$31,13,FALSE)</f>
        <v>2</v>
      </c>
    </row>
    <row r="8" spans="1:37" x14ac:dyDescent="0.2">
      <c r="A8" s="62" t="s">
        <v>31</v>
      </c>
      <c r="B8" s="62" t="s">
        <v>57</v>
      </c>
      <c r="C8" s="62" t="s">
        <v>200</v>
      </c>
      <c r="D8" s="62"/>
      <c r="E8" s="62">
        <f t="shared" si="2"/>
        <v>15</v>
      </c>
      <c r="F8" s="128" t="s">
        <v>79</v>
      </c>
      <c r="G8" s="129">
        <v>114.25563096711771</v>
      </c>
      <c r="H8" s="129">
        <v>111.77012267745759</v>
      </c>
      <c r="I8" s="129">
        <v>116.78247639604466</v>
      </c>
      <c r="J8" s="129"/>
      <c r="K8" s="129"/>
      <c r="L8" s="129"/>
      <c r="M8" s="60">
        <f t="shared" si="0"/>
        <v>2</v>
      </c>
      <c r="N8" s="61">
        <f t="shared" si="3"/>
        <v>63.531815335947542</v>
      </c>
      <c r="O8" s="61">
        <f t="shared" ref="O8:O31" si="16">VLOOKUP(7,$E$5:$G$39,3,FALSE)</f>
        <v>94.572202239017088</v>
      </c>
      <c r="P8" s="129">
        <f t="shared" si="4"/>
        <v>120.58020743975669</v>
      </c>
      <c r="Q8" s="129">
        <f t="shared" si="5"/>
        <v>119.23997520487846</v>
      </c>
      <c r="R8" s="129">
        <f t="shared" si="6"/>
        <v>121.93174698104775</v>
      </c>
      <c r="S8" s="61">
        <f t="shared" si="7"/>
        <v>129.90240213202722</v>
      </c>
      <c r="T8" s="61">
        <f t="shared" si="1"/>
        <v>262.32869860958283</v>
      </c>
      <c r="U8" s="61">
        <f t="shared" ref="U8:U31" si="17">VLOOKUP(C8,$C$43:$I$46,5,FALSE)</f>
        <v>116.26629886466675</v>
      </c>
      <c r="V8" s="61"/>
      <c r="Y8" s="159" t="s">
        <v>41</v>
      </c>
      <c r="Z8" s="159" t="s">
        <v>64</v>
      </c>
      <c r="AA8" s="159" t="s">
        <v>163</v>
      </c>
      <c r="AB8" s="159">
        <f t="shared" si="8"/>
        <v>3</v>
      </c>
      <c r="AC8" s="164">
        <f t="shared" ref="AC8:AC13" si="18">MIN($AH$6:$AH$13)</f>
        <v>75.745418365054405</v>
      </c>
      <c r="AD8" s="164">
        <f>MAX($AH$6:$AH$13)</f>
        <v>98.902317330080933</v>
      </c>
      <c r="AE8" s="159"/>
      <c r="AF8" s="159">
        <f t="shared" si="10"/>
        <v>8</v>
      </c>
      <c r="AG8" s="160" t="str">
        <f t="shared" si="11"/>
        <v>N/A</v>
      </c>
      <c r="AH8" s="161">
        <f t="shared" si="12"/>
        <v>95.726877161664632</v>
      </c>
      <c r="AI8" s="161">
        <f t="shared" si="13"/>
        <v>93.129583734048381</v>
      </c>
      <c r="AJ8" s="161">
        <f t="shared" si="14"/>
        <v>98.378243312628868</v>
      </c>
      <c r="AK8" s="160">
        <f t="shared" si="15"/>
        <v>2</v>
      </c>
    </row>
    <row r="9" spans="1:37" x14ac:dyDescent="0.2">
      <c r="A9" s="62" t="s">
        <v>32</v>
      </c>
      <c r="B9" s="62" t="s">
        <v>156</v>
      </c>
      <c r="C9" s="62" t="s">
        <v>201</v>
      </c>
      <c r="D9" s="62"/>
      <c r="E9" s="62">
        <f t="shared" si="2"/>
        <v>24</v>
      </c>
      <c r="F9" s="128" t="s">
        <v>79</v>
      </c>
      <c r="G9" s="129">
        <v>181.05497003513122</v>
      </c>
      <c r="H9" s="129">
        <v>178.07002180431056</v>
      </c>
      <c r="I9" s="129">
        <v>184.07740751742384</v>
      </c>
      <c r="J9" s="129"/>
      <c r="K9" s="129"/>
      <c r="L9" s="129"/>
      <c r="M9" s="60">
        <f t="shared" si="0"/>
        <v>1</v>
      </c>
      <c r="N9" s="61">
        <f t="shared" si="3"/>
        <v>63.531815335947542</v>
      </c>
      <c r="O9" s="61">
        <f t="shared" si="16"/>
        <v>94.572202239017088</v>
      </c>
      <c r="P9" s="129">
        <f t="shared" si="4"/>
        <v>120.58020743975669</v>
      </c>
      <c r="Q9" s="129">
        <f t="shared" si="5"/>
        <v>119.23997520487846</v>
      </c>
      <c r="R9" s="129">
        <f t="shared" si="6"/>
        <v>121.93174698104775</v>
      </c>
      <c r="S9" s="61">
        <f t="shared" si="7"/>
        <v>129.90240213202722</v>
      </c>
      <c r="T9" s="61">
        <f t="shared" si="1"/>
        <v>262.32869860958283</v>
      </c>
      <c r="U9" s="61">
        <f t="shared" si="17"/>
        <v>151.03852932646186</v>
      </c>
      <c r="V9" s="61"/>
      <c r="X9" s="63"/>
      <c r="Y9" s="159" t="s">
        <v>45</v>
      </c>
      <c r="Z9" s="159" t="s">
        <v>67</v>
      </c>
      <c r="AA9" s="159" t="s">
        <v>163</v>
      </c>
      <c r="AB9" s="159">
        <f t="shared" si="8"/>
        <v>2</v>
      </c>
      <c r="AC9" s="164">
        <f t="shared" si="18"/>
        <v>75.745418365054405</v>
      </c>
      <c r="AD9" s="164">
        <f t="shared" si="9"/>
        <v>98.902317330080933</v>
      </c>
      <c r="AE9" s="159"/>
      <c r="AF9" s="159">
        <f t="shared" si="10"/>
        <v>5</v>
      </c>
      <c r="AG9" s="160" t="str">
        <f t="shared" si="11"/>
        <v>N/A</v>
      </c>
      <c r="AH9" s="161">
        <f t="shared" si="12"/>
        <v>79.132202763273412</v>
      </c>
      <c r="AI9" s="161">
        <f t="shared" si="13"/>
        <v>76.503993533690988</v>
      </c>
      <c r="AJ9" s="161">
        <f t="shared" si="14"/>
        <v>81.827668328206897</v>
      </c>
      <c r="AK9" s="160">
        <f t="shared" si="15"/>
        <v>2</v>
      </c>
    </row>
    <row r="10" spans="1:37" x14ac:dyDescent="0.2">
      <c r="A10" s="62" t="s">
        <v>33</v>
      </c>
      <c r="B10" s="62" t="s">
        <v>58</v>
      </c>
      <c r="C10" s="62" t="s">
        <v>163</v>
      </c>
      <c r="D10" s="62"/>
      <c r="E10" s="62">
        <f t="shared" si="2"/>
        <v>10</v>
      </c>
      <c r="F10" s="128" t="s">
        <v>79</v>
      </c>
      <c r="G10" s="129">
        <v>96.159656248950952</v>
      </c>
      <c r="H10" s="129">
        <v>93.685575569018198</v>
      </c>
      <c r="I10" s="129">
        <v>98.682533733819298</v>
      </c>
      <c r="J10" s="129"/>
      <c r="K10" s="129"/>
      <c r="L10" s="129"/>
      <c r="M10" s="60">
        <f t="shared" si="0"/>
        <v>2</v>
      </c>
      <c r="N10" s="61">
        <f t="shared" si="3"/>
        <v>63.531815335947542</v>
      </c>
      <c r="O10" s="61">
        <f t="shared" si="16"/>
        <v>94.572202239017088</v>
      </c>
      <c r="P10" s="129">
        <f t="shared" si="4"/>
        <v>120.58020743975669</v>
      </c>
      <c r="Q10" s="129">
        <f t="shared" si="5"/>
        <v>119.23997520487846</v>
      </c>
      <c r="R10" s="129">
        <f t="shared" si="6"/>
        <v>121.93174698104775</v>
      </c>
      <c r="S10" s="61">
        <f t="shared" si="7"/>
        <v>129.90240213202722</v>
      </c>
      <c r="T10" s="61">
        <f t="shared" si="1"/>
        <v>262.32869860958283</v>
      </c>
      <c r="U10" s="61">
        <f t="shared" si="17"/>
        <v>93.547694636824801</v>
      </c>
      <c r="V10" s="61"/>
      <c r="Y10" s="159" t="s">
        <v>46</v>
      </c>
      <c r="Z10" s="159" t="s">
        <v>68</v>
      </c>
      <c r="AA10" s="159" t="s">
        <v>163</v>
      </c>
      <c r="AB10" s="159">
        <f t="shared" si="8"/>
        <v>6</v>
      </c>
      <c r="AC10" s="164">
        <f t="shared" si="18"/>
        <v>75.745418365054405</v>
      </c>
      <c r="AD10" s="164">
        <f t="shared" si="9"/>
        <v>98.902317330080933</v>
      </c>
      <c r="AE10" s="159"/>
      <c r="AF10" s="159">
        <f t="shared" si="10"/>
        <v>11</v>
      </c>
      <c r="AG10" s="160" t="str">
        <f t="shared" si="11"/>
        <v>N/A</v>
      </c>
      <c r="AH10" s="161">
        <f t="shared" si="12"/>
        <v>97.572894608242379</v>
      </c>
      <c r="AI10" s="161">
        <f t="shared" si="13"/>
        <v>94.98546614517052</v>
      </c>
      <c r="AJ10" s="161">
        <f t="shared" si="14"/>
        <v>100.2129486059349</v>
      </c>
      <c r="AK10" s="160">
        <f t="shared" si="15"/>
        <v>2</v>
      </c>
    </row>
    <row r="11" spans="1:37" x14ac:dyDescent="0.2">
      <c r="A11" s="62" t="s">
        <v>34</v>
      </c>
      <c r="B11" s="62" t="s">
        <v>59</v>
      </c>
      <c r="C11" s="62" t="s">
        <v>200</v>
      </c>
      <c r="D11" s="62"/>
      <c r="E11" s="62">
        <f t="shared" si="2"/>
        <v>19</v>
      </c>
      <c r="F11" s="128" t="s">
        <v>79</v>
      </c>
      <c r="G11" s="129">
        <v>127.08274075959223</v>
      </c>
      <c r="H11" s="129">
        <v>124.39356953677634</v>
      </c>
      <c r="I11" s="129">
        <v>129.81539941719311</v>
      </c>
      <c r="J11" s="129"/>
      <c r="K11" s="129"/>
      <c r="L11" s="129"/>
      <c r="M11" s="60">
        <f t="shared" si="0"/>
        <v>1</v>
      </c>
      <c r="N11" s="61">
        <f t="shared" si="3"/>
        <v>63.531815335947542</v>
      </c>
      <c r="O11" s="61">
        <f t="shared" si="16"/>
        <v>94.572202239017088</v>
      </c>
      <c r="P11" s="129">
        <f t="shared" si="4"/>
        <v>120.58020743975669</v>
      </c>
      <c r="Q11" s="129">
        <f t="shared" si="5"/>
        <v>119.23997520487846</v>
      </c>
      <c r="R11" s="129">
        <f t="shared" si="6"/>
        <v>121.93174698104775</v>
      </c>
      <c r="S11" s="61">
        <f t="shared" si="7"/>
        <v>129.90240213202722</v>
      </c>
      <c r="T11" s="61">
        <f t="shared" si="1"/>
        <v>262.32869860958283</v>
      </c>
      <c r="U11" s="61">
        <f t="shared" si="17"/>
        <v>116.26629886466675</v>
      </c>
      <c r="V11" s="61"/>
      <c r="Y11" s="159" t="s">
        <v>47</v>
      </c>
      <c r="Z11" s="159" t="s">
        <v>69</v>
      </c>
      <c r="AA11" s="159" t="s">
        <v>163</v>
      </c>
      <c r="AB11" s="159">
        <f t="shared" si="8"/>
        <v>8</v>
      </c>
      <c r="AC11" s="164">
        <f t="shared" si="18"/>
        <v>75.745418365054405</v>
      </c>
      <c r="AD11" s="164">
        <f t="shared" si="9"/>
        <v>98.902317330080933</v>
      </c>
      <c r="AE11" s="159"/>
      <c r="AF11" s="159">
        <f t="shared" si="10"/>
        <v>14</v>
      </c>
      <c r="AG11" s="160" t="str">
        <f t="shared" si="11"/>
        <v>N/A</v>
      </c>
      <c r="AH11" s="161">
        <f t="shared" si="12"/>
        <v>98.902317330080933</v>
      </c>
      <c r="AI11" s="161">
        <f t="shared" si="13"/>
        <v>92.517493378398285</v>
      </c>
      <c r="AJ11" s="161">
        <f t="shared" si="14"/>
        <v>105.61166462321188</v>
      </c>
      <c r="AK11" s="160">
        <f t="shared" si="15"/>
        <v>2</v>
      </c>
    </row>
    <row r="12" spans="1:37" x14ac:dyDescent="0.2">
      <c r="A12" s="62" t="s">
        <v>35</v>
      </c>
      <c r="B12" s="62" t="s">
        <v>60</v>
      </c>
      <c r="C12" s="62" t="s">
        <v>163</v>
      </c>
      <c r="D12" s="62"/>
      <c r="E12" s="62">
        <f t="shared" si="2"/>
        <v>12</v>
      </c>
      <c r="F12" s="128" t="s">
        <v>79</v>
      </c>
      <c r="G12" s="129">
        <v>98.106249759920104</v>
      </c>
      <c r="H12" s="129">
        <v>95.434067578898848</v>
      </c>
      <c r="I12" s="129">
        <v>100.83428366692078</v>
      </c>
      <c r="J12" s="129"/>
      <c r="K12" s="129"/>
      <c r="L12" s="129"/>
      <c r="M12" s="60">
        <f t="shared" si="0"/>
        <v>2</v>
      </c>
      <c r="N12" s="61">
        <f t="shared" si="3"/>
        <v>63.531815335947542</v>
      </c>
      <c r="O12" s="61">
        <f t="shared" si="16"/>
        <v>94.572202239017088</v>
      </c>
      <c r="P12" s="129">
        <f t="shared" si="4"/>
        <v>120.58020743975669</v>
      </c>
      <c r="Q12" s="129">
        <f t="shared" si="5"/>
        <v>119.23997520487846</v>
      </c>
      <c r="R12" s="129">
        <f t="shared" si="6"/>
        <v>121.93174698104775</v>
      </c>
      <c r="S12" s="61">
        <f t="shared" si="7"/>
        <v>129.90240213202722</v>
      </c>
      <c r="T12" s="61">
        <f t="shared" si="1"/>
        <v>262.32869860958283</v>
      </c>
      <c r="U12" s="61">
        <f t="shared" si="17"/>
        <v>93.547694636824801</v>
      </c>
      <c r="V12" s="61"/>
      <c r="Y12" s="159" t="s">
        <v>50</v>
      </c>
      <c r="Z12" s="159" t="s">
        <v>161</v>
      </c>
      <c r="AA12" s="159" t="s">
        <v>163</v>
      </c>
      <c r="AB12" s="159">
        <f t="shared" si="8"/>
        <v>1</v>
      </c>
      <c r="AC12" s="164">
        <f t="shared" si="18"/>
        <v>75.745418365054405</v>
      </c>
      <c r="AD12" s="164">
        <f t="shared" si="9"/>
        <v>98.902317330080933</v>
      </c>
      <c r="AE12" s="159"/>
      <c r="AF12" s="159">
        <f t="shared" si="10"/>
        <v>4</v>
      </c>
      <c r="AG12" s="160" t="str">
        <f t="shared" si="11"/>
        <v>N/A</v>
      </c>
      <c r="AH12" s="161">
        <f t="shared" si="12"/>
        <v>75.745418365054405</v>
      </c>
      <c r="AI12" s="161">
        <f t="shared" si="13"/>
        <v>72.719954232919093</v>
      </c>
      <c r="AJ12" s="161">
        <f t="shared" si="14"/>
        <v>78.864421280438435</v>
      </c>
      <c r="AK12" s="160">
        <f t="shared" si="15"/>
        <v>2</v>
      </c>
    </row>
    <row r="13" spans="1:37" x14ac:dyDescent="0.2">
      <c r="A13" s="62" t="s">
        <v>36</v>
      </c>
      <c r="B13" s="62" t="s">
        <v>61</v>
      </c>
      <c r="C13" s="62" t="s">
        <v>201</v>
      </c>
      <c r="D13" s="62"/>
      <c r="E13" s="62">
        <f t="shared" si="2"/>
        <v>21</v>
      </c>
      <c r="F13" s="128" t="s">
        <v>79</v>
      </c>
      <c r="G13" s="129">
        <v>139.02091635060094</v>
      </c>
      <c r="H13" s="129">
        <v>136.11266643469347</v>
      </c>
      <c r="I13" s="129">
        <v>141.97565266872243</v>
      </c>
      <c r="J13" s="129"/>
      <c r="K13" s="129"/>
      <c r="L13" s="129"/>
      <c r="M13" s="60">
        <f t="shared" si="0"/>
        <v>1</v>
      </c>
      <c r="N13" s="61">
        <f t="shared" si="3"/>
        <v>63.531815335947542</v>
      </c>
      <c r="O13" s="61">
        <f t="shared" si="16"/>
        <v>94.572202239017088</v>
      </c>
      <c r="P13" s="129">
        <f t="shared" si="4"/>
        <v>120.58020743975669</v>
      </c>
      <c r="Q13" s="129">
        <f t="shared" si="5"/>
        <v>119.23997520487846</v>
      </c>
      <c r="R13" s="129">
        <f t="shared" si="6"/>
        <v>121.93174698104775</v>
      </c>
      <c r="S13" s="61">
        <f t="shared" si="7"/>
        <v>129.90240213202722</v>
      </c>
      <c r="T13" s="61">
        <f t="shared" si="1"/>
        <v>262.32869860958283</v>
      </c>
      <c r="U13" s="61">
        <f t="shared" si="17"/>
        <v>151.03852932646186</v>
      </c>
      <c r="V13" s="61"/>
      <c r="Y13" s="159" t="s">
        <v>53</v>
      </c>
      <c r="Z13" s="159" t="s">
        <v>162</v>
      </c>
      <c r="AA13" s="159" t="s">
        <v>163</v>
      </c>
      <c r="AB13" s="159">
        <f>RANK(AH13,$AH$6:$AH$13,1)</f>
        <v>4</v>
      </c>
      <c r="AC13" s="164">
        <f t="shared" si="18"/>
        <v>75.745418365054405</v>
      </c>
      <c r="AD13" s="164">
        <f t="shared" si="9"/>
        <v>98.902317330080933</v>
      </c>
      <c r="AE13" s="159"/>
      <c r="AF13" s="159">
        <f t="shared" si="10"/>
        <v>9</v>
      </c>
      <c r="AG13" s="160" t="str">
        <f t="shared" si="11"/>
        <v>N/A</v>
      </c>
      <c r="AH13" s="161">
        <f t="shared" si="12"/>
        <v>96.042204461678935</v>
      </c>
      <c r="AI13" s="161">
        <f t="shared" si="13"/>
        <v>94.013556652245796</v>
      </c>
      <c r="AJ13" s="161">
        <f t="shared" si="14"/>
        <v>98.103597904459619</v>
      </c>
      <c r="AK13" s="160">
        <f t="shared" si="15"/>
        <v>2</v>
      </c>
    </row>
    <row r="14" spans="1:37" x14ac:dyDescent="0.2">
      <c r="A14" s="62" t="s">
        <v>37</v>
      </c>
      <c r="B14" s="62" t="s">
        <v>157</v>
      </c>
      <c r="C14" s="62" t="s">
        <v>201</v>
      </c>
      <c r="D14" s="62"/>
      <c r="E14" s="62">
        <f t="shared" si="2"/>
        <v>25</v>
      </c>
      <c r="F14" s="128" t="s">
        <v>79</v>
      </c>
      <c r="G14" s="129">
        <v>232.22838268255279</v>
      </c>
      <c r="H14" s="129">
        <v>227.66301714348077</v>
      </c>
      <c r="I14" s="129">
        <v>236.86226684834804</v>
      </c>
      <c r="J14" s="129"/>
      <c r="K14" s="129"/>
      <c r="L14" s="129"/>
      <c r="M14" s="60">
        <f t="shared" si="0"/>
        <v>1</v>
      </c>
      <c r="N14" s="61">
        <f t="shared" si="3"/>
        <v>63.531815335947542</v>
      </c>
      <c r="O14" s="61">
        <f t="shared" si="16"/>
        <v>94.572202239017088</v>
      </c>
      <c r="P14" s="129">
        <f t="shared" si="4"/>
        <v>120.58020743975669</v>
      </c>
      <c r="Q14" s="129">
        <f t="shared" si="5"/>
        <v>119.23997520487846</v>
      </c>
      <c r="R14" s="129">
        <f t="shared" si="6"/>
        <v>121.93174698104775</v>
      </c>
      <c r="S14" s="61">
        <f t="shared" si="7"/>
        <v>129.90240213202722</v>
      </c>
      <c r="T14" s="61">
        <f t="shared" si="1"/>
        <v>262.32869860958283</v>
      </c>
      <c r="U14" s="61">
        <f t="shared" si="17"/>
        <v>151.03852932646186</v>
      </c>
      <c r="V14" s="61"/>
      <c r="Y14" s="162" t="s">
        <v>29</v>
      </c>
      <c r="Z14" s="162" t="s">
        <v>55</v>
      </c>
      <c r="AA14" s="162" t="s">
        <v>201</v>
      </c>
      <c r="AB14" s="162">
        <f>RANK(AH14,$AH$14:$AH$22,1)</f>
        <v>1</v>
      </c>
      <c r="AC14" s="165">
        <f t="shared" ref="AC14:AC22" si="19">MIN($AH$14:$AH$22)</f>
        <v>63.531815335947542</v>
      </c>
      <c r="AD14" s="165">
        <f>MAX($AH$14:$AH$22)</f>
        <v>262.32869860958283</v>
      </c>
      <c r="AE14" s="162"/>
      <c r="AF14" s="162">
        <f t="shared" si="10"/>
        <v>1</v>
      </c>
      <c r="AG14" s="167" t="str">
        <f t="shared" si="11"/>
        <v>N/A</v>
      </c>
      <c r="AH14" s="165">
        <f t="shared" si="12"/>
        <v>63.531815335947542</v>
      </c>
      <c r="AI14" s="165">
        <f t="shared" si="13"/>
        <v>60.727274995501332</v>
      </c>
      <c r="AJ14" s="165">
        <f t="shared" si="14"/>
        <v>66.432461164535539</v>
      </c>
      <c r="AK14" s="167">
        <f t="shared" si="15"/>
        <v>2</v>
      </c>
    </row>
    <row r="15" spans="1:37" x14ac:dyDescent="0.2">
      <c r="A15" s="62" t="s">
        <v>38</v>
      </c>
      <c r="B15" s="62" t="s">
        <v>62</v>
      </c>
      <c r="C15" s="62" t="s">
        <v>201</v>
      </c>
      <c r="D15" s="62"/>
      <c r="E15" s="62">
        <f t="shared" si="2"/>
        <v>2</v>
      </c>
      <c r="F15" s="128" t="s">
        <v>79</v>
      </c>
      <c r="G15" s="129">
        <v>63.611175248210571</v>
      </c>
      <c r="H15" s="129">
        <v>60.58125474773103</v>
      </c>
      <c r="I15" s="129">
        <v>66.753397745682946</v>
      </c>
      <c r="J15" s="129"/>
      <c r="K15" s="129"/>
      <c r="L15" s="129"/>
      <c r="M15" s="60">
        <f t="shared" si="0"/>
        <v>2</v>
      </c>
      <c r="N15" s="61">
        <f t="shared" si="3"/>
        <v>63.531815335947542</v>
      </c>
      <c r="O15" s="61">
        <f t="shared" si="16"/>
        <v>94.572202239017088</v>
      </c>
      <c r="P15" s="129">
        <f t="shared" si="4"/>
        <v>120.58020743975669</v>
      </c>
      <c r="Q15" s="129">
        <f t="shared" si="5"/>
        <v>119.23997520487846</v>
      </c>
      <c r="R15" s="129">
        <f t="shared" si="6"/>
        <v>121.93174698104775</v>
      </c>
      <c r="S15" s="61">
        <f t="shared" si="7"/>
        <v>129.90240213202722</v>
      </c>
      <c r="T15" s="61">
        <f t="shared" si="1"/>
        <v>262.32869860958283</v>
      </c>
      <c r="U15" s="61">
        <f t="shared" si="17"/>
        <v>151.03852932646186</v>
      </c>
      <c r="V15" s="61"/>
      <c r="Y15" s="162" t="s">
        <v>32</v>
      </c>
      <c r="Z15" s="162" t="s">
        <v>156</v>
      </c>
      <c r="AA15" s="162" t="s">
        <v>201</v>
      </c>
      <c r="AB15" s="162">
        <f>RANK(AH15,$AH$14:$AH$22,1)</f>
        <v>7</v>
      </c>
      <c r="AC15" s="165">
        <f t="shared" si="19"/>
        <v>63.531815335947542</v>
      </c>
      <c r="AD15" s="165">
        <f t="shared" ref="AD15:AD22" si="20">MAX($AH$14:$AH$22)</f>
        <v>262.32869860958283</v>
      </c>
      <c r="AE15" s="162"/>
      <c r="AF15" s="162">
        <f t="shared" si="10"/>
        <v>24</v>
      </c>
      <c r="AG15" s="167" t="str">
        <f t="shared" si="11"/>
        <v>N/A</v>
      </c>
      <c r="AH15" s="165">
        <f t="shared" si="12"/>
        <v>181.05497003513122</v>
      </c>
      <c r="AI15" s="165">
        <f t="shared" si="13"/>
        <v>178.07002180431056</v>
      </c>
      <c r="AJ15" s="165">
        <f t="shared" si="14"/>
        <v>184.07740751742384</v>
      </c>
      <c r="AK15" s="167">
        <f t="shared" si="15"/>
        <v>1</v>
      </c>
    </row>
    <row r="16" spans="1:37" x14ac:dyDescent="0.2">
      <c r="A16" s="62" t="s">
        <v>39</v>
      </c>
      <c r="B16" s="62" t="s">
        <v>158</v>
      </c>
      <c r="C16" s="62" t="s">
        <v>200</v>
      </c>
      <c r="D16" s="62"/>
      <c r="E16" s="62">
        <f t="shared" si="2"/>
        <v>16</v>
      </c>
      <c r="F16" s="128" t="s">
        <v>79</v>
      </c>
      <c r="G16" s="129">
        <v>121.98559348575009</v>
      </c>
      <c r="H16" s="129">
        <v>119.29158439131703</v>
      </c>
      <c r="I16" s="129">
        <v>124.72509869436244</v>
      </c>
      <c r="J16" s="129"/>
      <c r="K16" s="129"/>
      <c r="L16" s="129"/>
      <c r="M16" s="60">
        <f t="shared" si="0"/>
        <v>5</v>
      </c>
      <c r="N16" s="61">
        <f t="shared" si="3"/>
        <v>63.531815335947542</v>
      </c>
      <c r="O16" s="61">
        <f t="shared" si="16"/>
        <v>94.572202239017088</v>
      </c>
      <c r="P16" s="129">
        <f t="shared" si="4"/>
        <v>120.58020743975669</v>
      </c>
      <c r="Q16" s="129">
        <f t="shared" si="5"/>
        <v>119.23997520487846</v>
      </c>
      <c r="R16" s="129">
        <f t="shared" si="6"/>
        <v>121.93174698104775</v>
      </c>
      <c r="S16" s="61">
        <f t="shared" si="7"/>
        <v>129.90240213202722</v>
      </c>
      <c r="T16" s="61">
        <f t="shared" si="1"/>
        <v>262.32869860958283</v>
      </c>
      <c r="U16" s="61">
        <f t="shared" si="17"/>
        <v>116.26629886466675</v>
      </c>
      <c r="V16" s="61"/>
      <c r="Y16" s="162" t="s">
        <v>36</v>
      </c>
      <c r="Z16" s="162" t="s">
        <v>61</v>
      </c>
      <c r="AA16" s="162" t="s">
        <v>201</v>
      </c>
      <c r="AB16" s="162">
        <f>RANK(AH16,$AH$14:$AH$22,1)</f>
        <v>5</v>
      </c>
      <c r="AC16" s="165">
        <f t="shared" si="19"/>
        <v>63.531815335947542</v>
      </c>
      <c r="AD16" s="165">
        <f t="shared" si="20"/>
        <v>262.32869860958283</v>
      </c>
      <c r="AE16" s="162"/>
      <c r="AF16" s="162">
        <f t="shared" si="10"/>
        <v>21</v>
      </c>
      <c r="AG16" s="167" t="str">
        <f t="shared" si="11"/>
        <v>N/A</v>
      </c>
      <c r="AH16" s="165">
        <f t="shared" si="12"/>
        <v>139.02091635060094</v>
      </c>
      <c r="AI16" s="165">
        <f t="shared" si="13"/>
        <v>136.11266643469347</v>
      </c>
      <c r="AJ16" s="165">
        <f t="shared" si="14"/>
        <v>141.97565266872243</v>
      </c>
      <c r="AK16" s="167">
        <f t="shared" si="15"/>
        <v>1</v>
      </c>
    </row>
    <row r="17" spans="1:37" x14ac:dyDescent="0.2">
      <c r="A17" s="62" t="s">
        <v>40</v>
      </c>
      <c r="B17" s="62" t="s">
        <v>63</v>
      </c>
      <c r="C17" s="62" t="s">
        <v>200</v>
      </c>
      <c r="D17" s="62"/>
      <c r="E17" s="62">
        <f t="shared" si="2"/>
        <v>7</v>
      </c>
      <c r="F17" s="128" t="s">
        <v>79</v>
      </c>
      <c r="G17" s="129">
        <v>94.572202239017088</v>
      </c>
      <c r="H17" s="129">
        <v>90.77880362203706</v>
      </c>
      <c r="I17" s="129">
        <v>98.483390659713947</v>
      </c>
      <c r="J17" s="129"/>
      <c r="K17" s="129"/>
      <c r="L17" s="129"/>
      <c r="M17" s="60">
        <f t="shared" si="0"/>
        <v>2</v>
      </c>
      <c r="N17" s="61">
        <f t="shared" si="3"/>
        <v>63.531815335947542</v>
      </c>
      <c r="O17" s="61">
        <f t="shared" si="16"/>
        <v>94.572202239017088</v>
      </c>
      <c r="P17" s="129">
        <f t="shared" si="4"/>
        <v>120.58020743975669</v>
      </c>
      <c r="Q17" s="129">
        <f t="shared" si="5"/>
        <v>119.23997520487846</v>
      </c>
      <c r="R17" s="129">
        <f t="shared" si="6"/>
        <v>121.93174698104775</v>
      </c>
      <c r="S17" s="61">
        <f t="shared" si="7"/>
        <v>129.90240213202722</v>
      </c>
      <c r="T17" s="61">
        <f t="shared" si="1"/>
        <v>262.32869860958283</v>
      </c>
      <c r="U17" s="61">
        <f t="shared" si="17"/>
        <v>116.26629886466675</v>
      </c>
      <c r="V17" s="61"/>
      <c r="Y17" s="162" t="s">
        <v>37</v>
      </c>
      <c r="Z17" s="162" t="s">
        <v>157</v>
      </c>
      <c r="AA17" s="162" t="s">
        <v>201</v>
      </c>
      <c r="AB17" s="162">
        <f t="shared" ref="AB17:AB22" si="21">RANK(AH17,$AH$14:$AH$22,1)</f>
        <v>8</v>
      </c>
      <c r="AC17" s="165">
        <f t="shared" si="19"/>
        <v>63.531815335947542</v>
      </c>
      <c r="AD17" s="165">
        <f>MAX($AH$14:$AH$22)</f>
        <v>262.32869860958283</v>
      </c>
      <c r="AE17" s="162"/>
      <c r="AF17" s="162">
        <f t="shared" si="10"/>
        <v>25</v>
      </c>
      <c r="AG17" s="167" t="str">
        <f t="shared" si="11"/>
        <v>N/A</v>
      </c>
      <c r="AH17" s="165">
        <f t="shared" si="12"/>
        <v>232.22838268255279</v>
      </c>
      <c r="AI17" s="165">
        <f t="shared" si="13"/>
        <v>227.66301714348077</v>
      </c>
      <c r="AJ17" s="165">
        <f t="shared" si="14"/>
        <v>236.86226684834804</v>
      </c>
      <c r="AK17" s="167">
        <f t="shared" si="15"/>
        <v>1</v>
      </c>
    </row>
    <row r="18" spans="1:37" x14ac:dyDescent="0.2">
      <c r="A18" s="62" t="s">
        <v>41</v>
      </c>
      <c r="B18" s="62" t="s">
        <v>64</v>
      </c>
      <c r="C18" s="62" t="s">
        <v>163</v>
      </c>
      <c r="D18" s="62"/>
      <c r="E18" s="62">
        <f t="shared" si="2"/>
        <v>8</v>
      </c>
      <c r="F18" s="128" t="s">
        <v>79</v>
      </c>
      <c r="G18" s="129">
        <v>95.726877161664632</v>
      </c>
      <c r="H18" s="129">
        <v>93.129583734048381</v>
      </c>
      <c r="I18" s="129">
        <v>98.378243312628868</v>
      </c>
      <c r="J18" s="129"/>
      <c r="K18" s="129"/>
      <c r="L18" s="129"/>
      <c r="M18" s="60">
        <f t="shared" si="0"/>
        <v>2</v>
      </c>
      <c r="N18" s="61">
        <f t="shared" si="3"/>
        <v>63.531815335947542</v>
      </c>
      <c r="O18" s="61">
        <f t="shared" si="16"/>
        <v>94.572202239017088</v>
      </c>
      <c r="P18" s="129">
        <f t="shared" si="4"/>
        <v>120.58020743975669</v>
      </c>
      <c r="Q18" s="129">
        <f t="shared" si="5"/>
        <v>119.23997520487846</v>
      </c>
      <c r="R18" s="129">
        <f t="shared" si="6"/>
        <v>121.93174698104775</v>
      </c>
      <c r="S18" s="61">
        <f t="shared" si="7"/>
        <v>129.90240213202722</v>
      </c>
      <c r="T18" s="61">
        <f t="shared" si="1"/>
        <v>262.32869860958283</v>
      </c>
      <c r="U18" s="61">
        <f t="shared" si="17"/>
        <v>93.547694636824801</v>
      </c>
      <c r="V18" s="61"/>
      <c r="Y18" s="162" t="s">
        <v>38</v>
      </c>
      <c r="Z18" s="162" t="s">
        <v>62</v>
      </c>
      <c r="AA18" s="162" t="s">
        <v>201</v>
      </c>
      <c r="AB18" s="162">
        <f t="shared" si="21"/>
        <v>2</v>
      </c>
      <c r="AC18" s="165">
        <f t="shared" si="19"/>
        <v>63.531815335947542</v>
      </c>
      <c r="AD18" s="165">
        <f t="shared" si="20"/>
        <v>262.32869860958283</v>
      </c>
      <c r="AE18" s="162"/>
      <c r="AF18" s="162">
        <f t="shared" si="10"/>
        <v>2</v>
      </c>
      <c r="AG18" s="167" t="str">
        <f t="shared" si="11"/>
        <v>N/A</v>
      </c>
      <c r="AH18" s="165">
        <f t="shared" si="12"/>
        <v>63.611175248210571</v>
      </c>
      <c r="AI18" s="165">
        <f t="shared" si="13"/>
        <v>60.58125474773103</v>
      </c>
      <c r="AJ18" s="165">
        <f t="shared" si="14"/>
        <v>66.753397745682946</v>
      </c>
      <c r="AK18" s="167">
        <f t="shared" si="15"/>
        <v>2</v>
      </c>
    </row>
    <row r="19" spans="1:37" x14ac:dyDescent="0.2">
      <c r="A19" s="62" t="s">
        <v>42</v>
      </c>
      <c r="B19" s="62" t="s">
        <v>65</v>
      </c>
      <c r="C19" s="62" t="s">
        <v>200</v>
      </c>
      <c r="D19" s="62"/>
      <c r="E19" s="62">
        <f t="shared" si="2"/>
        <v>17</v>
      </c>
      <c r="F19" s="128" t="s">
        <v>79</v>
      </c>
      <c r="G19" s="129">
        <v>123.32996852918473</v>
      </c>
      <c r="H19" s="129">
        <v>118.08247225511363</v>
      </c>
      <c r="I19" s="129">
        <v>128.75059619956846</v>
      </c>
      <c r="J19" s="129"/>
      <c r="K19" s="129"/>
      <c r="L19" s="129"/>
      <c r="M19" s="60">
        <f t="shared" si="0"/>
        <v>5</v>
      </c>
      <c r="N19" s="61">
        <f t="shared" si="3"/>
        <v>63.531815335947542</v>
      </c>
      <c r="O19" s="61">
        <f t="shared" si="16"/>
        <v>94.572202239017088</v>
      </c>
      <c r="P19" s="129">
        <f t="shared" si="4"/>
        <v>120.58020743975669</v>
      </c>
      <c r="Q19" s="129">
        <f t="shared" si="5"/>
        <v>119.23997520487846</v>
      </c>
      <c r="R19" s="129">
        <f t="shared" si="6"/>
        <v>121.93174698104775</v>
      </c>
      <c r="S19" s="61">
        <f t="shared" si="7"/>
        <v>129.90240213202722</v>
      </c>
      <c r="T19" s="61">
        <f t="shared" si="1"/>
        <v>262.32869860958283</v>
      </c>
      <c r="U19" s="61">
        <f t="shared" si="17"/>
        <v>116.26629886466675</v>
      </c>
      <c r="V19" s="61"/>
      <c r="Y19" s="162" t="s">
        <v>43</v>
      </c>
      <c r="Z19" s="162" t="s">
        <v>159</v>
      </c>
      <c r="AA19" s="162" t="s">
        <v>201</v>
      </c>
      <c r="AB19" s="162">
        <f t="shared" si="21"/>
        <v>4</v>
      </c>
      <c r="AC19" s="165">
        <f t="shared" si="19"/>
        <v>63.531815335947542</v>
      </c>
      <c r="AD19" s="165">
        <f t="shared" si="20"/>
        <v>262.32869860958283</v>
      </c>
      <c r="AE19" s="162"/>
      <c r="AF19" s="162">
        <f t="shared" si="10"/>
        <v>18</v>
      </c>
      <c r="AG19" s="167" t="str">
        <f t="shared" si="11"/>
        <v>N/A</v>
      </c>
      <c r="AH19" s="165">
        <f t="shared" si="12"/>
        <v>123.85299177977443</v>
      </c>
      <c r="AI19" s="165">
        <f t="shared" si="13"/>
        <v>120.50385953159306</v>
      </c>
      <c r="AJ19" s="165">
        <f t="shared" si="14"/>
        <v>127.27161067014339</v>
      </c>
      <c r="AK19" s="167">
        <f t="shared" si="15"/>
        <v>5</v>
      </c>
    </row>
    <row r="20" spans="1:37" x14ac:dyDescent="0.2">
      <c r="A20" s="62" t="s">
        <v>43</v>
      </c>
      <c r="B20" s="62" t="s">
        <v>159</v>
      </c>
      <c r="C20" s="62" t="s">
        <v>201</v>
      </c>
      <c r="D20" s="62"/>
      <c r="E20" s="62">
        <f t="shared" si="2"/>
        <v>18</v>
      </c>
      <c r="F20" s="128" t="s">
        <v>79</v>
      </c>
      <c r="G20" s="129">
        <v>123.85299177977443</v>
      </c>
      <c r="H20" s="129">
        <v>120.50385953159306</v>
      </c>
      <c r="I20" s="129">
        <v>127.27161067014339</v>
      </c>
      <c r="J20" s="129"/>
      <c r="K20" s="129"/>
      <c r="L20" s="129"/>
      <c r="M20" s="60">
        <f t="shared" si="0"/>
        <v>5</v>
      </c>
      <c r="N20" s="61">
        <f t="shared" si="3"/>
        <v>63.531815335947542</v>
      </c>
      <c r="O20" s="61">
        <f t="shared" si="16"/>
        <v>94.572202239017088</v>
      </c>
      <c r="P20" s="129">
        <f t="shared" si="4"/>
        <v>120.58020743975669</v>
      </c>
      <c r="Q20" s="129">
        <f t="shared" si="5"/>
        <v>119.23997520487846</v>
      </c>
      <c r="R20" s="129">
        <f t="shared" si="6"/>
        <v>121.93174698104775</v>
      </c>
      <c r="S20" s="61">
        <f t="shared" si="7"/>
        <v>129.90240213202722</v>
      </c>
      <c r="T20" s="61">
        <f t="shared" si="1"/>
        <v>262.32869860958283</v>
      </c>
      <c r="U20" s="61">
        <f t="shared" si="17"/>
        <v>151.03852932646186</v>
      </c>
      <c r="V20" s="61"/>
      <c r="Y20" s="162" t="s">
        <v>48</v>
      </c>
      <c r="Z20" s="162" t="s">
        <v>160</v>
      </c>
      <c r="AA20" s="162" t="s">
        <v>201</v>
      </c>
      <c r="AB20" s="162">
        <f t="shared" si="21"/>
        <v>3</v>
      </c>
      <c r="AC20" s="165">
        <f t="shared" si="19"/>
        <v>63.531815335947542</v>
      </c>
      <c r="AD20" s="165">
        <f t="shared" si="20"/>
        <v>262.32869860958283</v>
      </c>
      <c r="AE20" s="162"/>
      <c r="AF20" s="162">
        <f t="shared" si="10"/>
        <v>3</v>
      </c>
      <c r="AG20" s="167" t="str">
        <f t="shared" si="11"/>
        <v>N/A</v>
      </c>
      <c r="AH20" s="165">
        <f t="shared" si="12"/>
        <v>73.911481821447111</v>
      </c>
      <c r="AI20" s="165">
        <f t="shared" si="13"/>
        <v>70.583227935484373</v>
      </c>
      <c r="AJ20" s="165">
        <f t="shared" si="14"/>
        <v>77.356148764961162</v>
      </c>
      <c r="AK20" s="167">
        <f t="shared" si="15"/>
        <v>2</v>
      </c>
    </row>
    <row r="21" spans="1:37" x14ac:dyDescent="0.2">
      <c r="A21" s="62" t="s">
        <v>44</v>
      </c>
      <c r="B21" s="62" t="s">
        <v>66</v>
      </c>
      <c r="C21" s="62" t="s">
        <v>200</v>
      </c>
      <c r="D21" s="62"/>
      <c r="E21" s="62">
        <f t="shared" si="2"/>
        <v>6</v>
      </c>
      <c r="F21" s="128" t="s">
        <v>79</v>
      </c>
      <c r="G21" s="129">
        <v>82.482325216025131</v>
      </c>
      <c r="H21" s="129">
        <v>78.584853447062386</v>
      </c>
      <c r="I21" s="129">
        <v>86.523065215767204</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2</v>
      </c>
      <c r="N21" s="61">
        <f t="shared" si="3"/>
        <v>63.531815335947542</v>
      </c>
      <c r="O21" s="61">
        <f t="shared" si="16"/>
        <v>94.572202239017088</v>
      </c>
      <c r="P21" s="129">
        <f t="shared" si="4"/>
        <v>120.58020743975669</v>
      </c>
      <c r="Q21" s="129">
        <f t="shared" si="5"/>
        <v>119.23997520487846</v>
      </c>
      <c r="R21" s="129">
        <f t="shared" si="6"/>
        <v>121.93174698104775</v>
      </c>
      <c r="S21" s="61">
        <f t="shared" si="7"/>
        <v>129.90240213202722</v>
      </c>
      <c r="T21" s="61">
        <f t="shared" si="1"/>
        <v>262.32869860958283</v>
      </c>
      <c r="U21" s="61">
        <f t="shared" si="17"/>
        <v>116.26629886466675</v>
      </c>
      <c r="V21" s="61"/>
      <c r="Y21" s="162" t="s">
        <v>52</v>
      </c>
      <c r="Z21" s="162" t="s">
        <v>72</v>
      </c>
      <c r="AA21" s="162" t="s">
        <v>201</v>
      </c>
      <c r="AB21" s="162">
        <f t="shared" si="21"/>
        <v>9</v>
      </c>
      <c r="AC21" s="165">
        <f t="shared" si="19"/>
        <v>63.531815335947542</v>
      </c>
      <c r="AD21" s="165">
        <f t="shared" si="20"/>
        <v>262.32869860958283</v>
      </c>
      <c r="AE21" s="162"/>
      <c r="AF21" s="162">
        <f t="shared" si="10"/>
        <v>26</v>
      </c>
      <c r="AG21" s="167" t="str">
        <f t="shared" si="11"/>
        <v>N/A</v>
      </c>
      <c r="AH21" s="165">
        <f t="shared" si="12"/>
        <v>262.32869860958283</v>
      </c>
      <c r="AI21" s="165">
        <f t="shared" si="13"/>
        <v>255.27678579238949</v>
      </c>
      <c r="AJ21" s="165">
        <f t="shared" si="14"/>
        <v>269.52604489670057</v>
      </c>
      <c r="AK21" s="167">
        <f t="shared" si="15"/>
        <v>1</v>
      </c>
    </row>
    <row r="22" spans="1:37" x14ac:dyDescent="0.2">
      <c r="A22" s="62" t="s">
        <v>45</v>
      </c>
      <c r="B22" s="62" t="s">
        <v>67</v>
      </c>
      <c r="C22" s="62" t="s">
        <v>163</v>
      </c>
      <c r="D22" s="62"/>
      <c r="E22" s="62">
        <f t="shared" si="2"/>
        <v>5</v>
      </c>
      <c r="F22" s="128" t="s">
        <v>79</v>
      </c>
      <c r="G22" s="129">
        <v>79.132202763273412</v>
      </c>
      <c r="H22" s="129">
        <v>76.503993533690988</v>
      </c>
      <c r="I22" s="129">
        <v>81.827668328206897</v>
      </c>
      <c r="J22" s="129"/>
      <c r="K22" s="129"/>
      <c r="L22" s="129"/>
      <c r="M22" s="60">
        <f t="shared" si="0"/>
        <v>2</v>
      </c>
      <c r="N22" s="61">
        <f t="shared" si="3"/>
        <v>63.531815335947542</v>
      </c>
      <c r="O22" s="61">
        <f t="shared" si="16"/>
        <v>94.572202239017088</v>
      </c>
      <c r="P22" s="129">
        <f t="shared" si="4"/>
        <v>120.58020743975669</v>
      </c>
      <c r="Q22" s="129">
        <f t="shared" si="5"/>
        <v>119.23997520487846</v>
      </c>
      <c r="R22" s="129">
        <f t="shared" si="6"/>
        <v>121.93174698104775</v>
      </c>
      <c r="S22" s="61">
        <f t="shared" si="7"/>
        <v>129.90240213202722</v>
      </c>
      <c r="T22" s="61">
        <f t="shared" si="1"/>
        <v>262.32869860958283</v>
      </c>
      <c r="U22" s="61">
        <f>VLOOKUP(C22,$C$43:$I$46,5,FALSE)</f>
        <v>93.547694636824801</v>
      </c>
      <c r="V22" s="61"/>
      <c r="Y22" s="162" t="s">
        <v>54</v>
      </c>
      <c r="Z22" s="162" t="s">
        <v>73</v>
      </c>
      <c r="AA22" s="162" t="s">
        <v>201</v>
      </c>
      <c r="AB22" s="162">
        <f t="shared" si="21"/>
        <v>6</v>
      </c>
      <c r="AC22" s="165">
        <f t="shared" si="19"/>
        <v>63.531815335947542</v>
      </c>
      <c r="AD22" s="165">
        <f t="shared" si="20"/>
        <v>262.32869860958283</v>
      </c>
      <c r="AE22" s="162"/>
      <c r="AF22" s="162">
        <f t="shared" si="10"/>
        <v>22</v>
      </c>
      <c r="AG22" s="167" t="str">
        <f t="shared" si="11"/>
        <v>N/A</v>
      </c>
      <c r="AH22" s="165">
        <f t="shared" si="12"/>
        <v>142.07266921476608</v>
      </c>
      <c r="AI22" s="165">
        <f t="shared" si="13"/>
        <v>138.46210164673394</v>
      </c>
      <c r="AJ22" s="165">
        <f t="shared" si="14"/>
        <v>145.75356087314958</v>
      </c>
      <c r="AK22" s="167">
        <f t="shared" si="15"/>
        <v>1</v>
      </c>
    </row>
    <row r="23" spans="1:37" x14ac:dyDescent="0.2">
      <c r="A23" s="62" t="s">
        <v>46</v>
      </c>
      <c r="B23" s="62" t="s">
        <v>68</v>
      </c>
      <c r="C23" s="62" t="s">
        <v>163</v>
      </c>
      <c r="D23" s="62"/>
      <c r="E23" s="62">
        <f t="shared" si="2"/>
        <v>11</v>
      </c>
      <c r="F23" s="128" t="s">
        <v>79</v>
      </c>
      <c r="G23" s="129">
        <v>97.572894608242379</v>
      </c>
      <c r="H23" s="129">
        <v>94.98546614517052</v>
      </c>
      <c r="I23" s="129">
        <v>100.2129486059349</v>
      </c>
      <c r="J23" s="129"/>
      <c r="K23" s="129"/>
      <c r="L23" s="129"/>
      <c r="M23" s="60">
        <f t="shared" si="0"/>
        <v>2</v>
      </c>
      <c r="N23" s="61">
        <f t="shared" si="3"/>
        <v>63.531815335947542</v>
      </c>
      <c r="O23" s="61">
        <f t="shared" si="16"/>
        <v>94.572202239017088</v>
      </c>
      <c r="P23" s="129">
        <f t="shared" si="4"/>
        <v>120.58020743975669</v>
      </c>
      <c r="Q23" s="129">
        <f t="shared" si="5"/>
        <v>119.23997520487846</v>
      </c>
      <c r="R23" s="129">
        <f t="shared" si="6"/>
        <v>121.93174698104775</v>
      </c>
      <c r="S23" s="61">
        <f t="shared" si="7"/>
        <v>129.90240213202722</v>
      </c>
      <c r="T23" s="61">
        <f t="shared" si="1"/>
        <v>262.32869860958283</v>
      </c>
      <c r="U23" s="61">
        <f t="shared" si="17"/>
        <v>93.547694636824801</v>
      </c>
      <c r="V23" s="61"/>
      <c r="Y23" s="163" t="s">
        <v>30</v>
      </c>
      <c r="Z23" s="163" t="s">
        <v>56</v>
      </c>
      <c r="AA23" s="163" t="s">
        <v>200</v>
      </c>
      <c r="AB23" s="163">
        <f>RANK(AH23,$AH$23:$AH$31,1)</f>
        <v>3</v>
      </c>
      <c r="AC23" s="166">
        <f>MIN($AH$23:$AH$31)</f>
        <v>82.482325216025131</v>
      </c>
      <c r="AD23" s="166">
        <f>MAX($AH$23:$AH$31)</f>
        <v>166.06117930308045</v>
      </c>
      <c r="AE23" s="163"/>
      <c r="AF23" s="163">
        <f t="shared" si="10"/>
        <v>13</v>
      </c>
      <c r="AG23" s="168" t="str">
        <f t="shared" si="11"/>
        <v>N/A</v>
      </c>
      <c r="AH23" s="166">
        <f t="shared" si="12"/>
        <v>98.899407373200944</v>
      </c>
      <c r="AI23" s="166">
        <f t="shared" si="13"/>
        <v>95.112348969368583</v>
      </c>
      <c r="AJ23" s="166">
        <f t="shared" si="14"/>
        <v>102.79858590305008</v>
      </c>
      <c r="AK23" s="168">
        <f t="shared" si="15"/>
        <v>2</v>
      </c>
    </row>
    <row r="24" spans="1:37" x14ac:dyDescent="0.2">
      <c r="A24" s="62" t="s">
        <v>47</v>
      </c>
      <c r="B24" s="62" t="s">
        <v>69</v>
      </c>
      <c r="C24" s="62" t="s">
        <v>163</v>
      </c>
      <c r="D24" s="62"/>
      <c r="E24" s="62">
        <f t="shared" si="2"/>
        <v>14</v>
      </c>
      <c r="F24" s="128" t="s">
        <v>79</v>
      </c>
      <c r="G24" s="129">
        <v>98.902317330080933</v>
      </c>
      <c r="H24" s="129">
        <v>92.517493378398285</v>
      </c>
      <c r="I24" s="129">
        <v>105.61166462321188</v>
      </c>
      <c r="J24" s="129"/>
      <c r="K24" s="129"/>
      <c r="L24" s="129"/>
      <c r="M24" s="60">
        <f t="shared" si="0"/>
        <v>2</v>
      </c>
      <c r="N24" s="61">
        <f t="shared" si="3"/>
        <v>63.531815335947542</v>
      </c>
      <c r="O24" s="61">
        <f t="shared" si="16"/>
        <v>94.572202239017088</v>
      </c>
      <c r="P24" s="129">
        <f t="shared" si="4"/>
        <v>120.58020743975669</v>
      </c>
      <c r="Q24" s="129">
        <f t="shared" si="5"/>
        <v>119.23997520487846</v>
      </c>
      <c r="R24" s="129">
        <f t="shared" si="6"/>
        <v>121.93174698104775</v>
      </c>
      <c r="S24" s="61">
        <f t="shared" si="7"/>
        <v>129.90240213202722</v>
      </c>
      <c r="T24" s="61">
        <f t="shared" si="1"/>
        <v>262.32869860958283</v>
      </c>
      <c r="U24" s="61">
        <f t="shared" si="17"/>
        <v>93.547694636824801</v>
      </c>
      <c r="V24" s="61"/>
      <c r="Y24" s="163" t="s">
        <v>31</v>
      </c>
      <c r="Z24" s="163" t="s">
        <v>57</v>
      </c>
      <c r="AA24" s="163" t="s">
        <v>200</v>
      </c>
      <c r="AB24" s="163">
        <f t="shared" ref="AB24:AB31" si="22">RANK(AH24,$AH$23:$AH$31,1)</f>
        <v>4</v>
      </c>
      <c r="AC24" s="166">
        <f t="shared" ref="AC24:AC31" si="23">MIN($AH$23:$AH$31)</f>
        <v>82.482325216025131</v>
      </c>
      <c r="AD24" s="166">
        <f t="shared" ref="AD24:AD31" si="24">MAX($AH$23:$AH$31)</f>
        <v>166.06117930308045</v>
      </c>
      <c r="AE24" s="163"/>
      <c r="AF24" s="163">
        <f t="shared" si="10"/>
        <v>15</v>
      </c>
      <c r="AG24" s="168" t="str">
        <f t="shared" si="11"/>
        <v>N/A</v>
      </c>
      <c r="AH24" s="166">
        <f t="shared" si="12"/>
        <v>114.25563096711771</v>
      </c>
      <c r="AI24" s="166">
        <f t="shared" si="13"/>
        <v>111.77012267745759</v>
      </c>
      <c r="AJ24" s="166">
        <f t="shared" si="14"/>
        <v>116.78247639604466</v>
      </c>
      <c r="AK24" s="168">
        <f t="shared" si="15"/>
        <v>2</v>
      </c>
    </row>
    <row r="25" spans="1:37" x14ac:dyDescent="0.2">
      <c r="A25" s="62" t="s">
        <v>48</v>
      </c>
      <c r="B25" s="62" t="s">
        <v>160</v>
      </c>
      <c r="C25" s="62" t="s">
        <v>201</v>
      </c>
      <c r="D25" s="62"/>
      <c r="E25" s="62">
        <f t="shared" si="2"/>
        <v>3</v>
      </c>
      <c r="F25" s="128" t="s">
        <v>79</v>
      </c>
      <c r="G25" s="129">
        <v>73.911481821447111</v>
      </c>
      <c r="H25" s="129">
        <v>70.583227935484373</v>
      </c>
      <c r="I25" s="129">
        <v>77.356148764961162</v>
      </c>
      <c r="J25" s="129"/>
      <c r="K25" s="129"/>
      <c r="L25" s="129"/>
      <c r="M25" s="60">
        <f t="shared" si="0"/>
        <v>2</v>
      </c>
      <c r="N25" s="61">
        <f t="shared" si="3"/>
        <v>63.531815335947542</v>
      </c>
      <c r="O25" s="61">
        <f t="shared" si="16"/>
        <v>94.572202239017088</v>
      </c>
      <c r="P25" s="129">
        <f t="shared" si="4"/>
        <v>120.58020743975669</v>
      </c>
      <c r="Q25" s="129">
        <f t="shared" si="5"/>
        <v>119.23997520487846</v>
      </c>
      <c r="R25" s="129">
        <f t="shared" si="6"/>
        <v>121.93174698104775</v>
      </c>
      <c r="S25" s="61">
        <f t="shared" si="7"/>
        <v>129.90240213202722</v>
      </c>
      <c r="T25" s="61">
        <f t="shared" si="1"/>
        <v>262.32869860958283</v>
      </c>
      <c r="U25" s="61">
        <f t="shared" si="17"/>
        <v>151.03852932646186</v>
      </c>
      <c r="V25" s="61"/>
      <c r="Y25" s="163" t="s">
        <v>34</v>
      </c>
      <c r="Z25" s="163" t="s">
        <v>59</v>
      </c>
      <c r="AA25" s="163" t="s">
        <v>200</v>
      </c>
      <c r="AB25" s="163">
        <f t="shared" si="22"/>
        <v>7</v>
      </c>
      <c r="AC25" s="166">
        <f t="shared" si="23"/>
        <v>82.482325216025131</v>
      </c>
      <c r="AD25" s="166">
        <f t="shared" si="24"/>
        <v>166.06117930308045</v>
      </c>
      <c r="AE25" s="163"/>
      <c r="AF25" s="163">
        <f t="shared" si="10"/>
        <v>19</v>
      </c>
      <c r="AG25" s="168" t="str">
        <f t="shared" si="11"/>
        <v>N/A</v>
      </c>
      <c r="AH25" s="166">
        <f t="shared" si="12"/>
        <v>127.08274075959223</v>
      </c>
      <c r="AI25" s="166">
        <f t="shared" si="13"/>
        <v>124.39356953677634</v>
      </c>
      <c r="AJ25" s="166">
        <f t="shared" si="14"/>
        <v>129.81539941719311</v>
      </c>
      <c r="AK25" s="168">
        <f t="shared" si="15"/>
        <v>1</v>
      </c>
    </row>
    <row r="26" spans="1:37" x14ac:dyDescent="0.2">
      <c r="A26" s="62" t="s">
        <v>49</v>
      </c>
      <c r="B26" s="62" t="s">
        <v>70</v>
      </c>
      <c r="C26" s="62" t="s">
        <v>200</v>
      </c>
      <c r="D26" s="62"/>
      <c r="E26" s="62">
        <f t="shared" si="2"/>
        <v>23</v>
      </c>
      <c r="F26" s="128" t="s">
        <v>79</v>
      </c>
      <c r="G26" s="129">
        <v>166.06117930308045</v>
      </c>
      <c r="H26" s="129">
        <v>162.37846489339049</v>
      </c>
      <c r="I26" s="129">
        <v>169.80635052043789</v>
      </c>
      <c r="J26" s="129"/>
      <c r="K26" s="129"/>
      <c r="L26" s="129"/>
      <c r="M26" s="60">
        <f t="shared" si="0"/>
        <v>1</v>
      </c>
      <c r="N26" s="61">
        <f t="shared" si="3"/>
        <v>63.531815335947542</v>
      </c>
      <c r="O26" s="61">
        <f t="shared" si="16"/>
        <v>94.572202239017088</v>
      </c>
      <c r="P26" s="129">
        <f t="shared" si="4"/>
        <v>120.58020743975669</v>
      </c>
      <c r="Q26" s="129">
        <f t="shared" si="5"/>
        <v>119.23997520487846</v>
      </c>
      <c r="R26" s="129">
        <f t="shared" si="6"/>
        <v>121.93174698104775</v>
      </c>
      <c r="S26" s="61">
        <f t="shared" si="7"/>
        <v>129.90240213202722</v>
      </c>
      <c r="T26" s="61">
        <f t="shared" si="1"/>
        <v>262.32869860958283</v>
      </c>
      <c r="U26" s="61">
        <f t="shared" si="17"/>
        <v>116.26629886466675</v>
      </c>
      <c r="V26" s="61"/>
      <c r="Y26" s="163" t="s">
        <v>39</v>
      </c>
      <c r="Z26" s="163" t="s">
        <v>158</v>
      </c>
      <c r="AA26" s="163" t="s">
        <v>200</v>
      </c>
      <c r="AB26" s="163">
        <f t="shared" si="22"/>
        <v>5</v>
      </c>
      <c r="AC26" s="166">
        <f t="shared" si="23"/>
        <v>82.482325216025131</v>
      </c>
      <c r="AD26" s="166">
        <f t="shared" si="24"/>
        <v>166.06117930308045</v>
      </c>
      <c r="AE26" s="163"/>
      <c r="AF26" s="163">
        <f t="shared" si="10"/>
        <v>16</v>
      </c>
      <c r="AG26" s="168" t="str">
        <f t="shared" si="11"/>
        <v>N/A</v>
      </c>
      <c r="AH26" s="166">
        <f t="shared" si="12"/>
        <v>121.98559348575009</v>
      </c>
      <c r="AI26" s="166">
        <f t="shared" si="13"/>
        <v>119.29158439131703</v>
      </c>
      <c r="AJ26" s="166">
        <f t="shared" si="14"/>
        <v>124.72509869436244</v>
      </c>
      <c r="AK26" s="168">
        <f t="shared" si="15"/>
        <v>5</v>
      </c>
    </row>
    <row r="27" spans="1:37" x14ac:dyDescent="0.2">
      <c r="A27" s="62" t="s">
        <v>50</v>
      </c>
      <c r="B27" s="62" t="s">
        <v>161</v>
      </c>
      <c r="C27" s="62" t="s">
        <v>163</v>
      </c>
      <c r="D27" s="62"/>
      <c r="E27" s="62">
        <f t="shared" si="2"/>
        <v>4</v>
      </c>
      <c r="F27" s="128" t="s">
        <v>79</v>
      </c>
      <c r="G27" s="129">
        <v>75.745418365054405</v>
      </c>
      <c r="H27" s="129">
        <v>72.719954232919093</v>
      </c>
      <c r="I27" s="129">
        <v>78.864421280438435</v>
      </c>
      <c r="J27" s="129"/>
      <c r="K27" s="129"/>
      <c r="L27" s="129"/>
      <c r="M27" s="60">
        <f t="shared" si="0"/>
        <v>2</v>
      </c>
      <c r="N27" s="61">
        <f t="shared" si="3"/>
        <v>63.531815335947542</v>
      </c>
      <c r="O27" s="61">
        <f t="shared" si="16"/>
        <v>94.572202239017088</v>
      </c>
      <c r="P27" s="129">
        <f t="shared" si="4"/>
        <v>120.58020743975669</v>
      </c>
      <c r="Q27" s="129">
        <f t="shared" si="5"/>
        <v>119.23997520487846</v>
      </c>
      <c r="R27" s="129">
        <f t="shared" si="6"/>
        <v>121.93174698104775</v>
      </c>
      <c r="S27" s="61">
        <f t="shared" si="7"/>
        <v>129.90240213202722</v>
      </c>
      <c r="T27" s="61">
        <f t="shared" si="1"/>
        <v>262.32869860958283</v>
      </c>
      <c r="U27" s="61">
        <f t="shared" si="17"/>
        <v>93.547694636824801</v>
      </c>
      <c r="V27" s="61"/>
      <c r="Y27" s="163" t="s">
        <v>40</v>
      </c>
      <c r="Z27" s="163" t="s">
        <v>63</v>
      </c>
      <c r="AA27" s="163" t="s">
        <v>200</v>
      </c>
      <c r="AB27" s="163">
        <f t="shared" si="22"/>
        <v>2</v>
      </c>
      <c r="AC27" s="166">
        <f t="shared" si="23"/>
        <v>82.482325216025131</v>
      </c>
      <c r="AD27" s="166">
        <f t="shared" si="24"/>
        <v>166.06117930308045</v>
      </c>
      <c r="AE27" s="163"/>
      <c r="AF27" s="163">
        <f t="shared" si="10"/>
        <v>7</v>
      </c>
      <c r="AG27" s="168" t="str">
        <f t="shared" si="11"/>
        <v>N/A</v>
      </c>
      <c r="AH27" s="166">
        <f t="shared" si="12"/>
        <v>94.572202239017088</v>
      </c>
      <c r="AI27" s="166">
        <f t="shared" si="13"/>
        <v>90.77880362203706</v>
      </c>
      <c r="AJ27" s="166">
        <f t="shared" si="14"/>
        <v>98.483390659713947</v>
      </c>
      <c r="AK27" s="168">
        <f t="shared" si="15"/>
        <v>2</v>
      </c>
    </row>
    <row r="28" spans="1:37" x14ac:dyDescent="0.2">
      <c r="A28" s="62" t="s">
        <v>51</v>
      </c>
      <c r="B28" s="62" t="s">
        <v>71</v>
      </c>
      <c r="C28" s="62" t="s">
        <v>200</v>
      </c>
      <c r="D28" s="62"/>
      <c r="E28" s="62">
        <f t="shared" si="2"/>
        <v>20</v>
      </c>
      <c r="F28" s="128" t="s">
        <v>79</v>
      </c>
      <c r="G28" s="129">
        <v>129.90240213202722</v>
      </c>
      <c r="H28" s="129">
        <v>125.69732480484008</v>
      </c>
      <c r="I28" s="129">
        <v>134.2123004317109</v>
      </c>
      <c r="J28" s="129"/>
      <c r="K28" s="129"/>
      <c r="L28" s="129"/>
      <c r="M28" s="60">
        <f t="shared" si="0"/>
        <v>1</v>
      </c>
      <c r="N28" s="61">
        <f t="shared" si="3"/>
        <v>63.531815335947542</v>
      </c>
      <c r="O28" s="61">
        <f t="shared" si="16"/>
        <v>94.572202239017088</v>
      </c>
      <c r="P28" s="129">
        <f t="shared" si="4"/>
        <v>120.58020743975669</v>
      </c>
      <c r="Q28" s="129">
        <f t="shared" si="5"/>
        <v>119.23997520487846</v>
      </c>
      <c r="R28" s="129">
        <f t="shared" si="6"/>
        <v>121.93174698104775</v>
      </c>
      <c r="S28" s="61">
        <f t="shared" si="7"/>
        <v>129.90240213202722</v>
      </c>
      <c r="T28" s="61">
        <f t="shared" si="1"/>
        <v>262.32869860958283</v>
      </c>
      <c r="U28" s="61">
        <f t="shared" si="17"/>
        <v>116.26629886466675</v>
      </c>
      <c r="V28" s="61"/>
      <c r="Y28" s="163" t="s">
        <v>42</v>
      </c>
      <c r="Z28" s="163" t="s">
        <v>65</v>
      </c>
      <c r="AA28" s="163" t="s">
        <v>200</v>
      </c>
      <c r="AB28" s="163">
        <f t="shared" si="22"/>
        <v>6</v>
      </c>
      <c r="AC28" s="166">
        <f t="shared" si="23"/>
        <v>82.482325216025131</v>
      </c>
      <c r="AD28" s="166">
        <f t="shared" si="24"/>
        <v>166.06117930308045</v>
      </c>
      <c r="AE28" s="163"/>
      <c r="AF28" s="163">
        <f t="shared" si="10"/>
        <v>17</v>
      </c>
      <c r="AG28" s="168" t="str">
        <f t="shared" si="11"/>
        <v>N/A</v>
      </c>
      <c r="AH28" s="166">
        <f t="shared" si="12"/>
        <v>123.32996852918473</v>
      </c>
      <c r="AI28" s="166">
        <f t="shared" si="13"/>
        <v>118.08247225511363</v>
      </c>
      <c r="AJ28" s="166">
        <f t="shared" si="14"/>
        <v>128.75059619956846</v>
      </c>
      <c r="AK28" s="168">
        <f t="shared" si="15"/>
        <v>5</v>
      </c>
    </row>
    <row r="29" spans="1:37" x14ac:dyDescent="0.2">
      <c r="A29" s="62" t="s">
        <v>52</v>
      </c>
      <c r="B29" s="62" t="s">
        <v>72</v>
      </c>
      <c r="C29" s="62" t="s">
        <v>201</v>
      </c>
      <c r="D29" s="62"/>
      <c r="E29" s="62">
        <f t="shared" si="2"/>
        <v>26</v>
      </c>
      <c r="F29" s="128" t="s">
        <v>79</v>
      </c>
      <c r="G29" s="129">
        <v>262.32869860958283</v>
      </c>
      <c r="H29" s="129">
        <v>255.27678579238949</v>
      </c>
      <c r="I29" s="129">
        <v>269.52604489670057</v>
      </c>
      <c r="J29" s="129"/>
      <c r="K29" s="129"/>
      <c r="L29" s="129"/>
      <c r="M29" s="60">
        <f t="shared" si="0"/>
        <v>1</v>
      </c>
      <c r="N29" s="61">
        <f t="shared" si="3"/>
        <v>63.531815335947542</v>
      </c>
      <c r="O29" s="61">
        <f t="shared" si="16"/>
        <v>94.572202239017088</v>
      </c>
      <c r="P29" s="129">
        <f t="shared" si="4"/>
        <v>120.58020743975669</v>
      </c>
      <c r="Q29" s="129">
        <f t="shared" si="5"/>
        <v>119.23997520487846</v>
      </c>
      <c r="R29" s="129">
        <f t="shared" si="6"/>
        <v>121.93174698104775</v>
      </c>
      <c r="S29" s="61">
        <f t="shared" si="7"/>
        <v>129.90240213202722</v>
      </c>
      <c r="T29" s="61">
        <f t="shared" si="1"/>
        <v>262.32869860958283</v>
      </c>
      <c r="U29" s="61">
        <f t="shared" si="17"/>
        <v>151.03852932646186</v>
      </c>
      <c r="V29" s="61"/>
      <c r="Y29" s="163" t="s">
        <v>44</v>
      </c>
      <c r="Z29" s="163" t="s">
        <v>66</v>
      </c>
      <c r="AA29" s="163" t="s">
        <v>200</v>
      </c>
      <c r="AB29" s="163">
        <f t="shared" si="22"/>
        <v>1</v>
      </c>
      <c r="AC29" s="166">
        <f t="shared" si="23"/>
        <v>82.482325216025131</v>
      </c>
      <c r="AD29" s="166">
        <f t="shared" si="24"/>
        <v>166.06117930308045</v>
      </c>
      <c r="AE29" s="163"/>
      <c r="AF29" s="163">
        <f t="shared" si="10"/>
        <v>6</v>
      </c>
      <c r="AG29" s="168" t="str">
        <f t="shared" si="11"/>
        <v>N/A</v>
      </c>
      <c r="AH29" s="166">
        <f t="shared" si="12"/>
        <v>82.482325216025131</v>
      </c>
      <c r="AI29" s="166">
        <f t="shared" si="13"/>
        <v>78.584853447062386</v>
      </c>
      <c r="AJ29" s="166">
        <f t="shared" si="14"/>
        <v>86.523065215767204</v>
      </c>
      <c r="AK29" s="168">
        <f t="shared" si="15"/>
        <v>2</v>
      </c>
    </row>
    <row r="30" spans="1:37" x14ac:dyDescent="0.2">
      <c r="A30" s="62" t="s">
        <v>53</v>
      </c>
      <c r="B30" s="62" t="s">
        <v>162</v>
      </c>
      <c r="C30" s="62" t="s">
        <v>163</v>
      </c>
      <c r="D30" s="62"/>
      <c r="E30" s="62">
        <f t="shared" si="2"/>
        <v>9</v>
      </c>
      <c r="F30" s="128" t="s">
        <v>79</v>
      </c>
      <c r="G30" s="129">
        <v>96.042204461678935</v>
      </c>
      <c r="H30" s="129">
        <v>94.013556652245796</v>
      </c>
      <c r="I30" s="129">
        <v>98.103597904459619</v>
      </c>
      <c r="J30" s="129"/>
      <c r="K30" s="129"/>
      <c r="L30" s="129"/>
      <c r="M30" s="60">
        <f t="shared" si="0"/>
        <v>2</v>
      </c>
      <c r="N30" s="61">
        <f t="shared" si="3"/>
        <v>63.531815335947542</v>
      </c>
      <c r="O30" s="61">
        <f t="shared" si="16"/>
        <v>94.572202239017088</v>
      </c>
      <c r="P30" s="129">
        <f>$G$32</f>
        <v>120.58020743975669</v>
      </c>
      <c r="Q30" s="129">
        <f t="shared" si="5"/>
        <v>119.23997520487846</v>
      </c>
      <c r="R30" s="129">
        <f t="shared" si="6"/>
        <v>121.93174698104775</v>
      </c>
      <c r="S30" s="61">
        <f t="shared" si="7"/>
        <v>129.90240213202722</v>
      </c>
      <c r="T30" s="61">
        <f t="shared" si="1"/>
        <v>262.32869860958283</v>
      </c>
      <c r="U30" s="61">
        <f t="shared" si="17"/>
        <v>93.547694636824801</v>
      </c>
      <c r="V30" s="61"/>
      <c r="Y30" s="163" t="s">
        <v>49</v>
      </c>
      <c r="Z30" s="163" t="s">
        <v>70</v>
      </c>
      <c r="AA30" s="163" t="s">
        <v>200</v>
      </c>
      <c r="AB30" s="163">
        <f t="shared" si="22"/>
        <v>9</v>
      </c>
      <c r="AC30" s="166">
        <f t="shared" si="23"/>
        <v>82.482325216025131</v>
      </c>
      <c r="AD30" s="166">
        <f t="shared" si="24"/>
        <v>166.06117930308045</v>
      </c>
      <c r="AE30" s="163"/>
      <c r="AF30" s="163">
        <f t="shared" si="10"/>
        <v>23</v>
      </c>
      <c r="AG30" s="168" t="str">
        <f t="shared" si="11"/>
        <v>N/A</v>
      </c>
      <c r="AH30" s="166">
        <f t="shared" si="12"/>
        <v>166.06117930308045</v>
      </c>
      <c r="AI30" s="166">
        <f t="shared" si="13"/>
        <v>162.37846489339049</v>
      </c>
      <c r="AJ30" s="166">
        <f t="shared" si="14"/>
        <v>169.80635052043789</v>
      </c>
      <c r="AK30" s="168">
        <f t="shared" si="15"/>
        <v>1</v>
      </c>
    </row>
    <row r="31" spans="1:37" x14ac:dyDescent="0.2">
      <c r="A31" s="62" t="s">
        <v>54</v>
      </c>
      <c r="B31" s="62" t="s">
        <v>73</v>
      </c>
      <c r="C31" s="62" t="s">
        <v>201</v>
      </c>
      <c r="D31" s="62"/>
      <c r="E31" s="62">
        <f t="shared" si="2"/>
        <v>22</v>
      </c>
      <c r="F31" s="128" t="s">
        <v>79</v>
      </c>
      <c r="G31" s="129">
        <v>142.07266921476608</v>
      </c>
      <c r="H31" s="129">
        <v>138.46210164673394</v>
      </c>
      <c r="I31" s="129">
        <v>145.75356087314958</v>
      </c>
      <c r="J31" s="129"/>
      <c r="K31" s="129"/>
      <c r="L31" s="129"/>
      <c r="M31" s="60">
        <f t="shared" si="0"/>
        <v>1</v>
      </c>
      <c r="N31" s="61">
        <f t="shared" si="3"/>
        <v>63.531815335947542</v>
      </c>
      <c r="O31" s="61">
        <f t="shared" si="16"/>
        <v>94.572202239017088</v>
      </c>
      <c r="P31" s="129">
        <f t="shared" si="4"/>
        <v>120.58020743975669</v>
      </c>
      <c r="Q31" s="129">
        <f t="shared" si="5"/>
        <v>119.23997520487846</v>
      </c>
      <c r="R31" s="129">
        <f t="shared" si="6"/>
        <v>121.93174698104775</v>
      </c>
      <c r="S31" s="61">
        <f t="shared" si="7"/>
        <v>129.90240213202722</v>
      </c>
      <c r="T31" s="61">
        <f t="shared" si="1"/>
        <v>262.32869860958283</v>
      </c>
      <c r="U31" s="61">
        <f t="shared" si="17"/>
        <v>151.03852932646186</v>
      </c>
      <c r="V31" s="61"/>
      <c r="Y31" s="163" t="s">
        <v>51</v>
      </c>
      <c r="Z31" s="163" t="s">
        <v>71</v>
      </c>
      <c r="AA31" s="163" t="s">
        <v>200</v>
      </c>
      <c r="AB31" s="163">
        <f t="shared" si="22"/>
        <v>8</v>
      </c>
      <c r="AC31" s="166">
        <f t="shared" si="23"/>
        <v>82.482325216025131</v>
      </c>
      <c r="AD31" s="166">
        <f t="shared" si="24"/>
        <v>166.06117930308045</v>
      </c>
      <c r="AE31" s="163"/>
      <c r="AF31" s="163">
        <f t="shared" si="10"/>
        <v>20</v>
      </c>
      <c r="AG31" s="168" t="str">
        <f t="shared" si="11"/>
        <v>N/A</v>
      </c>
      <c r="AH31" s="166">
        <f t="shared" si="12"/>
        <v>129.90240213202722</v>
      </c>
      <c r="AI31" s="166">
        <f t="shared" si="13"/>
        <v>125.69732480484008</v>
      </c>
      <c r="AJ31" s="166">
        <f t="shared" si="14"/>
        <v>134.2123004317109</v>
      </c>
      <c r="AK31" s="168">
        <f t="shared" si="15"/>
        <v>1</v>
      </c>
    </row>
    <row r="32" spans="1:37" x14ac:dyDescent="0.2">
      <c r="A32" s="62"/>
      <c r="B32" s="62" t="s">
        <v>171</v>
      </c>
      <c r="C32" s="62"/>
      <c r="D32" s="62"/>
      <c r="E32" s="62"/>
      <c r="F32" s="128">
        <v>30924</v>
      </c>
      <c r="G32" s="129">
        <v>120.58020743975669</v>
      </c>
      <c r="H32" s="129">
        <v>119.23997520487846</v>
      </c>
      <c r="I32" s="129">
        <v>121.93174698104775</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8280</v>
      </c>
      <c r="G44" s="129">
        <v>93.547694636824801</v>
      </c>
      <c r="H44" s="129">
        <v>91.54345684658901</v>
      </c>
      <c r="I44" s="129">
        <v>95.58475377043986</v>
      </c>
      <c r="J44" s="129">
        <f>VLOOKUP($C44,$AA$6:$AD$13,3,FALSE)</f>
        <v>75.745418365054405</v>
      </c>
      <c r="K44" s="129">
        <f>VLOOKUP($C44,$AA$6:$AD$13,4,FALSE)</f>
        <v>98.902317330080933</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2</v>
      </c>
      <c r="N44" s="61">
        <f>MIN($G$6:$G$31)</f>
        <v>63.531815335947542</v>
      </c>
      <c r="O44" s="61">
        <f>VLOOKUP(7,$E$5:$G$39,3,FALSE)</f>
        <v>94.572202239017088</v>
      </c>
      <c r="P44" s="129">
        <f>$G$32</f>
        <v>120.58020743975669</v>
      </c>
      <c r="Q44" s="129">
        <f>$H$32</f>
        <v>119.23997520487846</v>
      </c>
      <c r="R44" s="129">
        <f>$I$32</f>
        <v>121.93174698104775</v>
      </c>
      <c r="S44" s="61">
        <f>VLOOKUP(20,$E$5:$G$39,3,FALSE)</f>
        <v>129.90240213202722</v>
      </c>
      <c r="T44" s="61">
        <f>MAX($G$6:$G$31)</f>
        <v>262.32869860958283</v>
      </c>
    </row>
    <row r="45" spans="1:22" x14ac:dyDescent="0.2">
      <c r="C45" s="62" t="s">
        <v>201</v>
      </c>
      <c r="D45" s="62"/>
      <c r="E45" s="62"/>
      <c r="F45" s="128">
        <v>13540</v>
      </c>
      <c r="G45" s="129">
        <v>151.03852932646186</v>
      </c>
      <c r="H45" s="129">
        <v>148.50505467569386</v>
      </c>
      <c r="I45" s="129">
        <v>153.60438369416948</v>
      </c>
      <c r="J45" s="129">
        <f>VLOOKUP($C45,$AA$14:$AD$22,3,FALSE)</f>
        <v>63.531815335947542</v>
      </c>
      <c r="K45" s="129">
        <f>VLOOKUP($C45,$AA$14:$AD$22,4,FALSE)</f>
        <v>262.32869860958283</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1</v>
      </c>
      <c r="N45" s="61">
        <f>MIN($G$6:$G$31)</f>
        <v>63.531815335947542</v>
      </c>
      <c r="O45" s="61">
        <f>VLOOKUP(7,$E$5:$G$39,3,FALSE)</f>
        <v>94.572202239017088</v>
      </c>
      <c r="P45" s="129">
        <f>$G$32</f>
        <v>120.58020743975669</v>
      </c>
      <c r="Q45" s="129">
        <f t="shared" ref="Q45:Q46" si="25">$H$32</f>
        <v>119.23997520487846</v>
      </c>
      <c r="R45" s="129">
        <f t="shared" ref="R45:R46" si="26">$I$32</f>
        <v>121.93174698104775</v>
      </c>
      <c r="S45" s="61">
        <f>VLOOKUP(20,$E$5:$G$39,3,FALSE)</f>
        <v>129.90240213202722</v>
      </c>
      <c r="T45" s="61">
        <f t="shared" ref="T45:T46" si="27">MAX($G$6:$G$31)</f>
        <v>262.32869860958283</v>
      </c>
    </row>
    <row r="46" spans="1:22" x14ac:dyDescent="0.2">
      <c r="C46" s="62" t="s">
        <v>200</v>
      </c>
      <c r="D46" s="62"/>
      <c r="E46" s="62"/>
      <c r="F46" s="128">
        <v>9104</v>
      </c>
      <c r="G46" s="129">
        <v>116.26629886466675</v>
      </c>
      <c r="H46" s="129">
        <v>113.89013253955032</v>
      </c>
      <c r="I46" s="129">
        <v>118.67955895778805</v>
      </c>
      <c r="J46" s="129">
        <f>VLOOKUP($C46,$AA$23:$AD$31,3,FALSE)</f>
        <v>82.482325216025131</v>
      </c>
      <c r="K46" s="129">
        <f>VLOOKUP($C46,$AA$23:$AD$31,4,FALSE)</f>
        <v>166.06117930308045</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2</v>
      </c>
      <c r="N46" s="61">
        <f>MIN($G$6:$G$31)</f>
        <v>63.531815335947542</v>
      </c>
      <c r="O46" s="61">
        <f>VLOOKUP(7,$E$5:$G$39,3,FALSE)</f>
        <v>94.572202239017088</v>
      </c>
      <c r="P46" s="129">
        <f t="shared" ref="P46" si="28">$G$32</f>
        <v>120.58020743975669</v>
      </c>
      <c r="Q46" s="129">
        <f t="shared" si="25"/>
        <v>119.23997520487846</v>
      </c>
      <c r="R46" s="129">
        <f t="shared" si="26"/>
        <v>121.93174698104775</v>
      </c>
      <c r="S46" s="61">
        <f>VLOOKUP(20,$E$5:$G$39,3,FALSE)</f>
        <v>129.90240213202722</v>
      </c>
      <c r="T46" s="61">
        <f t="shared" si="27"/>
        <v>262.32869860958283</v>
      </c>
    </row>
    <row r="48" spans="1:22" x14ac:dyDescent="0.2">
      <c r="D48" s="187"/>
      <c r="E48" s="187"/>
      <c r="F48" s="187"/>
      <c r="G48" s="187"/>
      <c r="H48" s="187"/>
      <c r="I48" s="187"/>
      <c r="J48" s="187"/>
      <c r="K48" s="187"/>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C2:D2" xr:uid="{00000000-0002-0000-4600-000000000000}">
      <formula1>"Better / Worse,Higher / Lower,Significance not measured"</formula1>
    </dataValidation>
    <dataValidation type="list" allowBlank="1" showInputMessage="1" showErrorMessage="1" sqref="K2:N2" xr:uid="{00000000-0002-0000-4600-000001000000}">
      <formula1>"High = Worst,Low = Worst"</formula1>
    </dataValidation>
  </dataValidations>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tabColor theme="6" tint="0.39997558519241921"/>
  </sheetPr>
  <dimension ref="A1:AK55"/>
  <sheetViews>
    <sheetView workbookViewId="0">
      <selection activeCell="L85" sqref="L85"/>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9" width="5.109375" style="21" customWidth="1"/>
    <col min="10" max="10" width="9.109375" style="21" customWidth="1"/>
    <col min="11" max="12" width="6.109375" style="21" customWidth="1"/>
    <col min="13" max="13" width="4.88671875" style="21" bestFit="1" customWidth="1"/>
    <col min="14" max="14" width="4" style="21" bestFit="1" customWidth="1"/>
    <col min="15" max="15" width="7" style="21" bestFit="1" customWidth="1"/>
    <col min="16" max="16" width="5" style="21" customWidth="1"/>
    <col min="17" max="18" width="4.6640625" style="21" customWidth="1"/>
    <col min="19" max="19" width="7" style="21" bestFit="1" customWidth="1"/>
    <col min="20" max="20" width="4.88671875" style="21" bestFit="1" customWidth="1"/>
    <col min="21" max="21" width="7.55468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133</v>
      </c>
      <c r="D2" s="444"/>
      <c r="F2" s="137" t="s">
        <v>135</v>
      </c>
      <c r="G2" s="138"/>
      <c r="H2" s="138"/>
      <c r="I2" s="139"/>
      <c r="J2" s="140"/>
      <c r="K2" s="445" t="s">
        <v>137</v>
      </c>
      <c r="L2" s="443"/>
      <c r="M2" s="443"/>
      <c r="N2" s="446"/>
      <c r="P2" s="141" t="s">
        <v>136</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64"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20</v>
      </c>
      <c r="F6" s="128">
        <v>2049</v>
      </c>
      <c r="G6" s="254">
        <v>21.575234284510898</v>
      </c>
      <c r="H6" s="254">
        <v>20.759521838406279</v>
      </c>
      <c r="I6" s="254">
        <v>22.413932603489453</v>
      </c>
      <c r="J6" s="129"/>
      <c r="K6" s="129"/>
      <c r="L6" s="129"/>
      <c r="M6" s="60">
        <f t="shared" ref="M6:M11" si="0">IF($C$2="Significance not measured",6,IF(AND($C$2="Better / Worse",$K$2="Low = Worst",I6&lt;Q6),1,IF(AND($C$2="Better / Worse",$K$2="Low = Worst",H6&gt;R6),2,IF(AND($C$2="Better / Worse",$K$2="High = Worst",I6&lt;Q6),2,IF(AND($C$2="Better / Worse",$K$2="High = Worst",H6&gt;R6),1,IF(AND($C$2="Higher / Lower",I6&lt;Q6),3,IF(AND($C$2="Higher / Lower",H6&gt;R6),4,5)))))))</f>
        <v>4</v>
      </c>
      <c r="N6" s="61">
        <f>MIN($G$6:$G$32)</f>
        <v>3.9735446958164928</v>
      </c>
      <c r="O6" s="61">
        <f>VLOOKUP(7,$E$5:$G$39,3,FALSE)</f>
        <v>17.461783112752642</v>
      </c>
      <c r="P6" s="129">
        <f>$G$32</f>
        <v>18.814984603913228</v>
      </c>
      <c r="Q6" s="129">
        <f>$H$32</f>
        <v>18.673075278409023</v>
      </c>
      <c r="R6" s="129">
        <f>$I$32</f>
        <v>18.957720998664552</v>
      </c>
      <c r="S6" s="61">
        <f>VLOOKUP(20,$E$5:$G$39,3,FALSE)</f>
        <v>21.575234284510898</v>
      </c>
      <c r="T6" s="61">
        <f t="shared" ref="T6:T14" si="1">MAX($G$6:$G$31)</f>
        <v>25.920931222939885</v>
      </c>
      <c r="U6" s="61">
        <f>VLOOKUP(C6,$C$43:$I$46,5,FALSE)</f>
        <v>14.312414022105214</v>
      </c>
      <c r="V6" s="61"/>
      <c r="Y6" s="159" t="s">
        <v>33</v>
      </c>
      <c r="Z6" s="159" t="s">
        <v>58</v>
      </c>
      <c r="AA6" s="159" t="s">
        <v>163</v>
      </c>
      <c r="AB6" s="159">
        <f t="shared" ref="AB6:AB11" si="2">RANK(AH6,$AH$6:$AH$13,1)</f>
        <v>8</v>
      </c>
      <c r="AC6" s="164">
        <f>MIN($AH$6:$AH$13)</f>
        <v>18.341829373857845</v>
      </c>
      <c r="AD6" s="164">
        <f>MAX($AH$6:$AH$13)</f>
        <v>25.920931222939885</v>
      </c>
      <c r="AE6" s="159"/>
      <c r="AF6" s="159">
        <f>VLOOKUP($Y6,$A$6:$I$31,5,FALSE)</f>
        <v>26</v>
      </c>
      <c r="AG6" s="160">
        <f>VLOOKUP($Y6,$A$6:$I$31,6,FALSE)</f>
        <v>3652</v>
      </c>
      <c r="AH6" s="161">
        <f>VLOOKUP($Y6,$A$6:$I$31,7,FALSE)</f>
        <v>25.920931222939885</v>
      </c>
      <c r="AI6" s="161">
        <f>VLOOKUP($Y6,$A$6:$I$31,8,FALSE)</f>
        <v>25.20399274917456</v>
      </c>
      <c r="AJ6" s="161">
        <f>VLOOKUP($Y6,$A$6:$I$31,9,FALSE)</f>
        <v>26.650996751517823</v>
      </c>
      <c r="AK6" s="160">
        <f>VLOOKUP($Y6,$A$6:$M$31,13,FALSE)</f>
        <v>4</v>
      </c>
    </row>
    <row r="7" spans="1:37" x14ac:dyDescent="0.2">
      <c r="A7" s="62" t="s">
        <v>30</v>
      </c>
      <c r="B7" s="62" t="s">
        <v>56</v>
      </c>
      <c r="C7" s="62" t="s">
        <v>200</v>
      </c>
      <c r="D7" s="62"/>
      <c r="E7" s="62">
        <f t="shared" ref="E7:E31" si="3">RANK(G7,$G$6:$G$31,1)</f>
        <v>19</v>
      </c>
      <c r="F7" s="128">
        <v>2491</v>
      </c>
      <c r="G7" s="254">
        <v>21.574571280097004</v>
      </c>
      <c r="H7" s="254">
        <v>20.83379608873933</v>
      </c>
      <c r="I7" s="254">
        <v>22.334254975831541</v>
      </c>
      <c r="J7" s="129"/>
      <c r="K7" s="129"/>
      <c r="L7" s="129"/>
      <c r="M7" s="60">
        <f t="shared" si="0"/>
        <v>4</v>
      </c>
      <c r="N7" s="61">
        <f t="shared" ref="N7:N31" si="4">MIN($G$6:$G$32)</f>
        <v>3.9735446958164928</v>
      </c>
      <c r="O7" s="61">
        <f>VLOOKUP(7,$E$5:$G$39,3,FALSE)</f>
        <v>17.461783112752642</v>
      </c>
      <c r="P7" s="129">
        <f t="shared" ref="P7:P31" si="5">$G$32</f>
        <v>18.814984603913228</v>
      </c>
      <c r="Q7" s="129">
        <f t="shared" ref="Q7:Q31" si="6">$H$32</f>
        <v>18.673075278409023</v>
      </c>
      <c r="R7" s="129">
        <f t="shared" ref="R7:R31" si="7">$I$32</f>
        <v>18.957720998664552</v>
      </c>
      <c r="S7" s="61">
        <f t="shared" ref="S7:S31" si="8">VLOOKUP(20,$E$5:$G$39,3,FALSE)</f>
        <v>21.575234284510898</v>
      </c>
      <c r="T7" s="61">
        <f t="shared" si="1"/>
        <v>25.920931222939885</v>
      </c>
      <c r="U7" s="61">
        <f t="shared" ref="U7:U31" si="9">VLOOKUP(C7,$C$43:$I$46,5,FALSE)</f>
        <v>20.895867005310549</v>
      </c>
      <c r="V7" s="61"/>
      <c r="Y7" s="159" t="s">
        <v>35</v>
      </c>
      <c r="Z7" s="159" t="s">
        <v>60</v>
      </c>
      <c r="AA7" s="159" t="s">
        <v>163</v>
      </c>
      <c r="AB7" s="159">
        <f t="shared" si="2"/>
        <v>2</v>
      </c>
      <c r="AC7" s="164">
        <f>MIN($AH$6:$AH$13)</f>
        <v>18.341829373857845</v>
      </c>
      <c r="AD7" s="164">
        <f t="shared" ref="AD7:AD13" si="10">MAX($AH$6:$AH$13)</f>
        <v>25.920931222939885</v>
      </c>
      <c r="AE7" s="159"/>
      <c r="AF7" s="159">
        <f t="shared" ref="AF7:AF31" si="11">VLOOKUP($Y7,$A$6:$I$31,5,FALSE)</f>
        <v>13</v>
      </c>
      <c r="AG7" s="160">
        <f t="shared" ref="AG7:AG31" si="12">VLOOKUP($Y7,$A$6:$I$31,6,FALSE)</f>
        <v>2933</v>
      </c>
      <c r="AH7" s="161">
        <f t="shared" ref="AH7:AH31" si="13">VLOOKUP($Y7,$A$6:$I$31,7,FALSE)</f>
        <v>20.146998214040387</v>
      </c>
      <c r="AI7" s="161">
        <f t="shared" ref="AI7:AI31" si="14">VLOOKUP($Y7,$A$6:$I$31,8,FALSE)</f>
        <v>19.503361452807539</v>
      </c>
      <c r="AJ7" s="161">
        <f t="shared" ref="AJ7:AJ31" si="15">VLOOKUP($Y7,$A$6:$I$31,9,FALSE)</f>
        <v>20.806385603702918</v>
      </c>
      <c r="AK7" s="160">
        <f t="shared" ref="AK7:AK31" si="16">VLOOKUP($Y7,$A$6:$M$31,13,FALSE)</f>
        <v>4</v>
      </c>
    </row>
    <row r="8" spans="1:37" x14ac:dyDescent="0.2">
      <c r="A8" s="62" t="s">
        <v>31</v>
      </c>
      <c r="B8" s="62" t="s">
        <v>57</v>
      </c>
      <c r="C8" s="62" t="s">
        <v>200</v>
      </c>
      <c r="D8" s="62"/>
      <c r="E8" s="62">
        <f t="shared" si="3"/>
        <v>11</v>
      </c>
      <c r="F8" s="128">
        <v>2320</v>
      </c>
      <c r="G8" s="254">
        <v>18.849528761780956</v>
      </c>
      <c r="H8" s="254">
        <v>18.168331995427742</v>
      </c>
      <c r="I8" s="254">
        <v>19.550164253512023</v>
      </c>
      <c r="J8" s="129"/>
      <c r="K8" s="129"/>
      <c r="L8" s="129"/>
      <c r="M8" s="60">
        <f t="shared" si="0"/>
        <v>5</v>
      </c>
      <c r="N8" s="61">
        <f t="shared" si="4"/>
        <v>3.9735446958164928</v>
      </c>
      <c r="O8" s="61">
        <f t="shared" ref="O8:O31" si="17">VLOOKUP(7,$E$5:$G$39,3,FALSE)</f>
        <v>17.461783112752642</v>
      </c>
      <c r="P8" s="129">
        <f t="shared" si="5"/>
        <v>18.814984603913228</v>
      </c>
      <c r="Q8" s="129">
        <f t="shared" si="6"/>
        <v>18.673075278409023</v>
      </c>
      <c r="R8" s="129">
        <f t="shared" si="7"/>
        <v>18.957720998664552</v>
      </c>
      <c r="S8" s="61">
        <f t="shared" si="8"/>
        <v>21.575234284510898</v>
      </c>
      <c r="T8" s="61">
        <f t="shared" si="1"/>
        <v>25.920931222939885</v>
      </c>
      <c r="U8" s="61">
        <f t="shared" si="9"/>
        <v>20.895867005310549</v>
      </c>
      <c r="V8" s="61"/>
      <c r="Y8" s="159" t="s">
        <v>41</v>
      </c>
      <c r="Z8" s="159" t="s">
        <v>64</v>
      </c>
      <c r="AA8" s="159" t="s">
        <v>163</v>
      </c>
      <c r="AB8" s="159">
        <f t="shared" si="2"/>
        <v>6</v>
      </c>
      <c r="AC8" s="164">
        <f t="shared" ref="AC8:AC13" si="18">MIN($AH$6:$AH$13)</f>
        <v>18.341829373857845</v>
      </c>
      <c r="AD8" s="164">
        <f t="shared" si="10"/>
        <v>25.920931222939885</v>
      </c>
      <c r="AE8" s="159"/>
      <c r="AF8" s="159">
        <f t="shared" si="11"/>
        <v>18</v>
      </c>
      <c r="AG8" s="160">
        <f t="shared" si="12"/>
        <v>2257</v>
      </c>
      <c r="AH8" s="161">
        <f t="shared" si="13"/>
        <v>21.405538694992412</v>
      </c>
      <c r="AI8" s="161">
        <f t="shared" si="14"/>
        <v>20.633129259157375</v>
      </c>
      <c r="AJ8" s="161">
        <f t="shared" si="15"/>
        <v>22.198775983811771</v>
      </c>
      <c r="AK8" s="160">
        <f t="shared" si="16"/>
        <v>4</v>
      </c>
    </row>
    <row r="9" spans="1:37" x14ac:dyDescent="0.2">
      <c r="A9" s="62" t="s">
        <v>32</v>
      </c>
      <c r="B9" s="62" t="s">
        <v>156</v>
      </c>
      <c r="C9" s="62" t="s">
        <v>201</v>
      </c>
      <c r="D9" s="62"/>
      <c r="E9" s="62">
        <f t="shared" si="3"/>
        <v>21</v>
      </c>
      <c r="F9" s="128">
        <v>3982</v>
      </c>
      <c r="G9" s="254">
        <v>22.038963914102279</v>
      </c>
      <c r="H9" s="254">
        <v>21.44053834388389</v>
      </c>
      <c r="I9" s="254">
        <v>22.649276614799614</v>
      </c>
      <c r="J9" s="129"/>
      <c r="K9" s="129"/>
      <c r="L9" s="129"/>
      <c r="M9" s="60">
        <f t="shared" si="0"/>
        <v>4</v>
      </c>
      <c r="N9" s="61">
        <f t="shared" si="4"/>
        <v>3.9735446958164928</v>
      </c>
      <c r="O9" s="61">
        <f t="shared" si="17"/>
        <v>17.461783112752642</v>
      </c>
      <c r="P9" s="129">
        <f t="shared" si="5"/>
        <v>18.814984603913228</v>
      </c>
      <c r="Q9" s="129">
        <f t="shared" si="6"/>
        <v>18.673075278409023</v>
      </c>
      <c r="R9" s="129">
        <f t="shared" si="7"/>
        <v>18.957720998664552</v>
      </c>
      <c r="S9" s="61">
        <f t="shared" si="8"/>
        <v>21.575234284510898</v>
      </c>
      <c r="T9" s="61">
        <f t="shared" si="1"/>
        <v>25.920931222939885</v>
      </c>
      <c r="U9" s="61">
        <f t="shared" si="9"/>
        <v>14.312414022105214</v>
      </c>
      <c r="V9" s="61"/>
      <c r="X9" s="63"/>
      <c r="Y9" s="159" t="s">
        <v>45</v>
      </c>
      <c r="Z9" s="159" t="s">
        <v>67</v>
      </c>
      <c r="AA9" s="159" t="s">
        <v>163</v>
      </c>
      <c r="AB9" s="159">
        <f t="shared" si="2"/>
        <v>3</v>
      </c>
      <c r="AC9" s="164">
        <f t="shared" si="18"/>
        <v>18.341829373857845</v>
      </c>
      <c r="AD9" s="164">
        <f t="shared" si="10"/>
        <v>25.920931222939885</v>
      </c>
      <c r="AE9" s="159"/>
      <c r="AF9" s="159">
        <f t="shared" si="11"/>
        <v>14</v>
      </c>
      <c r="AG9" s="160">
        <f t="shared" si="12"/>
        <v>1809</v>
      </c>
      <c r="AH9" s="161">
        <f t="shared" si="13"/>
        <v>20.648327816459307</v>
      </c>
      <c r="AI9" s="161">
        <f t="shared" si="14"/>
        <v>19.813678669966379</v>
      </c>
      <c r="AJ9" s="161">
        <f t="shared" si="15"/>
        <v>21.508705492222582</v>
      </c>
      <c r="AK9" s="160">
        <f t="shared" si="16"/>
        <v>4</v>
      </c>
    </row>
    <row r="10" spans="1:37" x14ac:dyDescent="0.2">
      <c r="A10" s="62" t="s">
        <v>33</v>
      </c>
      <c r="B10" s="62" t="s">
        <v>58</v>
      </c>
      <c r="C10" s="62" t="s">
        <v>163</v>
      </c>
      <c r="D10" s="62"/>
      <c r="E10" s="62">
        <f t="shared" si="3"/>
        <v>26</v>
      </c>
      <c r="F10" s="128">
        <v>3652</v>
      </c>
      <c r="G10" s="254">
        <v>25.920931222939885</v>
      </c>
      <c r="H10" s="254">
        <v>25.20399274917456</v>
      </c>
      <c r="I10" s="254">
        <v>26.650996751517823</v>
      </c>
      <c r="J10" s="129"/>
      <c r="K10" s="129"/>
      <c r="L10" s="129"/>
      <c r="M10" s="60">
        <f t="shared" si="0"/>
        <v>4</v>
      </c>
      <c r="N10" s="61">
        <f t="shared" si="4"/>
        <v>3.9735446958164928</v>
      </c>
      <c r="O10" s="61">
        <f t="shared" si="17"/>
        <v>17.461783112752642</v>
      </c>
      <c r="P10" s="129">
        <f t="shared" si="5"/>
        <v>18.814984603913228</v>
      </c>
      <c r="Q10" s="129">
        <f t="shared" si="6"/>
        <v>18.673075278409023</v>
      </c>
      <c r="R10" s="129">
        <f t="shared" si="7"/>
        <v>18.957720998664552</v>
      </c>
      <c r="S10" s="61">
        <f t="shared" si="8"/>
        <v>21.575234284510898</v>
      </c>
      <c r="T10" s="61">
        <f t="shared" si="1"/>
        <v>25.920931222939885</v>
      </c>
      <c r="U10" s="61">
        <f t="shared" si="9"/>
        <v>21.829017294872976</v>
      </c>
      <c r="V10" s="61"/>
      <c r="Y10" s="159" t="s">
        <v>46</v>
      </c>
      <c r="Z10" s="159" t="s">
        <v>68</v>
      </c>
      <c r="AA10" s="159" t="s">
        <v>163</v>
      </c>
      <c r="AB10" s="159">
        <f t="shared" si="2"/>
        <v>1</v>
      </c>
      <c r="AC10" s="164">
        <f t="shared" si="18"/>
        <v>18.341829373857845</v>
      </c>
      <c r="AD10" s="164">
        <f t="shared" si="10"/>
        <v>25.920931222939885</v>
      </c>
      <c r="AE10" s="159"/>
      <c r="AF10" s="159">
        <f t="shared" si="11"/>
        <v>8</v>
      </c>
      <c r="AG10" s="160">
        <f t="shared" si="12"/>
        <v>1907</v>
      </c>
      <c r="AH10" s="161">
        <f t="shared" si="13"/>
        <v>18.341829373857845</v>
      </c>
      <c r="AI10" s="161">
        <f t="shared" si="14"/>
        <v>17.609666397320119</v>
      </c>
      <c r="AJ10" s="161">
        <f t="shared" si="15"/>
        <v>19.097377681146035</v>
      </c>
      <c r="AK10" s="160">
        <f t="shared" si="16"/>
        <v>5</v>
      </c>
    </row>
    <row r="11" spans="1:37" x14ac:dyDescent="0.2">
      <c r="A11" s="62" t="s">
        <v>34</v>
      </c>
      <c r="B11" s="62" t="s">
        <v>59</v>
      </c>
      <c r="C11" s="62" t="s">
        <v>200</v>
      </c>
      <c r="D11" s="62"/>
      <c r="E11" s="62">
        <f t="shared" si="3"/>
        <v>24</v>
      </c>
      <c r="F11" s="128">
        <v>3697</v>
      </c>
      <c r="G11" s="254">
        <v>23.825481729715797</v>
      </c>
      <c r="H11" s="254">
        <v>23.161710583025748</v>
      </c>
      <c r="I11" s="254">
        <v>24.502209433478292</v>
      </c>
      <c r="J11" s="129"/>
      <c r="K11" s="129"/>
      <c r="L11" s="129"/>
      <c r="M11" s="60">
        <f t="shared" si="0"/>
        <v>4</v>
      </c>
      <c r="N11" s="61">
        <f t="shared" si="4"/>
        <v>3.9735446958164928</v>
      </c>
      <c r="O11" s="61">
        <f t="shared" si="17"/>
        <v>17.461783112752642</v>
      </c>
      <c r="P11" s="129">
        <f t="shared" si="5"/>
        <v>18.814984603913228</v>
      </c>
      <c r="Q11" s="129">
        <f t="shared" si="6"/>
        <v>18.673075278409023</v>
      </c>
      <c r="R11" s="129">
        <f t="shared" si="7"/>
        <v>18.957720998664552</v>
      </c>
      <c r="S11" s="61">
        <f t="shared" si="8"/>
        <v>21.575234284510898</v>
      </c>
      <c r="T11" s="61">
        <f t="shared" si="1"/>
        <v>25.920931222939885</v>
      </c>
      <c r="U11" s="61">
        <f t="shared" si="9"/>
        <v>20.895867005310549</v>
      </c>
      <c r="V11" s="61"/>
      <c r="Y11" s="159" t="s">
        <v>47</v>
      </c>
      <c r="Z11" s="159" t="s">
        <v>69</v>
      </c>
      <c r="AA11" s="159" t="s">
        <v>163</v>
      </c>
      <c r="AB11" s="159">
        <f t="shared" si="2"/>
        <v>5</v>
      </c>
      <c r="AC11" s="164">
        <f t="shared" si="18"/>
        <v>18.341829373857845</v>
      </c>
      <c r="AD11" s="164">
        <f t="shared" si="10"/>
        <v>25.920931222939885</v>
      </c>
      <c r="AE11" s="159"/>
      <c r="AF11" s="159">
        <f t="shared" si="11"/>
        <v>17</v>
      </c>
      <c r="AG11" s="160">
        <f t="shared" si="12"/>
        <v>1154</v>
      </c>
      <c r="AH11" s="161">
        <f t="shared" si="13"/>
        <v>21.37037037037037</v>
      </c>
      <c r="AI11" s="161">
        <f t="shared" si="14"/>
        <v>20.29759397880251</v>
      </c>
      <c r="AJ11" s="161">
        <f t="shared" si="15"/>
        <v>22.483850969902893</v>
      </c>
      <c r="AK11" s="160">
        <f t="shared" si="16"/>
        <v>4</v>
      </c>
    </row>
    <row r="12" spans="1:37" x14ac:dyDescent="0.2">
      <c r="A12" s="62" t="s">
        <v>35</v>
      </c>
      <c r="B12" s="62" t="s">
        <v>60</v>
      </c>
      <c r="C12" s="62" t="s">
        <v>163</v>
      </c>
      <c r="D12" s="62"/>
      <c r="E12" s="62">
        <f t="shared" si="3"/>
        <v>13</v>
      </c>
      <c r="F12" s="128">
        <v>2933</v>
      </c>
      <c r="G12" s="254">
        <v>20.146998214040387</v>
      </c>
      <c r="H12" s="254">
        <v>19.503361452807539</v>
      </c>
      <c r="I12" s="254">
        <v>20.806385603702918</v>
      </c>
      <c r="J12" s="129"/>
      <c r="K12" s="129"/>
      <c r="L12" s="129"/>
      <c r="M12" s="60">
        <f t="shared" ref="M12:M31" si="19">IF($C$2="Significance not measured",6,IF(AND($C$2="Better / Worse",$K$2="Low = Worst",I12&lt;Q12),1,IF(AND($C$2="Better / Worse",$K$2="Low = Worst",H12&gt;R12),2,IF(AND($C$2="Better / Worse",$K$2="High = Worst",I12&lt;Q12),2,IF(AND($C$2="Better / Worse",$K$2="High = Worst",H12&gt;R12),1,IF(AND($C$2="Higher / Lower",I12&lt;Q12),3,IF(AND($C$2="Higher / Lower",H12&gt;R12),4,5)))))))</f>
        <v>4</v>
      </c>
      <c r="N12" s="61">
        <f t="shared" si="4"/>
        <v>3.9735446958164928</v>
      </c>
      <c r="O12" s="61">
        <f t="shared" si="17"/>
        <v>17.461783112752642</v>
      </c>
      <c r="P12" s="129">
        <f t="shared" si="5"/>
        <v>18.814984603913228</v>
      </c>
      <c r="Q12" s="129">
        <f t="shared" si="6"/>
        <v>18.673075278409023</v>
      </c>
      <c r="R12" s="129">
        <f t="shared" si="7"/>
        <v>18.957720998664552</v>
      </c>
      <c r="S12" s="61">
        <f t="shared" si="8"/>
        <v>21.575234284510898</v>
      </c>
      <c r="T12" s="61">
        <f t="shared" si="1"/>
        <v>25.920931222939885</v>
      </c>
      <c r="U12" s="61">
        <f t="shared" si="9"/>
        <v>21.829017294872976</v>
      </c>
      <c r="V12" s="61"/>
      <c r="Y12" s="159" t="s">
        <v>50</v>
      </c>
      <c r="Z12" s="159" t="s">
        <v>161</v>
      </c>
      <c r="AA12" s="159" t="s">
        <v>163</v>
      </c>
      <c r="AB12" s="159">
        <f t="shared" ref="AB12" si="20">RANK(AH12,$AH$6:$AH$13,1)</f>
        <v>4</v>
      </c>
      <c r="AC12" s="164">
        <f t="shared" si="18"/>
        <v>18.341829373857845</v>
      </c>
      <c r="AD12" s="164">
        <f t="shared" si="10"/>
        <v>25.920931222939885</v>
      </c>
      <c r="AE12" s="159"/>
      <c r="AF12" s="159">
        <f t="shared" si="11"/>
        <v>16</v>
      </c>
      <c r="AG12" s="160">
        <f t="shared" si="12"/>
        <v>1231</v>
      </c>
      <c r="AH12" s="161">
        <f t="shared" si="13"/>
        <v>21.104063089319389</v>
      </c>
      <c r="AI12" s="161">
        <f t="shared" si="14"/>
        <v>20.076093982710745</v>
      </c>
      <c r="AJ12" s="161">
        <f t="shared" si="15"/>
        <v>22.170067339596365</v>
      </c>
      <c r="AK12" s="160">
        <f t="shared" si="16"/>
        <v>4</v>
      </c>
    </row>
    <row r="13" spans="1:37" x14ac:dyDescent="0.2">
      <c r="A13" s="62" t="s">
        <v>36</v>
      </c>
      <c r="B13" s="62" t="s">
        <v>61</v>
      </c>
      <c r="C13" s="62" t="s">
        <v>201</v>
      </c>
      <c r="D13" s="62"/>
      <c r="E13" s="62">
        <f t="shared" si="3"/>
        <v>1</v>
      </c>
      <c r="F13" s="128">
        <v>757</v>
      </c>
      <c r="G13" s="254">
        <v>3.9735446958164928</v>
      </c>
      <c r="H13" s="254">
        <v>3.7053173449430368</v>
      </c>
      <c r="I13" s="254">
        <v>4.2603299269111643</v>
      </c>
      <c r="J13" s="129"/>
      <c r="K13" s="129"/>
      <c r="L13" s="129"/>
      <c r="M13" s="60">
        <f t="shared" si="19"/>
        <v>3</v>
      </c>
      <c r="N13" s="61">
        <f t="shared" si="4"/>
        <v>3.9735446958164928</v>
      </c>
      <c r="O13" s="61">
        <f t="shared" si="17"/>
        <v>17.461783112752642</v>
      </c>
      <c r="P13" s="129">
        <f t="shared" si="5"/>
        <v>18.814984603913228</v>
      </c>
      <c r="Q13" s="129">
        <f t="shared" si="6"/>
        <v>18.673075278409023</v>
      </c>
      <c r="R13" s="129">
        <f t="shared" si="7"/>
        <v>18.957720998664552</v>
      </c>
      <c r="S13" s="61">
        <f t="shared" si="8"/>
        <v>21.575234284510898</v>
      </c>
      <c r="T13" s="61">
        <f t="shared" si="1"/>
        <v>25.920931222939885</v>
      </c>
      <c r="U13" s="61">
        <f t="shared" si="9"/>
        <v>14.312414022105214</v>
      </c>
      <c r="V13" s="61"/>
      <c r="Y13" s="159" t="s">
        <v>53</v>
      </c>
      <c r="Z13" s="159" t="s">
        <v>162</v>
      </c>
      <c r="AA13" s="159" t="s">
        <v>163</v>
      </c>
      <c r="AB13" s="159">
        <f>RANK(AH13,$AH$6:$AH$13,1)</f>
        <v>7</v>
      </c>
      <c r="AC13" s="164">
        <f t="shared" si="18"/>
        <v>18.341829373857845</v>
      </c>
      <c r="AD13" s="164">
        <f t="shared" si="10"/>
        <v>25.920931222939885</v>
      </c>
      <c r="AE13" s="159"/>
      <c r="AF13" s="159">
        <f t="shared" si="11"/>
        <v>22</v>
      </c>
      <c r="AG13" s="160">
        <f t="shared" si="12"/>
        <v>6375</v>
      </c>
      <c r="AH13" s="161">
        <f t="shared" si="13"/>
        <v>22.705417245432205</v>
      </c>
      <c r="AI13" s="161">
        <f t="shared" si="14"/>
        <v>22.21915245965539</v>
      </c>
      <c r="AJ13" s="161">
        <f t="shared" si="15"/>
        <v>23.199149828485215</v>
      </c>
      <c r="AK13" s="160">
        <f t="shared" si="16"/>
        <v>4</v>
      </c>
    </row>
    <row r="14" spans="1:37" x14ac:dyDescent="0.2">
      <c r="A14" s="62" t="s">
        <v>37</v>
      </c>
      <c r="B14" s="62" t="s">
        <v>157</v>
      </c>
      <c r="C14" s="62" t="s">
        <v>201</v>
      </c>
      <c r="D14" s="62"/>
      <c r="E14" s="62">
        <f t="shared" si="3"/>
        <v>4</v>
      </c>
      <c r="F14" s="128">
        <v>3259</v>
      </c>
      <c r="G14" s="254">
        <v>13.431974611548448</v>
      </c>
      <c r="H14" s="254">
        <v>13.008691846201112</v>
      </c>
      <c r="I14" s="254">
        <v>13.866834867433415</v>
      </c>
      <c r="J14" s="129"/>
      <c r="K14" s="129"/>
      <c r="L14" s="129"/>
      <c r="M14" s="60">
        <f t="shared" si="19"/>
        <v>3</v>
      </c>
      <c r="N14" s="61">
        <f t="shared" si="4"/>
        <v>3.9735446958164928</v>
      </c>
      <c r="O14" s="61">
        <f t="shared" si="17"/>
        <v>17.461783112752642</v>
      </c>
      <c r="P14" s="129">
        <f t="shared" si="5"/>
        <v>18.814984603913228</v>
      </c>
      <c r="Q14" s="129">
        <f t="shared" si="6"/>
        <v>18.673075278409023</v>
      </c>
      <c r="R14" s="129">
        <f t="shared" si="7"/>
        <v>18.957720998664552</v>
      </c>
      <c r="S14" s="61">
        <f t="shared" si="8"/>
        <v>21.575234284510898</v>
      </c>
      <c r="T14" s="61">
        <f t="shared" si="1"/>
        <v>25.920931222939885</v>
      </c>
      <c r="U14" s="61">
        <f t="shared" si="9"/>
        <v>14.312414022105214</v>
      </c>
      <c r="V14" s="61"/>
      <c r="Y14" s="162" t="s">
        <v>29</v>
      </c>
      <c r="Z14" s="162" t="s">
        <v>55</v>
      </c>
      <c r="AA14" s="162" t="s">
        <v>201</v>
      </c>
      <c r="AB14" s="162">
        <f t="shared" ref="AB14:AB22" si="21">RANK(AH14,$AH$14:$AH$22,1)</f>
        <v>8</v>
      </c>
      <c r="AC14" s="165">
        <f>MIN($AH$14:$AH$22)</f>
        <v>3.9735446958164928</v>
      </c>
      <c r="AD14" s="165">
        <f>MAX($AH$14:$AH$22)</f>
        <v>22.038963914102279</v>
      </c>
      <c r="AE14" s="162"/>
      <c r="AF14" s="162">
        <f t="shared" si="11"/>
        <v>20</v>
      </c>
      <c r="AG14" s="167">
        <f t="shared" si="12"/>
        <v>2049</v>
      </c>
      <c r="AH14" s="165">
        <f t="shared" si="13"/>
        <v>21.575234284510898</v>
      </c>
      <c r="AI14" s="165">
        <f t="shared" si="14"/>
        <v>20.759521838406279</v>
      </c>
      <c r="AJ14" s="165">
        <f t="shared" si="15"/>
        <v>22.413932603489453</v>
      </c>
      <c r="AK14" s="167">
        <f t="shared" si="16"/>
        <v>4</v>
      </c>
    </row>
    <row r="15" spans="1:37" x14ac:dyDescent="0.2">
      <c r="A15" s="62" t="s">
        <v>38</v>
      </c>
      <c r="B15" s="62" t="s">
        <v>62</v>
      </c>
      <c r="C15" s="62" t="s">
        <v>201</v>
      </c>
      <c r="D15" s="62"/>
      <c r="E15" s="62">
        <f t="shared" si="3"/>
        <v>9</v>
      </c>
      <c r="F15" s="128">
        <v>1327</v>
      </c>
      <c r="G15" s="254">
        <v>18.632406627351866</v>
      </c>
      <c r="H15" s="254">
        <v>17.745113032776999</v>
      </c>
      <c r="I15" s="254">
        <v>19.553520036454366</v>
      </c>
      <c r="J15" s="129"/>
      <c r="K15" s="129"/>
      <c r="L15" s="129"/>
      <c r="M15" s="60">
        <f t="shared" si="19"/>
        <v>5</v>
      </c>
      <c r="N15" s="61">
        <f t="shared" si="4"/>
        <v>3.9735446958164928</v>
      </c>
      <c r="O15" s="61">
        <f t="shared" si="17"/>
        <v>17.461783112752642</v>
      </c>
      <c r="P15" s="129">
        <f t="shared" si="5"/>
        <v>18.814984603913228</v>
      </c>
      <c r="Q15" s="129">
        <f t="shared" si="6"/>
        <v>18.673075278409023</v>
      </c>
      <c r="R15" s="129">
        <f t="shared" si="7"/>
        <v>18.957720998664552</v>
      </c>
      <c r="S15" s="61">
        <f t="shared" si="8"/>
        <v>21.575234284510898</v>
      </c>
      <c r="T15" s="61">
        <f t="shared" ref="T15:T31" si="22">MAX($G$6:$G$31)</f>
        <v>25.920931222939885</v>
      </c>
      <c r="U15" s="61">
        <f t="shared" si="9"/>
        <v>14.312414022105214</v>
      </c>
      <c r="V15" s="61"/>
      <c r="Y15" s="162" t="s">
        <v>32</v>
      </c>
      <c r="Z15" s="162" t="s">
        <v>156</v>
      </c>
      <c r="AA15" s="162" t="s">
        <v>201</v>
      </c>
      <c r="AB15" s="162">
        <f t="shared" si="21"/>
        <v>9</v>
      </c>
      <c r="AC15" s="165">
        <f t="shared" ref="AC15:AC22" si="23">MIN($AH$14:$AH$22)</f>
        <v>3.9735446958164928</v>
      </c>
      <c r="AD15" s="165">
        <f t="shared" ref="AD15:AD22" si="24">MAX($AH$14:$AH$22)</f>
        <v>22.038963914102279</v>
      </c>
      <c r="AE15" s="162"/>
      <c r="AF15" s="162">
        <f t="shared" si="11"/>
        <v>21</v>
      </c>
      <c r="AG15" s="167">
        <f t="shared" si="12"/>
        <v>3982</v>
      </c>
      <c r="AH15" s="165">
        <f t="shared" si="13"/>
        <v>22.038963914102279</v>
      </c>
      <c r="AI15" s="165">
        <f t="shared" si="14"/>
        <v>21.44053834388389</v>
      </c>
      <c r="AJ15" s="165">
        <f t="shared" si="15"/>
        <v>22.649276614799614</v>
      </c>
      <c r="AK15" s="167">
        <f t="shared" si="16"/>
        <v>4</v>
      </c>
    </row>
    <row r="16" spans="1:37" x14ac:dyDescent="0.2">
      <c r="A16" s="62" t="s">
        <v>39</v>
      </c>
      <c r="B16" s="62" t="s">
        <v>158</v>
      </c>
      <c r="C16" s="62" t="s">
        <v>200</v>
      </c>
      <c r="D16" s="62"/>
      <c r="E16" s="62">
        <f t="shared" si="3"/>
        <v>15</v>
      </c>
      <c r="F16" s="128">
        <v>3022</v>
      </c>
      <c r="G16" s="254">
        <v>20.752643867600604</v>
      </c>
      <c r="H16" s="254">
        <v>20.101730801029575</v>
      </c>
      <c r="I16" s="254">
        <v>21.418983782598406</v>
      </c>
      <c r="J16" s="129"/>
      <c r="K16" s="129"/>
      <c r="L16" s="129"/>
      <c r="M16" s="60">
        <f t="shared" si="19"/>
        <v>4</v>
      </c>
      <c r="N16" s="61">
        <f t="shared" si="4"/>
        <v>3.9735446958164928</v>
      </c>
      <c r="O16" s="61">
        <f t="shared" si="17"/>
        <v>17.461783112752642</v>
      </c>
      <c r="P16" s="129">
        <f t="shared" si="5"/>
        <v>18.814984603913228</v>
      </c>
      <c r="Q16" s="129">
        <f t="shared" si="6"/>
        <v>18.673075278409023</v>
      </c>
      <c r="R16" s="129">
        <f t="shared" si="7"/>
        <v>18.957720998664552</v>
      </c>
      <c r="S16" s="61">
        <f t="shared" si="8"/>
        <v>21.575234284510898</v>
      </c>
      <c r="T16" s="61">
        <f t="shared" si="22"/>
        <v>25.920931222939885</v>
      </c>
      <c r="U16" s="61">
        <f t="shared" si="9"/>
        <v>20.895867005310549</v>
      </c>
      <c r="V16" s="61"/>
      <c r="Y16" s="162" t="s">
        <v>36</v>
      </c>
      <c r="Z16" s="162" t="s">
        <v>61</v>
      </c>
      <c r="AA16" s="162" t="s">
        <v>201</v>
      </c>
      <c r="AB16" s="162">
        <f t="shared" si="21"/>
        <v>1</v>
      </c>
      <c r="AC16" s="165">
        <f>MIN($AH$14:$AH$22)</f>
        <v>3.9735446958164928</v>
      </c>
      <c r="AD16" s="165">
        <f t="shared" si="24"/>
        <v>22.038963914102279</v>
      </c>
      <c r="AE16" s="162"/>
      <c r="AF16" s="162">
        <f t="shared" si="11"/>
        <v>1</v>
      </c>
      <c r="AG16" s="167">
        <f t="shared" si="12"/>
        <v>757</v>
      </c>
      <c r="AH16" s="165">
        <f t="shared" si="13"/>
        <v>3.9735446958164928</v>
      </c>
      <c r="AI16" s="165">
        <f t="shared" si="14"/>
        <v>3.7053173449430368</v>
      </c>
      <c r="AJ16" s="165">
        <f t="shared" si="15"/>
        <v>4.2603299269111643</v>
      </c>
      <c r="AK16" s="167">
        <f t="shared" si="16"/>
        <v>3</v>
      </c>
    </row>
    <row r="17" spans="1:37" x14ac:dyDescent="0.2">
      <c r="A17" s="62" t="s">
        <v>40</v>
      </c>
      <c r="B17" s="62" t="s">
        <v>63</v>
      </c>
      <c r="C17" s="62" t="s">
        <v>200</v>
      </c>
      <c r="D17" s="62"/>
      <c r="E17" s="62">
        <f t="shared" si="3"/>
        <v>23</v>
      </c>
      <c r="F17" s="128">
        <v>1865</v>
      </c>
      <c r="G17" s="254">
        <v>22.802298569507272</v>
      </c>
      <c r="H17" s="254">
        <v>21.90592747073806</v>
      </c>
      <c r="I17" s="254">
        <v>23.724205749010441</v>
      </c>
      <c r="J17" s="129"/>
      <c r="K17" s="129"/>
      <c r="L17" s="129"/>
      <c r="M17" s="60">
        <f t="shared" si="19"/>
        <v>4</v>
      </c>
      <c r="N17" s="61">
        <f t="shared" si="4"/>
        <v>3.9735446958164928</v>
      </c>
      <c r="O17" s="61">
        <f t="shared" si="17"/>
        <v>17.461783112752642</v>
      </c>
      <c r="P17" s="129">
        <f t="shared" si="5"/>
        <v>18.814984603913228</v>
      </c>
      <c r="Q17" s="129">
        <f t="shared" si="6"/>
        <v>18.673075278409023</v>
      </c>
      <c r="R17" s="129">
        <f t="shared" si="7"/>
        <v>18.957720998664552</v>
      </c>
      <c r="S17" s="61">
        <f t="shared" si="8"/>
        <v>21.575234284510898</v>
      </c>
      <c r="T17" s="61">
        <f t="shared" si="22"/>
        <v>25.920931222939885</v>
      </c>
      <c r="U17" s="61">
        <f t="shared" si="9"/>
        <v>20.895867005310549</v>
      </c>
      <c r="V17" s="61"/>
      <c r="Y17" s="162" t="s">
        <v>37</v>
      </c>
      <c r="Z17" s="162" t="s">
        <v>157</v>
      </c>
      <c r="AA17" s="162" t="s">
        <v>201</v>
      </c>
      <c r="AB17" s="162">
        <f t="shared" si="21"/>
        <v>4</v>
      </c>
      <c r="AC17" s="165">
        <f t="shared" si="23"/>
        <v>3.9735446958164928</v>
      </c>
      <c r="AD17" s="165">
        <f>MAX($AH$14:$AH$22)</f>
        <v>22.038963914102279</v>
      </c>
      <c r="AE17" s="162"/>
      <c r="AF17" s="162">
        <f t="shared" si="11"/>
        <v>4</v>
      </c>
      <c r="AG17" s="167">
        <f t="shared" si="12"/>
        <v>3259</v>
      </c>
      <c r="AH17" s="165">
        <f t="shared" si="13"/>
        <v>13.431974611548448</v>
      </c>
      <c r="AI17" s="165">
        <f t="shared" si="14"/>
        <v>13.008691846201112</v>
      </c>
      <c r="AJ17" s="165">
        <f t="shared" si="15"/>
        <v>13.866834867433415</v>
      </c>
      <c r="AK17" s="167">
        <f t="shared" si="16"/>
        <v>3</v>
      </c>
    </row>
    <row r="18" spans="1:37" x14ac:dyDescent="0.2">
      <c r="A18" s="62" t="s">
        <v>41</v>
      </c>
      <c r="B18" s="62" t="s">
        <v>64</v>
      </c>
      <c r="C18" s="62" t="s">
        <v>163</v>
      </c>
      <c r="D18" s="62"/>
      <c r="E18" s="62">
        <f t="shared" si="3"/>
        <v>18</v>
      </c>
      <c r="F18" s="128">
        <v>2257</v>
      </c>
      <c r="G18" s="254">
        <v>21.405538694992412</v>
      </c>
      <c r="H18" s="254">
        <v>20.633129259157375</v>
      </c>
      <c r="I18" s="254">
        <v>22.198775983811771</v>
      </c>
      <c r="J18" s="129"/>
      <c r="K18" s="129"/>
      <c r="L18" s="129"/>
      <c r="M18" s="60">
        <f t="shared" si="19"/>
        <v>4</v>
      </c>
      <c r="N18" s="61">
        <f t="shared" si="4"/>
        <v>3.9735446958164928</v>
      </c>
      <c r="O18" s="61">
        <f t="shared" si="17"/>
        <v>17.461783112752642</v>
      </c>
      <c r="P18" s="129">
        <f t="shared" si="5"/>
        <v>18.814984603913228</v>
      </c>
      <c r="Q18" s="129">
        <f t="shared" si="6"/>
        <v>18.673075278409023</v>
      </c>
      <c r="R18" s="129">
        <f t="shared" si="7"/>
        <v>18.957720998664552</v>
      </c>
      <c r="S18" s="61">
        <f t="shared" si="8"/>
        <v>21.575234284510898</v>
      </c>
      <c r="T18" s="61">
        <f t="shared" si="22"/>
        <v>25.920931222939885</v>
      </c>
      <c r="U18" s="61">
        <f t="shared" si="9"/>
        <v>21.829017294872976</v>
      </c>
      <c r="V18" s="61"/>
      <c r="Y18" s="162" t="s">
        <v>38</v>
      </c>
      <c r="Z18" s="162" t="s">
        <v>62</v>
      </c>
      <c r="AA18" s="162" t="s">
        <v>201</v>
      </c>
      <c r="AB18" s="162">
        <f t="shared" si="21"/>
        <v>7</v>
      </c>
      <c r="AC18" s="165">
        <f t="shared" si="23"/>
        <v>3.9735446958164928</v>
      </c>
      <c r="AD18" s="165">
        <f t="shared" si="24"/>
        <v>22.038963914102279</v>
      </c>
      <c r="AE18" s="162"/>
      <c r="AF18" s="162">
        <f t="shared" si="11"/>
        <v>9</v>
      </c>
      <c r="AG18" s="167">
        <f t="shared" si="12"/>
        <v>1327</v>
      </c>
      <c r="AH18" s="165">
        <f t="shared" si="13"/>
        <v>18.632406627351866</v>
      </c>
      <c r="AI18" s="165">
        <f t="shared" si="14"/>
        <v>17.745113032776999</v>
      </c>
      <c r="AJ18" s="165">
        <f t="shared" si="15"/>
        <v>19.553520036454366</v>
      </c>
      <c r="AK18" s="167">
        <f t="shared" si="16"/>
        <v>5</v>
      </c>
    </row>
    <row r="19" spans="1:37" x14ac:dyDescent="0.2">
      <c r="A19" s="62" t="s">
        <v>42</v>
      </c>
      <c r="B19" s="62" t="s">
        <v>65</v>
      </c>
      <c r="C19" s="62" t="s">
        <v>200</v>
      </c>
      <c r="D19" s="62"/>
      <c r="E19" s="62">
        <f t="shared" si="3"/>
        <v>10</v>
      </c>
      <c r="F19" s="128">
        <v>976</v>
      </c>
      <c r="G19" s="254">
        <v>18.765621995770044</v>
      </c>
      <c r="H19" s="254">
        <v>17.72771643631744</v>
      </c>
      <c r="I19" s="254">
        <v>19.849632927631212</v>
      </c>
      <c r="J19" s="129"/>
      <c r="K19" s="129"/>
      <c r="L19" s="129"/>
      <c r="M19" s="60">
        <f t="shared" si="19"/>
        <v>5</v>
      </c>
      <c r="N19" s="61">
        <f t="shared" si="4"/>
        <v>3.9735446958164928</v>
      </c>
      <c r="O19" s="61">
        <f t="shared" si="17"/>
        <v>17.461783112752642</v>
      </c>
      <c r="P19" s="129">
        <f t="shared" si="5"/>
        <v>18.814984603913228</v>
      </c>
      <c r="Q19" s="129">
        <f t="shared" si="6"/>
        <v>18.673075278409023</v>
      </c>
      <c r="R19" s="129">
        <f t="shared" si="7"/>
        <v>18.957720998664552</v>
      </c>
      <c r="S19" s="61">
        <f t="shared" si="8"/>
        <v>21.575234284510898</v>
      </c>
      <c r="T19" s="61">
        <f t="shared" si="22"/>
        <v>25.920931222939885</v>
      </c>
      <c r="U19" s="61">
        <f t="shared" si="9"/>
        <v>20.895867005310549</v>
      </c>
      <c r="V19" s="61"/>
      <c r="Y19" s="162" t="s">
        <v>43</v>
      </c>
      <c r="Z19" s="162" t="s">
        <v>159</v>
      </c>
      <c r="AA19" s="162" t="s">
        <v>201</v>
      </c>
      <c r="AB19" s="162">
        <f t="shared" si="21"/>
        <v>6</v>
      </c>
      <c r="AC19" s="165">
        <f t="shared" si="23"/>
        <v>3.9735446958164928</v>
      </c>
      <c r="AD19" s="165">
        <f t="shared" si="24"/>
        <v>22.038963914102279</v>
      </c>
      <c r="AE19" s="162"/>
      <c r="AF19" s="162">
        <f t="shared" si="11"/>
        <v>7</v>
      </c>
      <c r="AG19" s="167">
        <f t="shared" si="12"/>
        <v>1702</v>
      </c>
      <c r="AH19" s="165">
        <f t="shared" si="13"/>
        <v>17.461783112752642</v>
      </c>
      <c r="AI19" s="165">
        <f t="shared" si="14"/>
        <v>16.720965793136397</v>
      </c>
      <c r="AJ19" s="165">
        <f t="shared" si="15"/>
        <v>18.228238059808334</v>
      </c>
      <c r="AK19" s="167">
        <f t="shared" si="16"/>
        <v>3</v>
      </c>
    </row>
    <row r="20" spans="1:37" x14ac:dyDescent="0.2">
      <c r="A20" s="62" t="s">
        <v>43</v>
      </c>
      <c r="B20" s="62" t="s">
        <v>159</v>
      </c>
      <c r="C20" s="62" t="s">
        <v>201</v>
      </c>
      <c r="D20" s="62"/>
      <c r="E20" s="62">
        <f t="shared" si="3"/>
        <v>7</v>
      </c>
      <c r="F20" s="128">
        <v>1702</v>
      </c>
      <c r="G20" s="254">
        <v>17.461783112752642</v>
      </c>
      <c r="H20" s="254">
        <v>16.720965793136397</v>
      </c>
      <c r="I20" s="254">
        <v>18.228238059808334</v>
      </c>
      <c r="J20" s="129"/>
      <c r="K20" s="129"/>
      <c r="L20" s="129"/>
      <c r="M20" s="60">
        <f t="shared" si="19"/>
        <v>3</v>
      </c>
      <c r="N20" s="61">
        <f t="shared" si="4"/>
        <v>3.9735446958164928</v>
      </c>
      <c r="O20" s="61">
        <f t="shared" si="17"/>
        <v>17.461783112752642</v>
      </c>
      <c r="P20" s="129">
        <f t="shared" si="5"/>
        <v>18.814984603913228</v>
      </c>
      <c r="Q20" s="129">
        <f t="shared" si="6"/>
        <v>18.673075278409023</v>
      </c>
      <c r="R20" s="129">
        <f t="shared" si="7"/>
        <v>18.957720998664552</v>
      </c>
      <c r="S20" s="61">
        <f t="shared" si="8"/>
        <v>21.575234284510898</v>
      </c>
      <c r="T20" s="61">
        <f t="shared" si="22"/>
        <v>25.920931222939885</v>
      </c>
      <c r="U20" s="61">
        <f t="shared" si="9"/>
        <v>14.312414022105214</v>
      </c>
      <c r="V20" s="61"/>
      <c r="Y20" s="162" t="s">
        <v>48</v>
      </c>
      <c r="Z20" s="162" t="s">
        <v>160</v>
      </c>
      <c r="AA20" s="162" t="s">
        <v>201</v>
      </c>
      <c r="AB20" s="162">
        <f t="shared" si="21"/>
        <v>5</v>
      </c>
      <c r="AC20" s="165">
        <f t="shared" si="23"/>
        <v>3.9735446958164928</v>
      </c>
      <c r="AD20" s="165">
        <f t="shared" si="24"/>
        <v>22.038963914102279</v>
      </c>
      <c r="AE20" s="162"/>
      <c r="AF20" s="162">
        <f t="shared" si="11"/>
        <v>6</v>
      </c>
      <c r="AG20" s="167">
        <f t="shared" si="12"/>
        <v>1042</v>
      </c>
      <c r="AH20" s="165">
        <f t="shared" si="13"/>
        <v>16.874493927125506</v>
      </c>
      <c r="AI20" s="165">
        <f t="shared" si="14"/>
        <v>15.961011445637464</v>
      </c>
      <c r="AJ20" s="165">
        <f t="shared" si="15"/>
        <v>17.829165446507361</v>
      </c>
      <c r="AK20" s="167">
        <f t="shared" si="16"/>
        <v>3</v>
      </c>
    </row>
    <row r="21" spans="1:37" x14ac:dyDescent="0.2">
      <c r="A21" s="62" t="s">
        <v>44</v>
      </c>
      <c r="B21" s="62" t="s">
        <v>66</v>
      </c>
      <c r="C21" s="62" t="s">
        <v>200</v>
      </c>
      <c r="D21" s="62"/>
      <c r="E21" s="62">
        <f t="shared" si="3"/>
        <v>12</v>
      </c>
      <c r="F21" s="128">
        <v>857</v>
      </c>
      <c r="G21" s="254">
        <v>19.358482042014906</v>
      </c>
      <c r="H21" s="254">
        <v>18.221368721518864</v>
      </c>
      <c r="I21" s="254">
        <v>20.548726638153784</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5</v>
      </c>
      <c r="N21" s="61">
        <f t="shared" si="4"/>
        <v>3.9735446958164928</v>
      </c>
      <c r="O21" s="61">
        <f t="shared" si="17"/>
        <v>17.461783112752642</v>
      </c>
      <c r="P21" s="129">
        <f t="shared" si="5"/>
        <v>18.814984603913228</v>
      </c>
      <c r="Q21" s="129">
        <f t="shared" si="6"/>
        <v>18.673075278409023</v>
      </c>
      <c r="R21" s="129">
        <f t="shared" si="7"/>
        <v>18.957720998664552</v>
      </c>
      <c r="S21" s="61">
        <f t="shared" si="8"/>
        <v>21.575234284510898</v>
      </c>
      <c r="T21" s="61">
        <f t="shared" si="22"/>
        <v>25.920931222939885</v>
      </c>
      <c r="U21" s="61">
        <f t="shared" si="9"/>
        <v>20.895867005310549</v>
      </c>
      <c r="V21" s="61"/>
      <c r="Y21" s="162" t="s">
        <v>52</v>
      </c>
      <c r="Z21" s="162" t="s">
        <v>72</v>
      </c>
      <c r="AA21" s="162" t="s">
        <v>201</v>
      </c>
      <c r="AB21" s="162">
        <f t="shared" si="21"/>
        <v>3</v>
      </c>
      <c r="AC21" s="165">
        <f t="shared" si="23"/>
        <v>3.9735446958164928</v>
      </c>
      <c r="AD21" s="165">
        <f t="shared" si="24"/>
        <v>22.038963914102279</v>
      </c>
      <c r="AE21" s="162"/>
      <c r="AF21" s="162">
        <f t="shared" si="11"/>
        <v>3</v>
      </c>
      <c r="AG21" s="167">
        <f t="shared" si="12"/>
        <v>441</v>
      </c>
      <c r="AH21" s="165">
        <f t="shared" si="13"/>
        <v>10.154271241077597</v>
      </c>
      <c r="AI21" s="165">
        <f t="shared" si="14"/>
        <v>9.2908810685511689</v>
      </c>
      <c r="AJ21" s="165">
        <f t="shared" si="15"/>
        <v>11.088087596687993</v>
      </c>
      <c r="AK21" s="167">
        <f t="shared" si="16"/>
        <v>3</v>
      </c>
    </row>
    <row r="22" spans="1:37" x14ac:dyDescent="0.2">
      <c r="A22" s="62" t="s">
        <v>45</v>
      </c>
      <c r="B22" s="62" t="s">
        <v>67</v>
      </c>
      <c r="C22" s="62" t="s">
        <v>163</v>
      </c>
      <c r="D22" s="62"/>
      <c r="E22" s="62">
        <f t="shared" si="3"/>
        <v>14</v>
      </c>
      <c r="F22" s="128">
        <v>1809</v>
      </c>
      <c r="G22" s="254">
        <v>20.648327816459307</v>
      </c>
      <c r="H22" s="254">
        <v>19.813678669966379</v>
      </c>
      <c r="I22" s="254">
        <v>21.508705492222582</v>
      </c>
      <c r="J22" s="129"/>
      <c r="K22" s="129"/>
      <c r="L22" s="129"/>
      <c r="M22" s="60">
        <f t="shared" si="19"/>
        <v>4</v>
      </c>
      <c r="N22" s="61">
        <f t="shared" si="4"/>
        <v>3.9735446958164928</v>
      </c>
      <c r="O22" s="61">
        <f t="shared" si="17"/>
        <v>17.461783112752642</v>
      </c>
      <c r="P22" s="129">
        <f t="shared" si="5"/>
        <v>18.814984603913228</v>
      </c>
      <c r="Q22" s="129">
        <f t="shared" si="6"/>
        <v>18.673075278409023</v>
      </c>
      <c r="R22" s="129">
        <f t="shared" si="7"/>
        <v>18.957720998664552</v>
      </c>
      <c r="S22" s="61">
        <f t="shared" si="8"/>
        <v>21.575234284510898</v>
      </c>
      <c r="T22" s="61">
        <f t="shared" si="22"/>
        <v>25.920931222939885</v>
      </c>
      <c r="U22" s="61">
        <f>VLOOKUP(C22,$C$43:$I$46,5,FALSE)</f>
        <v>21.829017294872976</v>
      </c>
      <c r="V22" s="61"/>
      <c r="Y22" s="162" t="s">
        <v>54</v>
      </c>
      <c r="Z22" s="162" t="s">
        <v>73</v>
      </c>
      <c r="AA22" s="162" t="s">
        <v>201</v>
      </c>
      <c r="AB22" s="162">
        <f t="shared" si="21"/>
        <v>2</v>
      </c>
      <c r="AC22" s="165">
        <f t="shared" si="23"/>
        <v>3.9735446958164928</v>
      </c>
      <c r="AD22" s="165">
        <f t="shared" si="24"/>
        <v>22.038963914102279</v>
      </c>
      <c r="AE22" s="162"/>
      <c r="AF22" s="162">
        <f t="shared" si="11"/>
        <v>2</v>
      </c>
      <c r="AG22" s="167">
        <f t="shared" si="12"/>
        <v>527</v>
      </c>
      <c r="AH22" s="165">
        <f t="shared" si="13"/>
        <v>7.8963140545400066</v>
      </c>
      <c r="AI22" s="165">
        <f t="shared" si="14"/>
        <v>7.2732650852386005</v>
      </c>
      <c r="AJ22" s="165">
        <f t="shared" si="15"/>
        <v>8.5678036993969151</v>
      </c>
      <c r="AK22" s="167">
        <f t="shared" si="16"/>
        <v>3</v>
      </c>
    </row>
    <row r="23" spans="1:37" x14ac:dyDescent="0.2">
      <c r="A23" s="62" t="s">
        <v>46</v>
      </c>
      <c r="B23" s="62" t="s">
        <v>68</v>
      </c>
      <c r="C23" s="62" t="s">
        <v>163</v>
      </c>
      <c r="D23" s="62"/>
      <c r="E23" s="62">
        <f t="shared" si="3"/>
        <v>8</v>
      </c>
      <c r="F23" s="128">
        <v>1907</v>
      </c>
      <c r="G23" s="254">
        <v>18.341829373857845</v>
      </c>
      <c r="H23" s="254">
        <v>17.609666397320119</v>
      </c>
      <c r="I23" s="254">
        <v>19.097377681146035</v>
      </c>
      <c r="J23" s="129"/>
      <c r="K23" s="129"/>
      <c r="L23" s="129"/>
      <c r="M23" s="60">
        <f t="shared" si="19"/>
        <v>5</v>
      </c>
      <c r="N23" s="61">
        <f t="shared" si="4"/>
        <v>3.9735446958164928</v>
      </c>
      <c r="O23" s="61">
        <f t="shared" si="17"/>
        <v>17.461783112752642</v>
      </c>
      <c r="P23" s="129">
        <f t="shared" si="5"/>
        <v>18.814984603913228</v>
      </c>
      <c r="Q23" s="129">
        <f t="shared" si="6"/>
        <v>18.673075278409023</v>
      </c>
      <c r="R23" s="129">
        <f t="shared" si="7"/>
        <v>18.957720998664552</v>
      </c>
      <c r="S23" s="61">
        <f t="shared" si="8"/>
        <v>21.575234284510898</v>
      </c>
      <c r="T23" s="61">
        <f t="shared" si="22"/>
        <v>25.920931222939885</v>
      </c>
      <c r="U23" s="61">
        <f t="shared" si="9"/>
        <v>21.829017294872976</v>
      </c>
      <c r="V23" s="61"/>
      <c r="Y23" s="163" t="s">
        <v>30</v>
      </c>
      <c r="Z23" s="163" t="s">
        <v>56</v>
      </c>
      <c r="AA23" s="163" t="s">
        <v>200</v>
      </c>
      <c r="AB23" s="163">
        <f>RANK(AH23,$AH$23:$AH$31,1)</f>
        <v>6</v>
      </c>
      <c r="AC23" s="166">
        <f>MIN($AH$23:$AH$31)</f>
        <v>16.233001392011992</v>
      </c>
      <c r="AD23" s="166">
        <f>MAX($AH$23:$AH$31)</f>
        <v>24.47211694639957</v>
      </c>
      <c r="AE23" s="163"/>
      <c r="AF23" s="163">
        <f t="shared" si="11"/>
        <v>19</v>
      </c>
      <c r="AG23" s="168">
        <f t="shared" si="12"/>
        <v>2491</v>
      </c>
      <c r="AH23" s="166">
        <f t="shared" si="13"/>
        <v>21.574571280097004</v>
      </c>
      <c r="AI23" s="166">
        <f t="shared" si="14"/>
        <v>20.83379608873933</v>
      </c>
      <c r="AJ23" s="166">
        <f t="shared" si="15"/>
        <v>22.334254975831541</v>
      </c>
      <c r="AK23" s="168">
        <f t="shared" si="16"/>
        <v>4</v>
      </c>
    </row>
    <row r="24" spans="1:37" x14ac:dyDescent="0.2">
      <c r="A24" s="62" t="s">
        <v>47</v>
      </c>
      <c r="B24" s="62" t="s">
        <v>69</v>
      </c>
      <c r="C24" s="62" t="s">
        <v>163</v>
      </c>
      <c r="D24" s="62"/>
      <c r="E24" s="62">
        <f t="shared" si="3"/>
        <v>17</v>
      </c>
      <c r="F24" s="128">
        <v>1154</v>
      </c>
      <c r="G24" s="254">
        <v>21.37037037037037</v>
      </c>
      <c r="H24" s="254">
        <v>20.29759397880251</v>
      </c>
      <c r="I24" s="254">
        <v>22.483850969902893</v>
      </c>
      <c r="J24" s="129"/>
      <c r="K24" s="129"/>
      <c r="L24" s="129"/>
      <c r="M24" s="60">
        <f t="shared" si="19"/>
        <v>4</v>
      </c>
      <c r="N24" s="61">
        <f t="shared" si="4"/>
        <v>3.9735446958164928</v>
      </c>
      <c r="O24" s="61">
        <f t="shared" si="17"/>
        <v>17.461783112752642</v>
      </c>
      <c r="P24" s="129">
        <f t="shared" si="5"/>
        <v>18.814984603913228</v>
      </c>
      <c r="Q24" s="129">
        <f t="shared" si="6"/>
        <v>18.673075278409023</v>
      </c>
      <c r="R24" s="129">
        <f t="shared" si="7"/>
        <v>18.957720998664552</v>
      </c>
      <c r="S24" s="61">
        <f t="shared" si="8"/>
        <v>21.575234284510898</v>
      </c>
      <c r="T24" s="61">
        <f t="shared" si="22"/>
        <v>25.920931222939885</v>
      </c>
      <c r="U24" s="61">
        <f t="shared" si="9"/>
        <v>21.829017294872976</v>
      </c>
      <c r="V24" s="61"/>
      <c r="Y24" s="163" t="s">
        <v>31</v>
      </c>
      <c r="Z24" s="163" t="s">
        <v>57</v>
      </c>
      <c r="AA24" s="163" t="s">
        <v>200</v>
      </c>
      <c r="AB24" s="163">
        <f t="shared" ref="AB24:AB31" si="25">RANK(AH24,$AH$23:$AH$31,1)</f>
        <v>3</v>
      </c>
      <c r="AC24" s="166">
        <f t="shared" ref="AC24:AC31" si="26">MIN($AH$23:$AH$31)</f>
        <v>16.233001392011992</v>
      </c>
      <c r="AD24" s="166">
        <f t="shared" ref="AD24:AD31" si="27">MAX($AH$23:$AH$31)</f>
        <v>24.47211694639957</v>
      </c>
      <c r="AE24" s="163"/>
      <c r="AF24" s="163">
        <f t="shared" si="11"/>
        <v>11</v>
      </c>
      <c r="AG24" s="168">
        <f t="shared" si="12"/>
        <v>2320</v>
      </c>
      <c r="AH24" s="166">
        <f t="shared" si="13"/>
        <v>18.849528761780956</v>
      </c>
      <c r="AI24" s="166">
        <f t="shared" si="14"/>
        <v>18.168331995427742</v>
      </c>
      <c r="AJ24" s="166">
        <f t="shared" si="15"/>
        <v>19.550164253512023</v>
      </c>
      <c r="AK24" s="168">
        <f t="shared" si="16"/>
        <v>5</v>
      </c>
    </row>
    <row r="25" spans="1:37" x14ac:dyDescent="0.2">
      <c r="A25" s="62" t="s">
        <v>48</v>
      </c>
      <c r="B25" s="62" t="s">
        <v>160</v>
      </c>
      <c r="C25" s="62" t="s">
        <v>201</v>
      </c>
      <c r="D25" s="62"/>
      <c r="E25" s="62">
        <f t="shared" si="3"/>
        <v>6</v>
      </c>
      <c r="F25" s="128">
        <v>1042</v>
      </c>
      <c r="G25" s="254">
        <v>16.874493927125506</v>
      </c>
      <c r="H25" s="254">
        <v>15.961011445637464</v>
      </c>
      <c r="I25" s="254">
        <v>17.829165446507361</v>
      </c>
      <c r="J25" s="129"/>
      <c r="K25" s="129"/>
      <c r="L25" s="129"/>
      <c r="M25" s="60">
        <f t="shared" si="19"/>
        <v>3</v>
      </c>
      <c r="N25" s="61">
        <f t="shared" si="4"/>
        <v>3.9735446958164928</v>
      </c>
      <c r="O25" s="61">
        <f t="shared" si="17"/>
        <v>17.461783112752642</v>
      </c>
      <c r="P25" s="129">
        <f t="shared" si="5"/>
        <v>18.814984603913228</v>
      </c>
      <c r="Q25" s="129">
        <f t="shared" si="6"/>
        <v>18.673075278409023</v>
      </c>
      <c r="R25" s="129">
        <f t="shared" si="7"/>
        <v>18.957720998664552</v>
      </c>
      <c r="S25" s="61">
        <f t="shared" si="8"/>
        <v>21.575234284510898</v>
      </c>
      <c r="T25" s="61">
        <f t="shared" si="22"/>
        <v>25.920931222939885</v>
      </c>
      <c r="U25" s="61">
        <f t="shared" si="9"/>
        <v>14.312414022105214</v>
      </c>
      <c r="V25" s="61"/>
      <c r="Y25" s="163" t="s">
        <v>34</v>
      </c>
      <c r="Z25" s="163" t="s">
        <v>59</v>
      </c>
      <c r="AA25" s="163" t="s">
        <v>200</v>
      </c>
      <c r="AB25" s="163">
        <f t="shared" si="25"/>
        <v>8</v>
      </c>
      <c r="AC25" s="166">
        <f t="shared" si="26"/>
        <v>16.233001392011992</v>
      </c>
      <c r="AD25" s="166">
        <f t="shared" si="27"/>
        <v>24.47211694639957</v>
      </c>
      <c r="AE25" s="163"/>
      <c r="AF25" s="163">
        <f t="shared" si="11"/>
        <v>24</v>
      </c>
      <c r="AG25" s="168">
        <f t="shared" si="12"/>
        <v>3697</v>
      </c>
      <c r="AH25" s="166">
        <f t="shared" si="13"/>
        <v>23.825481729715797</v>
      </c>
      <c r="AI25" s="166">
        <f t="shared" si="14"/>
        <v>23.161710583025748</v>
      </c>
      <c r="AJ25" s="166">
        <f t="shared" si="15"/>
        <v>24.502209433478292</v>
      </c>
      <c r="AK25" s="168">
        <f t="shared" si="16"/>
        <v>4</v>
      </c>
    </row>
    <row r="26" spans="1:37" x14ac:dyDescent="0.2">
      <c r="A26" s="62" t="s">
        <v>49</v>
      </c>
      <c r="B26" s="62" t="s">
        <v>70</v>
      </c>
      <c r="C26" s="62" t="s">
        <v>200</v>
      </c>
      <c r="D26" s="62"/>
      <c r="E26" s="62">
        <f t="shared" si="3"/>
        <v>5</v>
      </c>
      <c r="F26" s="128">
        <v>1516</v>
      </c>
      <c r="G26" s="254">
        <v>16.233001392011992</v>
      </c>
      <c r="H26" s="254">
        <v>15.499026887705813</v>
      </c>
      <c r="I26" s="254">
        <v>16.994743580319394</v>
      </c>
      <c r="J26" s="129"/>
      <c r="K26" s="129"/>
      <c r="L26" s="129"/>
      <c r="M26" s="60">
        <f t="shared" si="19"/>
        <v>3</v>
      </c>
      <c r="N26" s="61">
        <f t="shared" si="4"/>
        <v>3.9735446958164928</v>
      </c>
      <c r="O26" s="61">
        <f t="shared" si="17"/>
        <v>17.461783112752642</v>
      </c>
      <c r="P26" s="129">
        <f t="shared" si="5"/>
        <v>18.814984603913228</v>
      </c>
      <c r="Q26" s="129">
        <f t="shared" si="6"/>
        <v>18.673075278409023</v>
      </c>
      <c r="R26" s="129">
        <f t="shared" si="7"/>
        <v>18.957720998664552</v>
      </c>
      <c r="S26" s="61">
        <f t="shared" si="8"/>
        <v>21.575234284510898</v>
      </c>
      <c r="T26" s="61">
        <f t="shared" si="22"/>
        <v>25.920931222939885</v>
      </c>
      <c r="U26" s="61">
        <f t="shared" si="9"/>
        <v>20.895867005310549</v>
      </c>
      <c r="V26" s="61"/>
      <c r="Y26" s="163" t="s">
        <v>39</v>
      </c>
      <c r="Z26" s="163" t="s">
        <v>158</v>
      </c>
      <c r="AA26" s="163" t="s">
        <v>200</v>
      </c>
      <c r="AB26" s="163">
        <f t="shared" si="25"/>
        <v>5</v>
      </c>
      <c r="AC26" s="166">
        <f t="shared" si="26"/>
        <v>16.233001392011992</v>
      </c>
      <c r="AD26" s="166">
        <f t="shared" si="27"/>
        <v>24.47211694639957</v>
      </c>
      <c r="AE26" s="163"/>
      <c r="AF26" s="163">
        <f t="shared" si="11"/>
        <v>15</v>
      </c>
      <c r="AG26" s="168">
        <f t="shared" si="12"/>
        <v>3022</v>
      </c>
      <c r="AH26" s="166">
        <f t="shared" si="13"/>
        <v>20.752643867600604</v>
      </c>
      <c r="AI26" s="166">
        <f t="shared" si="14"/>
        <v>20.101730801029575</v>
      </c>
      <c r="AJ26" s="166">
        <f t="shared" si="15"/>
        <v>21.418983782598406</v>
      </c>
      <c r="AK26" s="168">
        <f t="shared" si="16"/>
        <v>4</v>
      </c>
    </row>
    <row r="27" spans="1:37" x14ac:dyDescent="0.2">
      <c r="A27" s="62" t="s">
        <v>50</v>
      </c>
      <c r="B27" s="62" t="s">
        <v>161</v>
      </c>
      <c r="C27" s="62" t="s">
        <v>163</v>
      </c>
      <c r="D27" s="62"/>
      <c r="E27" s="62">
        <f t="shared" si="3"/>
        <v>16</v>
      </c>
      <c r="F27" s="128">
        <v>1231</v>
      </c>
      <c r="G27" s="254">
        <v>21.104063089319389</v>
      </c>
      <c r="H27" s="254">
        <v>20.076093982710745</v>
      </c>
      <c r="I27" s="254">
        <v>22.170067339596365</v>
      </c>
      <c r="J27" s="129"/>
      <c r="K27" s="129"/>
      <c r="L27" s="129"/>
      <c r="M27" s="60">
        <f t="shared" si="19"/>
        <v>4</v>
      </c>
      <c r="N27" s="61">
        <f t="shared" si="4"/>
        <v>3.9735446958164928</v>
      </c>
      <c r="O27" s="61">
        <f t="shared" si="17"/>
        <v>17.461783112752642</v>
      </c>
      <c r="P27" s="129">
        <f t="shared" si="5"/>
        <v>18.814984603913228</v>
      </c>
      <c r="Q27" s="129">
        <f t="shared" si="6"/>
        <v>18.673075278409023</v>
      </c>
      <c r="R27" s="129">
        <f t="shared" si="7"/>
        <v>18.957720998664552</v>
      </c>
      <c r="S27" s="61">
        <f t="shared" si="8"/>
        <v>21.575234284510898</v>
      </c>
      <c r="T27" s="61">
        <f t="shared" si="22"/>
        <v>25.920931222939885</v>
      </c>
      <c r="U27" s="61">
        <f t="shared" si="9"/>
        <v>21.829017294872976</v>
      </c>
      <c r="V27" s="61"/>
      <c r="Y27" s="163" t="s">
        <v>40</v>
      </c>
      <c r="Z27" s="163" t="s">
        <v>63</v>
      </c>
      <c r="AA27" s="163" t="s">
        <v>200</v>
      </c>
      <c r="AB27" s="163">
        <f t="shared" si="25"/>
        <v>7</v>
      </c>
      <c r="AC27" s="166">
        <f t="shared" si="26"/>
        <v>16.233001392011992</v>
      </c>
      <c r="AD27" s="166">
        <f t="shared" si="27"/>
        <v>24.47211694639957</v>
      </c>
      <c r="AE27" s="163"/>
      <c r="AF27" s="163">
        <f t="shared" si="11"/>
        <v>23</v>
      </c>
      <c r="AG27" s="168">
        <f t="shared" si="12"/>
        <v>1865</v>
      </c>
      <c r="AH27" s="166">
        <f t="shared" si="13"/>
        <v>22.802298569507272</v>
      </c>
      <c r="AI27" s="166">
        <f t="shared" si="14"/>
        <v>21.90592747073806</v>
      </c>
      <c r="AJ27" s="166">
        <f t="shared" si="15"/>
        <v>23.724205749010441</v>
      </c>
      <c r="AK27" s="168">
        <f t="shared" si="16"/>
        <v>4</v>
      </c>
    </row>
    <row r="28" spans="1:37" x14ac:dyDescent="0.2">
      <c r="A28" s="62" t="s">
        <v>51</v>
      </c>
      <c r="B28" s="62" t="s">
        <v>71</v>
      </c>
      <c r="C28" s="62" t="s">
        <v>200</v>
      </c>
      <c r="D28" s="62"/>
      <c r="E28" s="62">
        <f t="shared" si="3"/>
        <v>25</v>
      </c>
      <c r="F28" s="128">
        <v>1356</v>
      </c>
      <c r="G28" s="254">
        <v>24.47211694639957</v>
      </c>
      <c r="H28" s="254">
        <v>23.358064404488662</v>
      </c>
      <c r="I28" s="254">
        <v>25.621540855466119</v>
      </c>
      <c r="J28" s="129"/>
      <c r="K28" s="129"/>
      <c r="L28" s="129"/>
      <c r="M28" s="60">
        <f t="shared" si="19"/>
        <v>4</v>
      </c>
      <c r="N28" s="61">
        <f t="shared" si="4"/>
        <v>3.9735446958164928</v>
      </c>
      <c r="O28" s="61">
        <f t="shared" si="17"/>
        <v>17.461783112752642</v>
      </c>
      <c r="P28" s="129">
        <f t="shared" si="5"/>
        <v>18.814984603913228</v>
      </c>
      <c r="Q28" s="129">
        <f t="shared" si="6"/>
        <v>18.673075278409023</v>
      </c>
      <c r="R28" s="129">
        <f t="shared" si="7"/>
        <v>18.957720998664552</v>
      </c>
      <c r="S28" s="61">
        <f t="shared" si="8"/>
        <v>21.575234284510898</v>
      </c>
      <c r="T28" s="61">
        <f t="shared" si="22"/>
        <v>25.920931222939885</v>
      </c>
      <c r="U28" s="61">
        <f t="shared" si="9"/>
        <v>20.895867005310549</v>
      </c>
      <c r="V28" s="61"/>
      <c r="Y28" s="163" t="s">
        <v>42</v>
      </c>
      <c r="Z28" s="163" t="s">
        <v>65</v>
      </c>
      <c r="AA28" s="163" t="s">
        <v>200</v>
      </c>
      <c r="AB28" s="163">
        <f t="shared" si="25"/>
        <v>2</v>
      </c>
      <c r="AC28" s="166">
        <f t="shared" si="26"/>
        <v>16.233001392011992</v>
      </c>
      <c r="AD28" s="166">
        <f t="shared" si="27"/>
        <v>24.47211694639957</v>
      </c>
      <c r="AE28" s="163"/>
      <c r="AF28" s="163">
        <f t="shared" si="11"/>
        <v>10</v>
      </c>
      <c r="AG28" s="168">
        <f t="shared" si="12"/>
        <v>976</v>
      </c>
      <c r="AH28" s="166">
        <f t="shared" si="13"/>
        <v>18.765621995770044</v>
      </c>
      <c r="AI28" s="166">
        <f t="shared" si="14"/>
        <v>17.72771643631744</v>
      </c>
      <c r="AJ28" s="166">
        <f t="shared" si="15"/>
        <v>19.849632927631212</v>
      </c>
      <c r="AK28" s="168">
        <f t="shared" si="16"/>
        <v>5</v>
      </c>
    </row>
    <row r="29" spans="1:37" x14ac:dyDescent="0.2">
      <c r="A29" s="62" t="s">
        <v>52</v>
      </c>
      <c r="B29" s="62" t="s">
        <v>72</v>
      </c>
      <c r="C29" s="62" t="s">
        <v>201</v>
      </c>
      <c r="D29" s="62"/>
      <c r="E29" s="62">
        <f t="shared" si="3"/>
        <v>3</v>
      </c>
      <c r="F29" s="128">
        <v>441</v>
      </c>
      <c r="G29" s="254">
        <v>10.154271241077597</v>
      </c>
      <c r="H29" s="254">
        <v>9.2908810685511689</v>
      </c>
      <c r="I29" s="254">
        <v>11.088087596687993</v>
      </c>
      <c r="J29" s="129"/>
      <c r="K29" s="129"/>
      <c r="L29" s="129"/>
      <c r="M29" s="60">
        <f t="shared" si="19"/>
        <v>3</v>
      </c>
      <c r="N29" s="61">
        <f t="shared" si="4"/>
        <v>3.9735446958164928</v>
      </c>
      <c r="O29" s="61">
        <f t="shared" si="17"/>
        <v>17.461783112752642</v>
      </c>
      <c r="P29" s="129">
        <f t="shared" si="5"/>
        <v>18.814984603913228</v>
      </c>
      <c r="Q29" s="129">
        <f t="shared" si="6"/>
        <v>18.673075278409023</v>
      </c>
      <c r="R29" s="129">
        <f t="shared" si="7"/>
        <v>18.957720998664552</v>
      </c>
      <c r="S29" s="61">
        <f t="shared" si="8"/>
        <v>21.575234284510898</v>
      </c>
      <c r="T29" s="61">
        <f t="shared" si="22"/>
        <v>25.920931222939885</v>
      </c>
      <c r="U29" s="61">
        <f t="shared" si="9"/>
        <v>14.312414022105214</v>
      </c>
      <c r="V29" s="61"/>
      <c r="Y29" s="163" t="s">
        <v>44</v>
      </c>
      <c r="Z29" s="163" t="s">
        <v>66</v>
      </c>
      <c r="AA29" s="163" t="s">
        <v>200</v>
      </c>
      <c r="AB29" s="163">
        <f t="shared" si="25"/>
        <v>4</v>
      </c>
      <c r="AC29" s="166">
        <f t="shared" si="26"/>
        <v>16.233001392011992</v>
      </c>
      <c r="AD29" s="166">
        <f t="shared" si="27"/>
        <v>24.47211694639957</v>
      </c>
      <c r="AE29" s="163"/>
      <c r="AF29" s="163">
        <f t="shared" si="11"/>
        <v>12</v>
      </c>
      <c r="AG29" s="168">
        <f t="shared" si="12"/>
        <v>857</v>
      </c>
      <c r="AH29" s="166">
        <f t="shared" si="13"/>
        <v>19.358482042014906</v>
      </c>
      <c r="AI29" s="166">
        <f t="shared" si="14"/>
        <v>18.221368721518864</v>
      </c>
      <c r="AJ29" s="166">
        <f t="shared" si="15"/>
        <v>20.548726638153784</v>
      </c>
      <c r="AK29" s="168">
        <f t="shared" si="16"/>
        <v>5</v>
      </c>
    </row>
    <row r="30" spans="1:37" x14ac:dyDescent="0.2">
      <c r="A30" s="62" t="s">
        <v>53</v>
      </c>
      <c r="B30" s="62" t="s">
        <v>162</v>
      </c>
      <c r="C30" s="62" t="s">
        <v>163</v>
      </c>
      <c r="D30" s="62"/>
      <c r="E30" s="62">
        <f t="shared" si="3"/>
        <v>22</v>
      </c>
      <c r="F30" s="128">
        <v>6375</v>
      </c>
      <c r="G30" s="254">
        <v>22.705417245432205</v>
      </c>
      <c r="H30" s="254">
        <v>22.21915245965539</v>
      </c>
      <c r="I30" s="254">
        <v>23.199149828485215</v>
      </c>
      <c r="J30" s="129"/>
      <c r="K30" s="129"/>
      <c r="L30" s="129"/>
      <c r="M30" s="60">
        <f t="shared" si="19"/>
        <v>4</v>
      </c>
      <c r="N30" s="61">
        <f t="shared" si="4"/>
        <v>3.9735446958164928</v>
      </c>
      <c r="O30" s="61">
        <f t="shared" si="17"/>
        <v>17.461783112752642</v>
      </c>
      <c r="P30" s="129">
        <f t="shared" si="5"/>
        <v>18.814984603913228</v>
      </c>
      <c r="Q30" s="129">
        <f t="shared" si="6"/>
        <v>18.673075278409023</v>
      </c>
      <c r="R30" s="129">
        <f t="shared" si="7"/>
        <v>18.957720998664552</v>
      </c>
      <c r="S30" s="61">
        <f t="shared" si="8"/>
        <v>21.575234284510898</v>
      </c>
      <c r="T30" s="61">
        <f t="shared" si="22"/>
        <v>25.920931222939885</v>
      </c>
      <c r="U30" s="61">
        <f>VLOOKUP(C30,$C$43:$I$46,5,FALSE)</f>
        <v>21.829017294872976</v>
      </c>
      <c r="V30" s="61"/>
      <c r="Y30" s="163" t="s">
        <v>49</v>
      </c>
      <c r="Z30" s="163" t="s">
        <v>70</v>
      </c>
      <c r="AA30" s="163" t="s">
        <v>200</v>
      </c>
      <c r="AB30" s="163">
        <f t="shared" si="25"/>
        <v>1</v>
      </c>
      <c r="AC30" s="166">
        <f t="shared" si="26"/>
        <v>16.233001392011992</v>
      </c>
      <c r="AD30" s="166">
        <f t="shared" si="27"/>
        <v>24.47211694639957</v>
      </c>
      <c r="AE30" s="163"/>
      <c r="AF30" s="163">
        <f t="shared" si="11"/>
        <v>5</v>
      </c>
      <c r="AG30" s="168">
        <f t="shared" si="12"/>
        <v>1516</v>
      </c>
      <c r="AH30" s="166">
        <f t="shared" si="13"/>
        <v>16.233001392011992</v>
      </c>
      <c r="AI30" s="166">
        <f t="shared" si="14"/>
        <v>15.499026887705813</v>
      </c>
      <c r="AJ30" s="166">
        <f t="shared" si="15"/>
        <v>16.994743580319394</v>
      </c>
      <c r="AK30" s="168">
        <f t="shared" si="16"/>
        <v>3</v>
      </c>
    </row>
    <row r="31" spans="1:37" x14ac:dyDescent="0.2">
      <c r="A31" s="62" t="s">
        <v>54</v>
      </c>
      <c r="B31" s="62" t="s">
        <v>73</v>
      </c>
      <c r="C31" s="62" t="s">
        <v>201</v>
      </c>
      <c r="D31" s="62"/>
      <c r="E31" s="62">
        <f t="shared" si="3"/>
        <v>2</v>
      </c>
      <c r="F31" s="128">
        <v>527</v>
      </c>
      <c r="G31" s="254">
        <v>7.8963140545400066</v>
      </c>
      <c r="H31" s="254">
        <v>7.2732650852386005</v>
      </c>
      <c r="I31" s="254">
        <v>8.5678036993969151</v>
      </c>
      <c r="J31" s="129"/>
      <c r="K31" s="129"/>
      <c r="L31" s="129"/>
      <c r="M31" s="60">
        <f t="shared" si="19"/>
        <v>3</v>
      </c>
      <c r="N31" s="61">
        <f t="shared" si="4"/>
        <v>3.9735446958164928</v>
      </c>
      <c r="O31" s="61">
        <f t="shared" si="17"/>
        <v>17.461783112752642</v>
      </c>
      <c r="P31" s="129">
        <f t="shared" si="5"/>
        <v>18.814984603913228</v>
      </c>
      <c r="Q31" s="129">
        <f t="shared" si="6"/>
        <v>18.673075278409023</v>
      </c>
      <c r="R31" s="129">
        <f t="shared" si="7"/>
        <v>18.957720998664552</v>
      </c>
      <c r="S31" s="61">
        <f t="shared" si="8"/>
        <v>21.575234284510898</v>
      </c>
      <c r="T31" s="61">
        <f t="shared" si="22"/>
        <v>25.920931222939885</v>
      </c>
      <c r="U31" s="61">
        <f t="shared" si="9"/>
        <v>14.312414022105214</v>
      </c>
      <c r="V31" s="61"/>
      <c r="Y31" s="163" t="s">
        <v>51</v>
      </c>
      <c r="Z31" s="163" t="s">
        <v>71</v>
      </c>
      <c r="AA31" s="163" t="s">
        <v>200</v>
      </c>
      <c r="AB31" s="163">
        <f t="shared" si="25"/>
        <v>9</v>
      </c>
      <c r="AC31" s="166">
        <f t="shared" si="26"/>
        <v>16.233001392011992</v>
      </c>
      <c r="AD31" s="166">
        <f t="shared" si="27"/>
        <v>24.47211694639957</v>
      </c>
      <c r="AE31" s="163"/>
      <c r="AF31" s="163">
        <f t="shared" si="11"/>
        <v>25</v>
      </c>
      <c r="AG31" s="168">
        <f t="shared" si="12"/>
        <v>1356</v>
      </c>
      <c r="AH31" s="166">
        <f t="shared" si="13"/>
        <v>24.47211694639957</v>
      </c>
      <c r="AI31" s="166">
        <f t="shared" si="14"/>
        <v>23.358064404488662</v>
      </c>
      <c r="AJ31" s="166">
        <f t="shared" si="15"/>
        <v>25.621540855466119</v>
      </c>
      <c r="AK31" s="168">
        <f t="shared" si="16"/>
        <v>4</v>
      </c>
    </row>
    <row r="32" spans="1:37" x14ac:dyDescent="0.2">
      <c r="A32" s="62"/>
      <c r="B32" s="62" t="s">
        <v>171</v>
      </c>
      <c r="C32" s="62"/>
      <c r="D32" s="62"/>
      <c r="E32" s="62"/>
      <c r="F32" s="128">
        <v>54504</v>
      </c>
      <c r="G32" s="254">
        <v>18.814984603913228</v>
      </c>
      <c r="H32" s="254">
        <v>18.673075278409023</v>
      </c>
      <c r="I32" s="254">
        <v>18.957720998664552</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21318</v>
      </c>
      <c r="G44" s="129">
        <v>21.829017294872976</v>
      </c>
      <c r="H44" s="129">
        <v>21.571049320958814</v>
      </c>
      <c r="I44" s="129">
        <v>22.089201417086407</v>
      </c>
      <c r="J44" s="129">
        <f>VLOOKUP($C44,$AA$6:$AD$13,3,FALSE)</f>
        <v>18.341829373857845</v>
      </c>
      <c r="K44" s="129">
        <f>VLOOKUP($C44,$AA$6:$AD$13,4,FALSE)</f>
        <v>25.920931222939885</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4</v>
      </c>
      <c r="N44" s="61">
        <f>MIN($G$6:$G$31)</f>
        <v>3.9735446958164928</v>
      </c>
      <c r="O44" s="61">
        <f>VLOOKUP(7,$E$5:$G$39,3,FALSE)</f>
        <v>17.461783112752642</v>
      </c>
      <c r="P44" s="129">
        <f>$G$32</f>
        <v>18.814984603913228</v>
      </c>
      <c r="Q44" s="129">
        <f>$H$32</f>
        <v>18.673075278409023</v>
      </c>
      <c r="R44" s="129">
        <f>$I$32</f>
        <v>18.957720998664552</v>
      </c>
      <c r="S44" s="61">
        <f>VLOOKUP(20,$E$5:$G$39,3,FALSE)</f>
        <v>21.575234284510898</v>
      </c>
      <c r="T44" s="61">
        <f>MAX($G$6:$G$31)</f>
        <v>25.920931222939885</v>
      </c>
    </row>
    <row r="45" spans="1:22" x14ac:dyDescent="0.2">
      <c r="C45" s="62" t="s">
        <v>201</v>
      </c>
      <c r="D45" s="62"/>
      <c r="E45" s="62"/>
      <c r="F45" s="128">
        <v>15086</v>
      </c>
      <c r="G45" s="129">
        <v>14.312414022105214</v>
      </c>
      <c r="H45" s="129">
        <v>14.102300869941335</v>
      </c>
      <c r="I45" s="129">
        <v>14.525128329732842</v>
      </c>
      <c r="J45" s="129">
        <f>VLOOKUP($C45,$AA$14:$AD$22,3,FALSE)</f>
        <v>3.9735446958164928</v>
      </c>
      <c r="K45" s="129">
        <f>VLOOKUP($C45,$AA$14:$AD$22,4,FALSE)</f>
        <v>22.038963914102279</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3</v>
      </c>
      <c r="N45" s="61">
        <f t="shared" ref="N45:N46" si="28">MIN($G$6:$G$31)</f>
        <v>3.9735446958164928</v>
      </c>
      <c r="O45" s="61">
        <f t="shared" ref="O45:O46" si="29">VLOOKUP(7,$E$5:$G$39,3,FALSE)</f>
        <v>17.461783112752642</v>
      </c>
      <c r="P45" s="129">
        <f>$G$32</f>
        <v>18.814984603913228</v>
      </c>
      <c r="Q45" s="129">
        <f t="shared" ref="Q45:Q46" si="30">$H$32</f>
        <v>18.673075278409023</v>
      </c>
      <c r="R45" s="129">
        <f t="shared" ref="R45:R46" si="31">$I$32</f>
        <v>18.957720998664552</v>
      </c>
      <c r="S45" s="61">
        <f t="shared" ref="S45:S46" si="32">VLOOKUP(20,$E$5:$G$39,3,FALSE)</f>
        <v>21.575234284510898</v>
      </c>
      <c r="T45" s="61">
        <f t="shared" ref="T45:T46" si="33">MAX($G$6:$G$31)</f>
        <v>25.920931222939885</v>
      </c>
    </row>
    <row r="46" spans="1:22" x14ac:dyDescent="0.2">
      <c r="C46" s="62" t="s">
        <v>200</v>
      </c>
      <c r="D46" s="62"/>
      <c r="E46" s="62"/>
      <c r="F46" s="128">
        <v>18100</v>
      </c>
      <c r="G46" s="129">
        <v>20.895867005310549</v>
      </c>
      <c r="H46" s="129">
        <v>20.626410396813423</v>
      </c>
      <c r="I46" s="129">
        <v>21.167904943070575</v>
      </c>
      <c r="J46" s="129">
        <f>VLOOKUP($C46,$AA$23:$AD$31,3,FALSE)</f>
        <v>16.233001392011992</v>
      </c>
      <c r="K46" s="129">
        <f>VLOOKUP($C46,$AA$23:$AD$31,4,FALSE)</f>
        <v>24.47211694639957</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4</v>
      </c>
      <c r="N46" s="61">
        <f t="shared" si="28"/>
        <v>3.9735446958164928</v>
      </c>
      <c r="O46" s="61">
        <f t="shared" si="29"/>
        <v>17.461783112752642</v>
      </c>
      <c r="P46" s="129">
        <f t="shared" ref="P46" si="34">$G$32</f>
        <v>18.814984603913228</v>
      </c>
      <c r="Q46" s="129">
        <f t="shared" si="30"/>
        <v>18.673075278409023</v>
      </c>
      <c r="R46" s="129">
        <f t="shared" si="31"/>
        <v>18.957720998664552</v>
      </c>
      <c r="S46" s="61">
        <f t="shared" si="32"/>
        <v>21.575234284510898</v>
      </c>
      <c r="T46" s="61">
        <f t="shared" si="33"/>
        <v>25.920931222939885</v>
      </c>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C2:D2" xr:uid="{00000000-0002-0000-0700-000000000000}">
      <formula1>"Better / Worse,Higher / Lower,Significance not measured"</formula1>
    </dataValidation>
    <dataValidation type="list" allowBlank="1" showInputMessage="1" showErrorMessage="1" sqref="K2:N2" xr:uid="{00000000-0002-0000-0700-000001000000}">
      <formula1>"High = Worst,Low = Worst"</formula1>
    </dataValidation>
  </dataValidations>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theme="6" tint="0.39997558519241921"/>
  </sheetPr>
  <dimension ref="A1:AK55"/>
  <sheetViews>
    <sheetView workbookViewId="0">
      <selection activeCell="C78" sqref="C78"/>
    </sheetView>
  </sheetViews>
  <sheetFormatPr defaultColWidth="9.109375" defaultRowHeight="10.199999999999999" x14ac:dyDescent="0.2"/>
  <cols>
    <col min="1" max="1" width="6.44140625" style="21" bestFit="1" customWidth="1"/>
    <col min="2" max="2" width="20.5546875" style="21" bestFit="1" customWidth="1"/>
    <col min="3" max="3" width="18.88671875" style="21" customWidth="1"/>
    <col min="4" max="4" width="18.6640625" style="21" customWidth="1"/>
    <col min="5" max="5" width="4.88671875" style="21" bestFit="1" customWidth="1"/>
    <col min="6" max="6" width="6.109375" style="21" customWidth="1"/>
    <col min="7" max="7" width="5.6640625" style="21" customWidth="1"/>
    <col min="8" max="9" width="5.109375" style="21" customWidth="1"/>
    <col min="10" max="10" width="9.109375" style="21" customWidth="1"/>
    <col min="11" max="12" width="6.109375" style="21" customWidth="1"/>
    <col min="13" max="13" width="4.88671875" style="21" bestFit="1" customWidth="1"/>
    <col min="14" max="14" width="7.88671875" style="21" customWidth="1"/>
    <col min="15" max="15" width="7" style="21" bestFit="1" customWidth="1"/>
    <col min="16" max="16" width="5" style="21" customWidth="1"/>
    <col min="17" max="18" width="4.6640625" style="21" customWidth="1"/>
    <col min="19" max="19" width="7" style="21" bestFit="1" customWidth="1"/>
    <col min="20" max="20" width="4.88671875" style="21" bestFit="1" customWidth="1"/>
    <col min="21" max="21" width="7.109375" style="21" customWidth="1"/>
    <col min="22" max="22" width="4" style="21" bestFit="1" customWidth="1"/>
    <col min="23" max="23" width="12.33203125" style="21" customWidth="1"/>
    <col min="24" max="25" width="9.109375" style="21"/>
    <col min="26" max="26" width="10.109375" style="21" customWidth="1"/>
    <col min="27" max="16384" width="9.109375" style="21"/>
  </cols>
  <sheetData>
    <row r="1" spans="1:37" ht="10.8" thickBot="1" x14ac:dyDescent="0.25"/>
    <row r="2" spans="1:37" ht="13.8" thickBot="1" x14ac:dyDescent="0.3">
      <c r="A2" s="135" t="s">
        <v>132</v>
      </c>
      <c r="B2" s="136"/>
      <c r="C2" s="443" t="s">
        <v>133</v>
      </c>
      <c r="D2" s="444"/>
      <c r="F2" s="137" t="s">
        <v>135</v>
      </c>
      <c r="G2" s="138"/>
      <c r="H2" s="138"/>
      <c r="I2" s="139"/>
      <c r="J2" s="140"/>
      <c r="K2" s="445" t="s">
        <v>137</v>
      </c>
      <c r="L2" s="443"/>
      <c r="M2" s="443"/>
      <c r="N2" s="446"/>
      <c r="P2" s="141" t="s">
        <v>136</v>
      </c>
    </row>
    <row r="4" spans="1:37" x14ac:dyDescent="0.2">
      <c r="A4" s="59">
        <v>1</v>
      </c>
      <c r="B4" s="59">
        <v>2</v>
      </c>
      <c r="C4" s="59">
        <v>3</v>
      </c>
      <c r="D4" s="59">
        <v>4</v>
      </c>
      <c r="E4" s="59">
        <v>5</v>
      </c>
      <c r="F4" s="31">
        <v>6</v>
      </c>
      <c r="G4" s="31">
        <v>7</v>
      </c>
      <c r="H4" s="31">
        <v>8</v>
      </c>
      <c r="I4" s="31">
        <v>9</v>
      </c>
      <c r="J4" s="31">
        <v>10</v>
      </c>
      <c r="K4" s="31">
        <v>11</v>
      </c>
      <c r="L4" s="31">
        <v>12</v>
      </c>
      <c r="M4" s="59">
        <v>13</v>
      </c>
      <c r="N4" s="59">
        <v>14</v>
      </c>
      <c r="O4" s="59">
        <v>15</v>
      </c>
      <c r="P4" s="31">
        <v>16</v>
      </c>
      <c r="Q4" s="31">
        <v>17</v>
      </c>
      <c r="R4" s="31">
        <v>18</v>
      </c>
      <c r="S4" s="59">
        <v>19</v>
      </c>
      <c r="T4" s="59">
        <v>20</v>
      </c>
      <c r="U4" s="59">
        <v>21</v>
      </c>
      <c r="V4" s="59"/>
    </row>
    <row r="5" spans="1:37" s="66" customFormat="1" ht="90" customHeight="1" x14ac:dyDescent="0.2">
      <c r="A5" s="64" t="s">
        <v>24</v>
      </c>
      <c r="B5" s="64" t="s">
        <v>74</v>
      </c>
      <c r="C5" s="64" t="s">
        <v>89</v>
      </c>
      <c r="D5" s="64" t="s">
        <v>90</v>
      </c>
      <c r="E5" s="68" t="s">
        <v>91</v>
      </c>
      <c r="F5" s="69" t="s">
        <v>19</v>
      </c>
      <c r="G5" s="69" t="s">
        <v>20</v>
      </c>
      <c r="H5" s="69" t="s">
        <v>25</v>
      </c>
      <c r="I5" s="69" t="s">
        <v>26</v>
      </c>
      <c r="J5" s="69"/>
      <c r="K5" s="69"/>
      <c r="L5" s="69"/>
      <c r="M5" s="68" t="s">
        <v>1</v>
      </c>
      <c r="N5" s="68" t="s">
        <v>27</v>
      </c>
      <c r="O5" s="68" t="s">
        <v>176</v>
      </c>
      <c r="P5" s="69" t="s">
        <v>92</v>
      </c>
      <c r="Q5" s="69" t="s">
        <v>25</v>
      </c>
      <c r="R5" s="69" t="s">
        <v>26</v>
      </c>
      <c r="S5" s="68" t="s">
        <v>177</v>
      </c>
      <c r="T5" s="68" t="s">
        <v>28</v>
      </c>
      <c r="U5" s="68" t="s">
        <v>23</v>
      </c>
      <c r="V5" s="68"/>
      <c r="Y5" s="64" t="s">
        <v>184</v>
      </c>
      <c r="Z5" s="64" t="s">
        <v>74</v>
      </c>
      <c r="AA5" s="64" t="s">
        <v>89</v>
      </c>
      <c r="AB5" s="64" t="s">
        <v>179</v>
      </c>
      <c r="AC5" s="64" t="s">
        <v>180</v>
      </c>
      <c r="AD5" s="64" t="s">
        <v>181</v>
      </c>
      <c r="AE5" s="64"/>
      <c r="AF5" s="68" t="s">
        <v>178</v>
      </c>
      <c r="AG5" s="69" t="s">
        <v>19</v>
      </c>
      <c r="AH5" s="69" t="s">
        <v>20</v>
      </c>
      <c r="AI5" s="69" t="s">
        <v>25</v>
      </c>
      <c r="AJ5" s="69" t="s">
        <v>26</v>
      </c>
      <c r="AK5" s="68" t="s">
        <v>1</v>
      </c>
    </row>
    <row r="6" spans="1:37" x14ac:dyDescent="0.2">
      <c r="A6" s="62" t="s">
        <v>29</v>
      </c>
      <c r="B6" s="62" t="s">
        <v>55</v>
      </c>
      <c r="C6" s="62" t="s">
        <v>201</v>
      </c>
      <c r="D6" s="62"/>
      <c r="E6" s="62">
        <f>RANK(G6,$G$6:$G$31,1)</f>
        <v>19</v>
      </c>
      <c r="F6" s="128">
        <v>6525</v>
      </c>
      <c r="G6" s="129">
        <v>68.705907128566921</v>
      </c>
      <c r="H6" s="129">
        <v>67.76592812588936</v>
      </c>
      <c r="I6" s="129">
        <v>69.63075947698978</v>
      </c>
      <c r="J6" s="129"/>
      <c r="K6" s="129"/>
      <c r="L6" s="129"/>
      <c r="M6" s="60">
        <f t="shared" ref="M6:M11" si="0">IF($C$2="Significance not measured",6,IF(AND($C$2="Better / Worse",$K$2="Low = Worst",I6&lt;Q6),1,IF(AND($C$2="Better / Worse",$K$2="Low = Worst",H6&gt;R6),2,IF(AND($C$2="Better / Worse",$K$2="High = Worst",I6&lt;Q6),2,IF(AND($C$2="Better / Worse",$K$2="High = Worst",H6&gt;R6),1,IF(AND($C$2="Higher / Lower",I6&lt;Q6),3,IF(AND($C$2="Higher / Lower",H6&gt;R6),4,5)))))))</f>
        <v>5</v>
      </c>
      <c r="N6" s="61">
        <f>MIN($G$6:$G$32)</f>
        <v>59.791326566825191</v>
      </c>
      <c r="O6" s="61">
        <f>VLOOKUP(7,$E$5:$G$39,3,FALSE)</f>
        <v>62.407407407407405</v>
      </c>
      <c r="P6" s="129">
        <f>$G$32</f>
        <v>68.250231286505297</v>
      </c>
      <c r="Q6" s="129">
        <f>$H$32</f>
        <v>68.080475207864012</v>
      </c>
      <c r="R6" s="129">
        <f>$I$32</f>
        <v>68.419503344059578</v>
      </c>
      <c r="S6" s="61">
        <f>VLOOKUP(20,$E$5:$G$39,3,FALSE)</f>
        <v>70.301084790790341</v>
      </c>
      <c r="T6" s="61">
        <f t="shared" ref="T6:T14" si="1">MAX($G$6:$G$31)</f>
        <v>94.782426119363819</v>
      </c>
      <c r="U6" s="61">
        <f>VLOOKUP(C6,$C$43:$I$46,5,FALSE)</f>
        <v>77.696503960912679</v>
      </c>
      <c r="V6" s="61"/>
      <c r="Y6" s="159" t="s">
        <v>33</v>
      </c>
      <c r="Z6" s="159" t="s">
        <v>58</v>
      </c>
      <c r="AA6" s="159" t="s">
        <v>163</v>
      </c>
      <c r="AB6" s="159">
        <f t="shared" ref="AB6:AB11" si="2">RANK(AH6,$AH$6:$AH$13,1)</f>
        <v>1</v>
      </c>
      <c r="AC6" s="164">
        <f>MIN($AH$6:$AH$13)</f>
        <v>59.791326566825191</v>
      </c>
      <c r="AD6" s="164">
        <f>MAX($AH$6:$AH$13)</f>
        <v>63.809360534887709</v>
      </c>
      <c r="AE6" s="159"/>
      <c r="AF6" s="159">
        <f>VLOOKUP($Y6,$A$6:$I$31,5,FALSE)</f>
        <v>1</v>
      </c>
      <c r="AG6" s="160">
        <f>VLOOKUP($Y6,$A$6:$I$31,6,FALSE)</f>
        <v>8424</v>
      </c>
      <c r="AH6" s="161">
        <f>VLOOKUP($Y6,$A$6:$I$31,7,FALSE)</f>
        <v>59.791326566825191</v>
      </c>
      <c r="AI6" s="161">
        <f>VLOOKUP($Y6,$A$6:$I$31,8,FALSE)</f>
        <v>58.979132867075123</v>
      </c>
      <c r="AJ6" s="161">
        <f>VLOOKUP($Y6,$A$6:$I$31,9,FALSE)</f>
        <v>60.59818238238541</v>
      </c>
      <c r="AK6" s="160">
        <f>VLOOKUP($Y6,$A$6:$M$31,13,FALSE)</f>
        <v>3</v>
      </c>
    </row>
    <row r="7" spans="1:37" x14ac:dyDescent="0.2">
      <c r="A7" s="62" t="s">
        <v>30</v>
      </c>
      <c r="B7" s="62" t="s">
        <v>56</v>
      </c>
      <c r="C7" s="62" t="s">
        <v>200</v>
      </c>
      <c r="D7" s="62"/>
      <c r="E7" s="62">
        <f t="shared" ref="E7:E31" si="3">RANK(G7,$G$6:$G$31,1)</f>
        <v>2</v>
      </c>
      <c r="F7" s="128">
        <v>6983</v>
      </c>
      <c r="G7" s="129">
        <v>60.479819851030662</v>
      </c>
      <c r="H7" s="129">
        <v>59.584717772317155</v>
      </c>
      <c r="I7" s="129">
        <v>61.367950787058</v>
      </c>
      <c r="J7" s="129"/>
      <c r="K7" s="129"/>
      <c r="L7" s="129"/>
      <c r="M7" s="60">
        <f t="shared" si="0"/>
        <v>3</v>
      </c>
      <c r="N7" s="61">
        <f t="shared" ref="N7:N31" si="4">MIN($G$6:$G$32)</f>
        <v>59.791326566825191</v>
      </c>
      <c r="O7" s="61">
        <f>VLOOKUP(7,$E$5:$G$39,3,FALSE)</f>
        <v>62.407407407407405</v>
      </c>
      <c r="P7" s="129">
        <f t="shared" ref="P7:P31" si="5">$G$32</f>
        <v>68.250231286505297</v>
      </c>
      <c r="Q7" s="129">
        <f t="shared" ref="Q7:Q31" si="6">$H$32</f>
        <v>68.080475207864012</v>
      </c>
      <c r="R7" s="129">
        <f t="shared" ref="R7:R31" si="7">$I$32</f>
        <v>68.419503344059578</v>
      </c>
      <c r="S7" s="61">
        <f t="shared" ref="S7:S31" si="8">VLOOKUP(20,$E$5:$G$39,3,FALSE)</f>
        <v>70.301084790790341</v>
      </c>
      <c r="T7" s="61">
        <f t="shared" si="1"/>
        <v>94.782426119363819</v>
      </c>
      <c r="U7" s="61">
        <f t="shared" ref="U7:U31" si="9">VLOOKUP(C7,$C$43:$I$46,5,FALSE)</f>
        <v>64.061417686446546</v>
      </c>
      <c r="V7" s="61"/>
      <c r="Y7" s="159" t="s">
        <v>35</v>
      </c>
      <c r="Z7" s="159" t="s">
        <v>60</v>
      </c>
      <c r="AA7" s="159" t="s">
        <v>163</v>
      </c>
      <c r="AB7" s="159">
        <f t="shared" si="2"/>
        <v>5</v>
      </c>
      <c r="AC7" s="164">
        <f>MIN($AH$6:$AH$13)</f>
        <v>59.791326566825191</v>
      </c>
      <c r="AD7" s="164">
        <f t="shared" ref="AD7:AD13" si="10">MAX($AH$6:$AH$13)</f>
        <v>63.809360534887709</v>
      </c>
      <c r="AE7" s="159"/>
      <c r="AF7" s="159">
        <f t="shared" ref="AF7:AF31" si="11">VLOOKUP($Y7,$A$6:$I$31,5,FALSE)</f>
        <v>8</v>
      </c>
      <c r="AG7" s="160">
        <f t="shared" ref="AG7:AG31" si="12">VLOOKUP($Y7,$A$6:$I$31,6,FALSE)</f>
        <v>9089</v>
      </c>
      <c r="AH7" s="161">
        <f t="shared" ref="AH7:AH31" si="13">VLOOKUP($Y7,$A$6:$I$31,7,FALSE)</f>
        <v>62.433026514631123</v>
      </c>
      <c r="AI7" s="161">
        <f t="shared" ref="AI7:AI31" si="14">VLOOKUP($Y7,$A$6:$I$31,8,FALSE)</f>
        <v>61.643146510629563</v>
      </c>
      <c r="AJ7" s="161">
        <f t="shared" ref="AJ7:AJ31" si="15">VLOOKUP($Y7,$A$6:$I$31,9,FALSE)</f>
        <v>63.216346776925903</v>
      </c>
      <c r="AK7" s="160">
        <f t="shared" ref="AK7:AK31" si="16">VLOOKUP($Y7,$A$6:$M$31,13,FALSE)</f>
        <v>3</v>
      </c>
    </row>
    <row r="8" spans="1:37" x14ac:dyDescent="0.2">
      <c r="A8" s="62" t="s">
        <v>31</v>
      </c>
      <c r="B8" s="62" t="s">
        <v>57</v>
      </c>
      <c r="C8" s="62" t="s">
        <v>200</v>
      </c>
      <c r="D8" s="62"/>
      <c r="E8" s="62">
        <f t="shared" si="3"/>
        <v>6</v>
      </c>
      <c r="F8" s="128">
        <v>7565</v>
      </c>
      <c r="G8" s="129">
        <v>61.464088397790057</v>
      </c>
      <c r="H8" s="129">
        <v>60.600837267116312</v>
      </c>
      <c r="I8" s="129">
        <v>62.320185631356814</v>
      </c>
      <c r="J8" s="129"/>
      <c r="K8" s="129"/>
      <c r="L8" s="129"/>
      <c r="M8" s="60">
        <f t="shared" si="0"/>
        <v>3</v>
      </c>
      <c r="N8" s="61">
        <f t="shared" si="4"/>
        <v>59.791326566825191</v>
      </c>
      <c r="O8" s="61">
        <f t="shared" ref="O8:O31" si="17">VLOOKUP(7,$E$5:$G$39,3,FALSE)</f>
        <v>62.407407407407405</v>
      </c>
      <c r="P8" s="129">
        <f t="shared" si="5"/>
        <v>68.250231286505297</v>
      </c>
      <c r="Q8" s="129">
        <f t="shared" si="6"/>
        <v>68.080475207864012</v>
      </c>
      <c r="R8" s="129">
        <f t="shared" si="7"/>
        <v>68.419503344059578</v>
      </c>
      <c r="S8" s="61">
        <f t="shared" si="8"/>
        <v>70.301084790790341</v>
      </c>
      <c r="T8" s="61">
        <f t="shared" si="1"/>
        <v>94.782426119363819</v>
      </c>
      <c r="U8" s="61">
        <f t="shared" si="9"/>
        <v>64.061417686446546</v>
      </c>
      <c r="V8" s="61"/>
      <c r="Y8" s="159" t="s">
        <v>41</v>
      </c>
      <c r="Z8" s="159" t="s">
        <v>64</v>
      </c>
      <c r="AA8" s="159" t="s">
        <v>163</v>
      </c>
      <c r="AB8" s="159">
        <f t="shared" si="2"/>
        <v>3</v>
      </c>
      <c r="AC8" s="164">
        <f t="shared" ref="AC8:AC13" si="18">MIN($AH$6:$AH$13)</f>
        <v>59.791326566825191</v>
      </c>
      <c r="AD8" s="164">
        <f t="shared" si="10"/>
        <v>63.809360534887709</v>
      </c>
      <c r="AE8" s="159"/>
      <c r="AF8" s="159">
        <f t="shared" si="11"/>
        <v>5</v>
      </c>
      <c r="AG8" s="160">
        <f t="shared" si="12"/>
        <v>6409</v>
      </c>
      <c r="AH8" s="161">
        <f t="shared" si="13"/>
        <v>60.78338391502276</v>
      </c>
      <c r="AI8" s="161">
        <f t="shared" si="14"/>
        <v>59.84771043584972</v>
      </c>
      <c r="AJ8" s="161">
        <f t="shared" si="15"/>
        <v>61.711202910334052</v>
      </c>
      <c r="AK8" s="160">
        <f t="shared" si="16"/>
        <v>3</v>
      </c>
    </row>
    <row r="9" spans="1:37" x14ac:dyDescent="0.2">
      <c r="A9" s="62" t="s">
        <v>32</v>
      </c>
      <c r="B9" s="62" t="s">
        <v>156</v>
      </c>
      <c r="C9" s="62" t="s">
        <v>201</v>
      </c>
      <c r="D9" s="62"/>
      <c r="E9" s="62">
        <f t="shared" si="3"/>
        <v>20</v>
      </c>
      <c r="F9" s="128">
        <v>12702</v>
      </c>
      <c r="G9" s="129">
        <v>70.301084790790341</v>
      </c>
      <c r="H9" s="129">
        <v>69.630565365157153</v>
      </c>
      <c r="I9" s="129">
        <v>70.962973576162895</v>
      </c>
      <c r="J9" s="129"/>
      <c r="K9" s="129"/>
      <c r="L9" s="129"/>
      <c r="M9" s="60">
        <f t="shared" si="0"/>
        <v>4</v>
      </c>
      <c r="N9" s="61">
        <f t="shared" si="4"/>
        <v>59.791326566825191</v>
      </c>
      <c r="O9" s="61">
        <f t="shared" si="17"/>
        <v>62.407407407407405</v>
      </c>
      <c r="P9" s="129">
        <f t="shared" si="5"/>
        <v>68.250231286505297</v>
      </c>
      <c r="Q9" s="129">
        <f t="shared" si="6"/>
        <v>68.080475207864012</v>
      </c>
      <c r="R9" s="129">
        <f t="shared" si="7"/>
        <v>68.419503344059578</v>
      </c>
      <c r="S9" s="61">
        <f t="shared" si="8"/>
        <v>70.301084790790341</v>
      </c>
      <c r="T9" s="61">
        <f t="shared" si="1"/>
        <v>94.782426119363819</v>
      </c>
      <c r="U9" s="61">
        <f t="shared" si="9"/>
        <v>77.696503960912679</v>
      </c>
      <c r="V9" s="61"/>
      <c r="X9" s="63"/>
      <c r="Y9" s="159" t="s">
        <v>45</v>
      </c>
      <c r="Z9" s="159" t="s">
        <v>67</v>
      </c>
      <c r="AA9" s="159" t="s">
        <v>163</v>
      </c>
      <c r="AB9" s="159">
        <f t="shared" si="2"/>
        <v>7</v>
      </c>
      <c r="AC9" s="164">
        <f t="shared" si="18"/>
        <v>59.791326566825191</v>
      </c>
      <c r="AD9" s="164">
        <f t="shared" si="10"/>
        <v>63.809360534887709</v>
      </c>
      <c r="AE9" s="159"/>
      <c r="AF9" s="159">
        <f t="shared" si="11"/>
        <v>10</v>
      </c>
      <c r="AG9" s="160">
        <f t="shared" si="12"/>
        <v>5471</v>
      </c>
      <c r="AH9" s="161">
        <f t="shared" si="13"/>
        <v>62.447209222691477</v>
      </c>
      <c r="AI9" s="161">
        <f t="shared" si="14"/>
        <v>61.427935913356194</v>
      </c>
      <c r="AJ9" s="161">
        <f t="shared" si="15"/>
        <v>63.455571794648058</v>
      </c>
      <c r="AK9" s="160">
        <f t="shared" si="16"/>
        <v>3</v>
      </c>
    </row>
    <row r="10" spans="1:37" x14ac:dyDescent="0.2">
      <c r="A10" s="62" t="s">
        <v>33</v>
      </c>
      <c r="B10" s="62" t="s">
        <v>58</v>
      </c>
      <c r="C10" s="62" t="s">
        <v>163</v>
      </c>
      <c r="D10" s="62"/>
      <c r="E10" s="62">
        <f t="shared" si="3"/>
        <v>1</v>
      </c>
      <c r="F10" s="128">
        <v>8424</v>
      </c>
      <c r="G10" s="129">
        <v>59.791326566825191</v>
      </c>
      <c r="H10" s="129">
        <v>58.979132867075123</v>
      </c>
      <c r="I10" s="129">
        <v>60.59818238238541</v>
      </c>
      <c r="J10" s="129"/>
      <c r="K10" s="129"/>
      <c r="L10" s="129"/>
      <c r="M10" s="60">
        <f t="shared" si="0"/>
        <v>3</v>
      </c>
      <c r="N10" s="61">
        <f t="shared" si="4"/>
        <v>59.791326566825191</v>
      </c>
      <c r="O10" s="61">
        <f t="shared" si="17"/>
        <v>62.407407407407405</v>
      </c>
      <c r="P10" s="129">
        <f t="shared" si="5"/>
        <v>68.250231286505297</v>
      </c>
      <c r="Q10" s="129">
        <f t="shared" si="6"/>
        <v>68.080475207864012</v>
      </c>
      <c r="R10" s="129">
        <f t="shared" si="7"/>
        <v>68.419503344059578</v>
      </c>
      <c r="S10" s="61">
        <f t="shared" si="8"/>
        <v>70.301084790790341</v>
      </c>
      <c r="T10" s="61">
        <f t="shared" si="1"/>
        <v>94.782426119363819</v>
      </c>
      <c r="U10" s="61">
        <f t="shared" si="9"/>
        <v>61.770036555770588</v>
      </c>
      <c r="V10" s="61"/>
      <c r="Y10" s="159" t="s">
        <v>46</v>
      </c>
      <c r="Z10" s="159" t="s">
        <v>68</v>
      </c>
      <c r="AA10" s="159" t="s">
        <v>163</v>
      </c>
      <c r="AB10" s="159">
        <f t="shared" si="2"/>
        <v>2</v>
      </c>
      <c r="AC10" s="164">
        <f t="shared" si="18"/>
        <v>59.791326566825191</v>
      </c>
      <c r="AD10" s="164">
        <f t="shared" si="10"/>
        <v>63.809360534887709</v>
      </c>
      <c r="AE10" s="159"/>
      <c r="AF10" s="159">
        <f t="shared" si="11"/>
        <v>3</v>
      </c>
      <c r="AG10" s="160">
        <f t="shared" si="12"/>
        <v>6308</v>
      </c>
      <c r="AH10" s="161">
        <f t="shared" si="13"/>
        <v>60.67134750408772</v>
      </c>
      <c r="AI10" s="161">
        <f t="shared" si="14"/>
        <v>59.728625692451175</v>
      </c>
      <c r="AJ10" s="161">
        <f t="shared" si="15"/>
        <v>61.606186580051272</v>
      </c>
      <c r="AK10" s="160">
        <f t="shared" si="16"/>
        <v>3</v>
      </c>
    </row>
    <row r="11" spans="1:37" x14ac:dyDescent="0.2">
      <c r="A11" s="62" t="s">
        <v>34</v>
      </c>
      <c r="B11" s="62" t="s">
        <v>59</v>
      </c>
      <c r="C11" s="62" t="s">
        <v>200</v>
      </c>
      <c r="D11" s="62"/>
      <c r="E11" s="62">
        <f t="shared" si="3"/>
        <v>12</v>
      </c>
      <c r="F11" s="128">
        <v>9794</v>
      </c>
      <c r="G11" s="129">
        <v>63.117870722433466</v>
      </c>
      <c r="H11" s="129">
        <v>62.35555965652739</v>
      </c>
      <c r="I11" s="129">
        <v>63.873688356868165</v>
      </c>
      <c r="J11" s="129"/>
      <c r="K11" s="129"/>
      <c r="L11" s="129"/>
      <c r="M11" s="60">
        <f t="shared" si="0"/>
        <v>3</v>
      </c>
      <c r="N11" s="61">
        <f t="shared" si="4"/>
        <v>59.791326566825191</v>
      </c>
      <c r="O11" s="61">
        <f t="shared" si="17"/>
        <v>62.407407407407405</v>
      </c>
      <c r="P11" s="129">
        <f t="shared" si="5"/>
        <v>68.250231286505297</v>
      </c>
      <c r="Q11" s="129">
        <f t="shared" si="6"/>
        <v>68.080475207864012</v>
      </c>
      <c r="R11" s="129">
        <f t="shared" si="7"/>
        <v>68.419503344059578</v>
      </c>
      <c r="S11" s="61">
        <f t="shared" si="8"/>
        <v>70.301084790790341</v>
      </c>
      <c r="T11" s="61">
        <f t="shared" si="1"/>
        <v>94.782426119363819</v>
      </c>
      <c r="U11" s="61">
        <f t="shared" si="9"/>
        <v>64.061417686446546</v>
      </c>
      <c r="V11" s="61"/>
      <c r="Y11" s="159" t="s">
        <v>47</v>
      </c>
      <c r="Z11" s="159" t="s">
        <v>69</v>
      </c>
      <c r="AA11" s="159" t="s">
        <v>163</v>
      </c>
      <c r="AB11" s="159">
        <f t="shared" si="2"/>
        <v>4</v>
      </c>
      <c r="AC11" s="164">
        <f t="shared" si="18"/>
        <v>59.791326566825191</v>
      </c>
      <c r="AD11" s="164">
        <f t="shared" si="10"/>
        <v>63.809360534887709</v>
      </c>
      <c r="AE11" s="159"/>
      <c r="AF11" s="159">
        <f t="shared" si="11"/>
        <v>7</v>
      </c>
      <c r="AG11" s="160">
        <f t="shared" si="12"/>
        <v>3370</v>
      </c>
      <c r="AH11" s="161">
        <f t="shared" si="13"/>
        <v>62.407407407407405</v>
      </c>
      <c r="AI11" s="161">
        <f t="shared" si="14"/>
        <v>61.107141645955032</v>
      </c>
      <c r="AJ11" s="161">
        <f t="shared" si="15"/>
        <v>63.690032923493469</v>
      </c>
      <c r="AK11" s="160">
        <f t="shared" si="16"/>
        <v>3</v>
      </c>
    </row>
    <row r="12" spans="1:37" x14ac:dyDescent="0.2">
      <c r="A12" s="62" t="s">
        <v>35</v>
      </c>
      <c r="B12" s="62" t="s">
        <v>60</v>
      </c>
      <c r="C12" s="62" t="s">
        <v>163</v>
      </c>
      <c r="D12" s="62"/>
      <c r="E12" s="62">
        <f t="shared" si="3"/>
        <v>8</v>
      </c>
      <c r="F12" s="128">
        <v>9089</v>
      </c>
      <c r="G12" s="129">
        <v>62.433026514631123</v>
      </c>
      <c r="H12" s="129">
        <v>61.643146510629563</v>
      </c>
      <c r="I12" s="129">
        <v>63.216346776925903</v>
      </c>
      <c r="J12" s="129"/>
      <c r="K12" s="129"/>
      <c r="L12" s="129"/>
      <c r="M12" s="60">
        <f t="shared" ref="M12:M31" si="19">IF($C$2="Significance not measured",6,IF(AND($C$2="Better / Worse",$K$2="Low = Worst",I12&lt;Q12),1,IF(AND($C$2="Better / Worse",$K$2="Low = Worst",H12&gt;R12),2,IF(AND($C$2="Better / Worse",$K$2="High = Worst",I12&lt;Q12),2,IF(AND($C$2="Better / Worse",$K$2="High = Worst",H12&gt;R12),1,IF(AND($C$2="Higher / Lower",I12&lt;Q12),3,IF(AND($C$2="Higher / Lower",H12&gt;R12),4,5)))))))</f>
        <v>3</v>
      </c>
      <c r="N12" s="61">
        <f t="shared" si="4"/>
        <v>59.791326566825191</v>
      </c>
      <c r="O12" s="61">
        <f t="shared" si="17"/>
        <v>62.407407407407405</v>
      </c>
      <c r="P12" s="129">
        <f t="shared" si="5"/>
        <v>68.250231286505297</v>
      </c>
      <c r="Q12" s="129">
        <f t="shared" si="6"/>
        <v>68.080475207864012</v>
      </c>
      <c r="R12" s="129">
        <f t="shared" si="7"/>
        <v>68.419503344059578</v>
      </c>
      <c r="S12" s="61">
        <f t="shared" si="8"/>
        <v>70.301084790790341</v>
      </c>
      <c r="T12" s="61">
        <f t="shared" si="1"/>
        <v>94.782426119363819</v>
      </c>
      <c r="U12" s="61">
        <f t="shared" si="9"/>
        <v>61.770036555770588</v>
      </c>
      <c r="V12" s="61"/>
      <c r="Y12" s="159" t="s">
        <v>50</v>
      </c>
      <c r="Z12" s="159" t="s">
        <v>161</v>
      </c>
      <c r="AA12" s="159" t="s">
        <v>163</v>
      </c>
      <c r="AB12" s="159">
        <f t="shared" ref="AB12" si="20">RANK(AH12,$AH$6:$AH$13,1)</f>
        <v>8</v>
      </c>
      <c r="AC12" s="164">
        <f t="shared" si="18"/>
        <v>59.791326566825191</v>
      </c>
      <c r="AD12" s="164">
        <f t="shared" si="10"/>
        <v>63.809360534887709</v>
      </c>
      <c r="AE12" s="159"/>
      <c r="AF12" s="159">
        <f t="shared" si="11"/>
        <v>14</v>
      </c>
      <c r="AG12" s="160">
        <f t="shared" si="12"/>
        <v>3722</v>
      </c>
      <c r="AH12" s="161">
        <f t="shared" si="13"/>
        <v>63.809360534887709</v>
      </c>
      <c r="AI12" s="161">
        <f t="shared" si="14"/>
        <v>62.567419121827939</v>
      </c>
      <c r="AJ12" s="161">
        <f t="shared" si="15"/>
        <v>65.03312496294312</v>
      </c>
      <c r="AK12" s="160">
        <f t="shared" si="16"/>
        <v>3</v>
      </c>
    </row>
    <row r="13" spans="1:37" x14ac:dyDescent="0.2">
      <c r="A13" s="62" t="s">
        <v>36</v>
      </c>
      <c r="B13" s="62" t="s">
        <v>61</v>
      </c>
      <c r="C13" s="62" t="s">
        <v>201</v>
      </c>
      <c r="D13" s="62"/>
      <c r="E13" s="62">
        <f t="shared" si="3"/>
        <v>26</v>
      </c>
      <c r="F13" s="128">
        <v>18057</v>
      </c>
      <c r="G13" s="129">
        <v>94.782426119363819</v>
      </c>
      <c r="H13" s="129">
        <v>94.457518731916252</v>
      </c>
      <c r="I13" s="129">
        <v>95.089277219520824</v>
      </c>
      <c r="J13" s="129"/>
      <c r="K13" s="129"/>
      <c r="L13" s="129"/>
      <c r="M13" s="60">
        <f t="shared" si="19"/>
        <v>4</v>
      </c>
      <c r="N13" s="61">
        <f t="shared" si="4"/>
        <v>59.791326566825191</v>
      </c>
      <c r="O13" s="61">
        <f t="shared" si="17"/>
        <v>62.407407407407405</v>
      </c>
      <c r="P13" s="129">
        <f t="shared" si="5"/>
        <v>68.250231286505297</v>
      </c>
      <c r="Q13" s="129">
        <f t="shared" si="6"/>
        <v>68.080475207864012</v>
      </c>
      <c r="R13" s="129">
        <f t="shared" si="7"/>
        <v>68.419503344059578</v>
      </c>
      <c r="S13" s="61">
        <f t="shared" si="8"/>
        <v>70.301084790790341</v>
      </c>
      <c r="T13" s="61">
        <f t="shared" si="1"/>
        <v>94.782426119363819</v>
      </c>
      <c r="U13" s="61">
        <f t="shared" si="9"/>
        <v>77.696503960912679</v>
      </c>
      <c r="V13" s="61"/>
      <c r="Y13" s="159" t="s">
        <v>53</v>
      </c>
      <c r="Z13" s="159" t="s">
        <v>162</v>
      </c>
      <c r="AA13" s="159" t="s">
        <v>163</v>
      </c>
      <c r="AB13" s="159">
        <f>RANK(AH13,$AH$6:$AH$13,1)</f>
        <v>6</v>
      </c>
      <c r="AC13" s="164">
        <f t="shared" si="18"/>
        <v>59.791326566825191</v>
      </c>
      <c r="AD13" s="164">
        <f t="shared" si="10"/>
        <v>63.809360534887709</v>
      </c>
      <c r="AE13" s="159"/>
      <c r="AF13" s="159">
        <f t="shared" si="11"/>
        <v>9</v>
      </c>
      <c r="AG13" s="160">
        <f t="shared" si="12"/>
        <v>17531</v>
      </c>
      <c r="AH13" s="161">
        <f t="shared" si="13"/>
        <v>62.43900701641914</v>
      </c>
      <c r="AI13" s="161">
        <f t="shared" si="14"/>
        <v>61.870881527531388</v>
      </c>
      <c r="AJ13" s="161">
        <f t="shared" si="15"/>
        <v>63.003729193244887</v>
      </c>
      <c r="AK13" s="160">
        <f t="shared" si="16"/>
        <v>3</v>
      </c>
    </row>
    <row r="14" spans="1:37" x14ac:dyDescent="0.2">
      <c r="A14" s="62" t="s">
        <v>37</v>
      </c>
      <c r="B14" s="62" t="s">
        <v>157</v>
      </c>
      <c r="C14" s="62" t="s">
        <v>201</v>
      </c>
      <c r="D14" s="62"/>
      <c r="E14" s="62">
        <f t="shared" si="3"/>
        <v>23</v>
      </c>
      <c r="F14" s="128">
        <v>19598</v>
      </c>
      <c r="G14" s="129">
        <v>80.773193751803163</v>
      </c>
      <c r="H14" s="129">
        <v>80.27247312118925</v>
      </c>
      <c r="I14" s="129">
        <v>81.264171544085229</v>
      </c>
      <c r="J14" s="129"/>
      <c r="K14" s="129"/>
      <c r="L14" s="129"/>
      <c r="M14" s="60">
        <f t="shared" si="19"/>
        <v>4</v>
      </c>
      <c r="N14" s="61">
        <f t="shared" si="4"/>
        <v>59.791326566825191</v>
      </c>
      <c r="O14" s="61">
        <f t="shared" si="17"/>
        <v>62.407407407407405</v>
      </c>
      <c r="P14" s="129">
        <f t="shared" si="5"/>
        <v>68.250231286505297</v>
      </c>
      <c r="Q14" s="129">
        <f t="shared" si="6"/>
        <v>68.080475207864012</v>
      </c>
      <c r="R14" s="129">
        <f t="shared" si="7"/>
        <v>68.419503344059578</v>
      </c>
      <c r="S14" s="61">
        <f t="shared" si="8"/>
        <v>70.301084790790341</v>
      </c>
      <c r="T14" s="61">
        <f t="shared" si="1"/>
        <v>94.782426119363819</v>
      </c>
      <c r="U14" s="61">
        <f t="shared" si="9"/>
        <v>77.696503960912679</v>
      </c>
      <c r="V14" s="61"/>
      <c r="Y14" s="162" t="s">
        <v>29</v>
      </c>
      <c r="Z14" s="162" t="s">
        <v>55</v>
      </c>
      <c r="AA14" s="162" t="s">
        <v>201</v>
      </c>
      <c r="AB14" s="162">
        <f t="shared" ref="AB14:AB22" si="21">RANK(AH14,$AH$14:$AH$22,1)</f>
        <v>4</v>
      </c>
      <c r="AC14" s="165">
        <f>MIN($AH$14:$AH$22)</f>
        <v>63.058129738837408</v>
      </c>
      <c r="AD14" s="165">
        <f>MAX($AH$14:$AH$22)</f>
        <v>94.782426119363819</v>
      </c>
      <c r="AE14" s="162"/>
      <c r="AF14" s="162">
        <f t="shared" si="11"/>
        <v>19</v>
      </c>
      <c r="AG14" s="167">
        <f t="shared" si="12"/>
        <v>6525</v>
      </c>
      <c r="AH14" s="165">
        <f t="shared" si="13"/>
        <v>68.705907128566921</v>
      </c>
      <c r="AI14" s="165">
        <f t="shared" si="14"/>
        <v>67.76592812588936</v>
      </c>
      <c r="AJ14" s="165">
        <f t="shared" si="15"/>
        <v>69.63075947698978</v>
      </c>
      <c r="AK14" s="167">
        <f t="shared" si="16"/>
        <v>5</v>
      </c>
    </row>
    <row r="15" spans="1:37" x14ac:dyDescent="0.2">
      <c r="A15" s="62" t="s">
        <v>38</v>
      </c>
      <c r="B15" s="62" t="s">
        <v>62</v>
      </c>
      <c r="C15" s="62" t="s">
        <v>201</v>
      </c>
      <c r="D15" s="62"/>
      <c r="E15" s="62">
        <f t="shared" si="3"/>
        <v>11</v>
      </c>
      <c r="F15" s="128">
        <v>4491</v>
      </c>
      <c r="G15" s="129">
        <v>63.058129738837408</v>
      </c>
      <c r="H15" s="129">
        <v>61.930443945632582</v>
      </c>
      <c r="I15" s="129">
        <v>64.171736558223657</v>
      </c>
      <c r="J15" s="129"/>
      <c r="K15" s="129"/>
      <c r="L15" s="129"/>
      <c r="M15" s="60">
        <f t="shared" si="19"/>
        <v>3</v>
      </c>
      <c r="N15" s="61">
        <f t="shared" si="4"/>
        <v>59.791326566825191</v>
      </c>
      <c r="O15" s="61">
        <f t="shared" si="17"/>
        <v>62.407407407407405</v>
      </c>
      <c r="P15" s="129">
        <f t="shared" si="5"/>
        <v>68.250231286505297</v>
      </c>
      <c r="Q15" s="129">
        <f t="shared" si="6"/>
        <v>68.080475207864012</v>
      </c>
      <c r="R15" s="129">
        <f t="shared" si="7"/>
        <v>68.419503344059578</v>
      </c>
      <c r="S15" s="61">
        <f t="shared" si="8"/>
        <v>70.301084790790341</v>
      </c>
      <c r="T15" s="61">
        <f t="shared" ref="T15:T31" si="22">MAX($G$6:$G$31)</f>
        <v>94.782426119363819</v>
      </c>
      <c r="U15" s="61">
        <f t="shared" si="9"/>
        <v>77.696503960912679</v>
      </c>
      <c r="V15" s="61"/>
      <c r="Y15" s="162" t="s">
        <v>32</v>
      </c>
      <c r="Z15" s="162" t="s">
        <v>156</v>
      </c>
      <c r="AA15" s="162" t="s">
        <v>201</v>
      </c>
      <c r="AB15" s="162">
        <f t="shared" si="21"/>
        <v>5</v>
      </c>
      <c r="AC15" s="165">
        <f t="shared" ref="AC15:AC22" si="23">MIN($AH$14:$AH$22)</f>
        <v>63.058129738837408</v>
      </c>
      <c r="AD15" s="165">
        <f t="shared" ref="AD15:AD22" si="24">MAX($AH$14:$AH$22)</f>
        <v>94.782426119363819</v>
      </c>
      <c r="AE15" s="162"/>
      <c r="AF15" s="162">
        <f t="shared" si="11"/>
        <v>20</v>
      </c>
      <c r="AG15" s="167">
        <f t="shared" si="12"/>
        <v>12702</v>
      </c>
      <c r="AH15" s="165">
        <f t="shared" si="13"/>
        <v>70.301084790790341</v>
      </c>
      <c r="AI15" s="165">
        <f t="shared" si="14"/>
        <v>69.630565365157153</v>
      </c>
      <c r="AJ15" s="165">
        <f t="shared" si="15"/>
        <v>70.962973576162895</v>
      </c>
      <c r="AK15" s="167">
        <f t="shared" si="16"/>
        <v>4</v>
      </c>
    </row>
    <row r="16" spans="1:37" x14ac:dyDescent="0.2">
      <c r="A16" s="62" t="s">
        <v>39</v>
      </c>
      <c r="B16" s="62" t="s">
        <v>158</v>
      </c>
      <c r="C16" s="62" t="s">
        <v>200</v>
      </c>
      <c r="D16" s="62"/>
      <c r="E16" s="62">
        <f t="shared" si="3"/>
        <v>16</v>
      </c>
      <c r="F16" s="128">
        <v>9469</v>
      </c>
      <c r="G16" s="129">
        <v>65.025408597720087</v>
      </c>
      <c r="H16" s="129">
        <v>64.246977262293584</v>
      </c>
      <c r="I16" s="129">
        <v>65.795914611625648</v>
      </c>
      <c r="J16" s="129"/>
      <c r="K16" s="129"/>
      <c r="L16" s="129"/>
      <c r="M16" s="60">
        <f t="shared" si="19"/>
        <v>3</v>
      </c>
      <c r="N16" s="61">
        <f t="shared" si="4"/>
        <v>59.791326566825191</v>
      </c>
      <c r="O16" s="61">
        <f t="shared" si="17"/>
        <v>62.407407407407405</v>
      </c>
      <c r="P16" s="129">
        <f t="shared" si="5"/>
        <v>68.250231286505297</v>
      </c>
      <c r="Q16" s="129">
        <f t="shared" si="6"/>
        <v>68.080475207864012</v>
      </c>
      <c r="R16" s="129">
        <f t="shared" si="7"/>
        <v>68.419503344059578</v>
      </c>
      <c r="S16" s="61">
        <f t="shared" si="8"/>
        <v>70.301084790790341</v>
      </c>
      <c r="T16" s="61">
        <f t="shared" si="22"/>
        <v>94.782426119363819</v>
      </c>
      <c r="U16" s="61">
        <f t="shared" si="9"/>
        <v>64.061417686446546</v>
      </c>
      <c r="V16" s="61"/>
      <c r="Y16" s="162" t="s">
        <v>36</v>
      </c>
      <c r="Z16" s="162" t="s">
        <v>61</v>
      </c>
      <c r="AA16" s="162" t="s">
        <v>201</v>
      </c>
      <c r="AB16" s="162">
        <f t="shared" si="21"/>
        <v>9</v>
      </c>
      <c r="AC16" s="165">
        <f>MIN($AH$14:$AH$22)</f>
        <v>63.058129738837408</v>
      </c>
      <c r="AD16" s="165">
        <f t="shared" si="24"/>
        <v>94.782426119363819</v>
      </c>
      <c r="AE16" s="162"/>
      <c r="AF16" s="162">
        <f t="shared" si="11"/>
        <v>26</v>
      </c>
      <c r="AG16" s="167">
        <f t="shared" si="12"/>
        <v>18057</v>
      </c>
      <c r="AH16" s="165">
        <f t="shared" si="13"/>
        <v>94.782426119363819</v>
      </c>
      <c r="AI16" s="165">
        <f t="shared" si="14"/>
        <v>94.457518731916252</v>
      </c>
      <c r="AJ16" s="165">
        <f t="shared" si="15"/>
        <v>95.089277219520824</v>
      </c>
      <c r="AK16" s="167">
        <f t="shared" si="16"/>
        <v>4</v>
      </c>
    </row>
    <row r="17" spans="1:37" x14ac:dyDescent="0.2">
      <c r="A17" s="62" t="s">
        <v>40</v>
      </c>
      <c r="B17" s="62" t="s">
        <v>63</v>
      </c>
      <c r="C17" s="62" t="s">
        <v>200</v>
      </c>
      <c r="D17" s="62"/>
      <c r="E17" s="62">
        <f t="shared" si="3"/>
        <v>4</v>
      </c>
      <c r="F17" s="128">
        <v>4965</v>
      </c>
      <c r="G17" s="129">
        <v>60.704242572441615</v>
      </c>
      <c r="H17" s="129">
        <v>59.640979626741199</v>
      </c>
      <c r="I17" s="129">
        <v>61.757455242267646</v>
      </c>
      <c r="J17" s="129"/>
      <c r="K17" s="129"/>
      <c r="L17" s="129"/>
      <c r="M17" s="60">
        <f t="shared" si="19"/>
        <v>3</v>
      </c>
      <c r="N17" s="61">
        <f t="shared" si="4"/>
        <v>59.791326566825191</v>
      </c>
      <c r="O17" s="61">
        <f t="shared" si="17"/>
        <v>62.407407407407405</v>
      </c>
      <c r="P17" s="129">
        <f t="shared" si="5"/>
        <v>68.250231286505297</v>
      </c>
      <c r="Q17" s="129">
        <f t="shared" si="6"/>
        <v>68.080475207864012</v>
      </c>
      <c r="R17" s="129">
        <f t="shared" si="7"/>
        <v>68.419503344059578</v>
      </c>
      <c r="S17" s="61">
        <f t="shared" si="8"/>
        <v>70.301084790790341</v>
      </c>
      <c r="T17" s="61">
        <f t="shared" si="22"/>
        <v>94.782426119363819</v>
      </c>
      <c r="U17" s="61">
        <f t="shared" si="9"/>
        <v>64.061417686446546</v>
      </c>
      <c r="V17" s="61"/>
      <c r="Y17" s="162" t="s">
        <v>37</v>
      </c>
      <c r="Z17" s="162" t="s">
        <v>157</v>
      </c>
      <c r="AA17" s="162" t="s">
        <v>201</v>
      </c>
      <c r="AB17" s="162">
        <f t="shared" si="21"/>
        <v>6</v>
      </c>
      <c r="AC17" s="165">
        <f t="shared" si="23"/>
        <v>63.058129738837408</v>
      </c>
      <c r="AD17" s="165">
        <f>MAX($AH$14:$AH$22)</f>
        <v>94.782426119363819</v>
      </c>
      <c r="AE17" s="162"/>
      <c r="AF17" s="162">
        <f t="shared" si="11"/>
        <v>23</v>
      </c>
      <c r="AG17" s="167">
        <f t="shared" si="12"/>
        <v>19598</v>
      </c>
      <c r="AH17" s="165">
        <f t="shared" si="13"/>
        <v>80.773193751803163</v>
      </c>
      <c r="AI17" s="165">
        <f t="shared" si="14"/>
        <v>80.27247312118925</v>
      </c>
      <c r="AJ17" s="165">
        <f t="shared" si="15"/>
        <v>81.264171544085229</v>
      </c>
      <c r="AK17" s="167">
        <f t="shared" si="16"/>
        <v>4</v>
      </c>
    </row>
    <row r="18" spans="1:37" x14ac:dyDescent="0.2">
      <c r="A18" s="62" t="s">
        <v>41</v>
      </c>
      <c r="B18" s="62" t="s">
        <v>64</v>
      </c>
      <c r="C18" s="62" t="s">
        <v>163</v>
      </c>
      <c r="D18" s="62"/>
      <c r="E18" s="62">
        <f t="shared" si="3"/>
        <v>5</v>
      </c>
      <c r="F18" s="128">
        <v>6409</v>
      </c>
      <c r="G18" s="129">
        <v>60.78338391502276</v>
      </c>
      <c r="H18" s="129">
        <v>59.84771043584972</v>
      </c>
      <c r="I18" s="129">
        <v>61.711202910334052</v>
      </c>
      <c r="J18" s="129"/>
      <c r="K18" s="129"/>
      <c r="L18" s="129"/>
      <c r="M18" s="60">
        <f t="shared" si="19"/>
        <v>3</v>
      </c>
      <c r="N18" s="61">
        <f t="shared" si="4"/>
        <v>59.791326566825191</v>
      </c>
      <c r="O18" s="61">
        <f t="shared" si="17"/>
        <v>62.407407407407405</v>
      </c>
      <c r="P18" s="129">
        <f t="shared" si="5"/>
        <v>68.250231286505297</v>
      </c>
      <c r="Q18" s="129">
        <f t="shared" si="6"/>
        <v>68.080475207864012</v>
      </c>
      <c r="R18" s="129">
        <f t="shared" si="7"/>
        <v>68.419503344059578</v>
      </c>
      <c r="S18" s="61">
        <f t="shared" si="8"/>
        <v>70.301084790790341</v>
      </c>
      <c r="T18" s="61">
        <f t="shared" si="22"/>
        <v>94.782426119363819</v>
      </c>
      <c r="U18" s="61">
        <f t="shared" si="9"/>
        <v>61.770036555770588</v>
      </c>
      <c r="V18" s="61"/>
      <c r="Y18" s="162" t="s">
        <v>38</v>
      </c>
      <c r="Z18" s="162" t="s">
        <v>62</v>
      </c>
      <c r="AA18" s="162" t="s">
        <v>201</v>
      </c>
      <c r="AB18" s="162">
        <f t="shared" si="21"/>
        <v>1</v>
      </c>
      <c r="AC18" s="165">
        <f t="shared" si="23"/>
        <v>63.058129738837408</v>
      </c>
      <c r="AD18" s="165">
        <f t="shared" si="24"/>
        <v>94.782426119363819</v>
      </c>
      <c r="AE18" s="162"/>
      <c r="AF18" s="162">
        <f t="shared" si="11"/>
        <v>11</v>
      </c>
      <c r="AG18" s="167">
        <f t="shared" si="12"/>
        <v>4491</v>
      </c>
      <c r="AH18" s="165">
        <f t="shared" si="13"/>
        <v>63.058129738837408</v>
      </c>
      <c r="AI18" s="165">
        <f t="shared" si="14"/>
        <v>61.930443945632582</v>
      </c>
      <c r="AJ18" s="165">
        <f t="shared" si="15"/>
        <v>64.171736558223657</v>
      </c>
      <c r="AK18" s="167">
        <f t="shared" si="16"/>
        <v>3</v>
      </c>
    </row>
    <row r="19" spans="1:37" x14ac:dyDescent="0.2">
      <c r="A19" s="62" t="s">
        <v>42</v>
      </c>
      <c r="B19" s="62" t="s">
        <v>65</v>
      </c>
      <c r="C19" s="62" t="s">
        <v>200</v>
      </c>
      <c r="D19" s="62"/>
      <c r="E19" s="62">
        <f t="shared" si="3"/>
        <v>21</v>
      </c>
      <c r="F19" s="128">
        <v>3700</v>
      </c>
      <c r="G19" s="129">
        <v>71.140165352816766</v>
      </c>
      <c r="H19" s="129">
        <v>69.893490403232533</v>
      </c>
      <c r="I19" s="129">
        <v>72.355635096514121</v>
      </c>
      <c r="J19" s="129"/>
      <c r="K19" s="129"/>
      <c r="L19" s="129"/>
      <c r="M19" s="60">
        <f t="shared" si="19"/>
        <v>4</v>
      </c>
      <c r="N19" s="61">
        <f t="shared" si="4"/>
        <v>59.791326566825191</v>
      </c>
      <c r="O19" s="61">
        <f t="shared" si="17"/>
        <v>62.407407407407405</v>
      </c>
      <c r="P19" s="129">
        <f t="shared" si="5"/>
        <v>68.250231286505297</v>
      </c>
      <c r="Q19" s="129">
        <f t="shared" si="6"/>
        <v>68.080475207864012</v>
      </c>
      <c r="R19" s="129">
        <f t="shared" si="7"/>
        <v>68.419503344059578</v>
      </c>
      <c r="S19" s="61">
        <f t="shared" si="8"/>
        <v>70.301084790790341</v>
      </c>
      <c r="T19" s="61">
        <f t="shared" si="22"/>
        <v>94.782426119363819</v>
      </c>
      <c r="U19" s="61">
        <f t="shared" si="9"/>
        <v>64.061417686446546</v>
      </c>
      <c r="V19" s="61"/>
      <c r="Y19" s="162" t="s">
        <v>43</v>
      </c>
      <c r="Z19" s="162" t="s">
        <v>159</v>
      </c>
      <c r="AA19" s="162" t="s">
        <v>201</v>
      </c>
      <c r="AB19" s="162">
        <f t="shared" si="21"/>
        <v>3</v>
      </c>
      <c r="AC19" s="165">
        <f t="shared" si="23"/>
        <v>63.058129738837408</v>
      </c>
      <c r="AD19" s="165">
        <f t="shared" si="24"/>
        <v>94.782426119363819</v>
      </c>
      <c r="AE19" s="162"/>
      <c r="AF19" s="162">
        <f t="shared" si="11"/>
        <v>18</v>
      </c>
      <c r="AG19" s="167">
        <f t="shared" si="12"/>
        <v>6666</v>
      </c>
      <c r="AH19" s="165">
        <f t="shared" si="13"/>
        <v>68.390273930440131</v>
      </c>
      <c r="AI19" s="165">
        <f t="shared" si="14"/>
        <v>67.460143064382876</v>
      </c>
      <c r="AJ19" s="165">
        <f t="shared" si="15"/>
        <v>69.305914666532018</v>
      </c>
      <c r="AK19" s="167">
        <f t="shared" si="16"/>
        <v>5</v>
      </c>
    </row>
    <row r="20" spans="1:37" x14ac:dyDescent="0.2">
      <c r="A20" s="62" t="s">
        <v>43</v>
      </c>
      <c r="B20" s="62" t="s">
        <v>159</v>
      </c>
      <c r="C20" s="62" t="s">
        <v>201</v>
      </c>
      <c r="D20" s="62"/>
      <c r="E20" s="62">
        <f t="shared" si="3"/>
        <v>18</v>
      </c>
      <c r="F20" s="128">
        <v>6666</v>
      </c>
      <c r="G20" s="129">
        <v>68.390273930440131</v>
      </c>
      <c r="H20" s="129">
        <v>67.460143064382876</v>
      </c>
      <c r="I20" s="129">
        <v>69.305914666532018</v>
      </c>
      <c r="J20" s="129"/>
      <c r="K20" s="129"/>
      <c r="L20" s="129"/>
      <c r="M20" s="60">
        <f t="shared" si="19"/>
        <v>5</v>
      </c>
      <c r="N20" s="61">
        <f t="shared" si="4"/>
        <v>59.791326566825191</v>
      </c>
      <c r="O20" s="61">
        <f t="shared" si="17"/>
        <v>62.407407407407405</v>
      </c>
      <c r="P20" s="129">
        <f t="shared" si="5"/>
        <v>68.250231286505297</v>
      </c>
      <c r="Q20" s="129">
        <f t="shared" si="6"/>
        <v>68.080475207864012</v>
      </c>
      <c r="R20" s="129">
        <f t="shared" si="7"/>
        <v>68.419503344059578</v>
      </c>
      <c r="S20" s="61">
        <f t="shared" si="8"/>
        <v>70.301084790790341</v>
      </c>
      <c r="T20" s="61">
        <f t="shared" si="22"/>
        <v>94.782426119363819</v>
      </c>
      <c r="U20" s="61">
        <f t="shared" si="9"/>
        <v>77.696503960912679</v>
      </c>
      <c r="V20" s="61"/>
      <c r="Y20" s="162" t="s">
        <v>48</v>
      </c>
      <c r="Z20" s="162" t="s">
        <v>160</v>
      </c>
      <c r="AA20" s="162" t="s">
        <v>201</v>
      </c>
      <c r="AB20" s="162">
        <f t="shared" si="21"/>
        <v>2</v>
      </c>
      <c r="AC20" s="165">
        <f t="shared" si="23"/>
        <v>63.058129738837408</v>
      </c>
      <c r="AD20" s="165">
        <f t="shared" si="24"/>
        <v>94.782426119363819</v>
      </c>
      <c r="AE20" s="162"/>
      <c r="AF20" s="162">
        <f t="shared" si="11"/>
        <v>17</v>
      </c>
      <c r="AG20" s="167">
        <f t="shared" si="12"/>
        <v>4022</v>
      </c>
      <c r="AH20" s="165">
        <f t="shared" si="13"/>
        <v>65.133603238866399</v>
      </c>
      <c r="AI20" s="165">
        <f t="shared" si="14"/>
        <v>63.935926870995921</v>
      </c>
      <c r="AJ20" s="165">
        <f t="shared" si="15"/>
        <v>66.312462126457348</v>
      </c>
      <c r="AK20" s="167">
        <f t="shared" si="16"/>
        <v>3</v>
      </c>
    </row>
    <row r="21" spans="1:37" x14ac:dyDescent="0.2">
      <c r="A21" s="62" t="s">
        <v>44</v>
      </c>
      <c r="B21" s="62" t="s">
        <v>66</v>
      </c>
      <c r="C21" s="62" t="s">
        <v>200</v>
      </c>
      <c r="D21" s="62"/>
      <c r="E21" s="62">
        <f t="shared" si="3"/>
        <v>13</v>
      </c>
      <c r="F21" s="128">
        <v>2795</v>
      </c>
      <c r="G21" s="129">
        <v>63.135306076349671</v>
      </c>
      <c r="H21" s="129">
        <v>61.703355320134094</v>
      </c>
      <c r="I21" s="129">
        <v>64.544480690444857</v>
      </c>
      <c r="J21" s="129"/>
      <c r="K21" s="129"/>
      <c r="L21" s="129"/>
      <c r="M21" s="60">
        <f>IF($C$2="Significance not measured",6,IF(AND($C$2="Better / Worse",$K$2="Low = Worst",I21&lt;Q21),1,IF(AND($C$2="Better / Worse",$K$2="Low = Worst",H21&gt;R21),2,IF(AND($C$2="Better / Worse",$K$2="High = Worst",I21&lt;Q21),2,IF(AND($C$2="Better / Worse",$K$2="High = Worst",H21&gt;R21),1,IF(AND($C$2="Higher / Lower",I21&lt;Q21),3,IF(AND($C$2="Higher / Lower",H21&gt;R21),4,5)))))))</f>
        <v>3</v>
      </c>
      <c r="N21" s="61">
        <f t="shared" si="4"/>
        <v>59.791326566825191</v>
      </c>
      <c r="O21" s="61">
        <f t="shared" si="17"/>
        <v>62.407407407407405</v>
      </c>
      <c r="P21" s="129">
        <f t="shared" si="5"/>
        <v>68.250231286505297</v>
      </c>
      <c r="Q21" s="129">
        <f t="shared" si="6"/>
        <v>68.080475207864012</v>
      </c>
      <c r="R21" s="129">
        <f t="shared" si="7"/>
        <v>68.419503344059578</v>
      </c>
      <c r="S21" s="61">
        <f t="shared" si="8"/>
        <v>70.301084790790341</v>
      </c>
      <c r="T21" s="61">
        <f t="shared" si="22"/>
        <v>94.782426119363819</v>
      </c>
      <c r="U21" s="61">
        <f t="shared" si="9"/>
        <v>64.061417686446546</v>
      </c>
      <c r="V21" s="61"/>
      <c r="Y21" s="162" t="s">
        <v>52</v>
      </c>
      <c r="Z21" s="162" t="s">
        <v>72</v>
      </c>
      <c r="AA21" s="162" t="s">
        <v>201</v>
      </c>
      <c r="AB21" s="162">
        <f t="shared" si="21"/>
        <v>7</v>
      </c>
      <c r="AC21" s="165">
        <f t="shared" si="23"/>
        <v>63.058129738837408</v>
      </c>
      <c r="AD21" s="165">
        <f t="shared" si="24"/>
        <v>94.782426119363819</v>
      </c>
      <c r="AE21" s="162"/>
      <c r="AF21" s="162">
        <f t="shared" si="11"/>
        <v>24</v>
      </c>
      <c r="AG21" s="167">
        <f t="shared" si="12"/>
        <v>3537</v>
      </c>
      <c r="AH21" s="165">
        <f t="shared" si="13"/>
        <v>81.441399953948888</v>
      </c>
      <c r="AI21" s="165">
        <f t="shared" si="14"/>
        <v>80.257550035847061</v>
      </c>
      <c r="AJ21" s="165">
        <f t="shared" si="15"/>
        <v>82.569678099152028</v>
      </c>
      <c r="AK21" s="167">
        <f t="shared" si="16"/>
        <v>4</v>
      </c>
    </row>
    <row r="22" spans="1:37" x14ac:dyDescent="0.2">
      <c r="A22" s="62" t="s">
        <v>45</v>
      </c>
      <c r="B22" s="62" t="s">
        <v>67</v>
      </c>
      <c r="C22" s="62" t="s">
        <v>163</v>
      </c>
      <c r="D22" s="62"/>
      <c r="E22" s="62">
        <f t="shared" si="3"/>
        <v>10</v>
      </c>
      <c r="F22" s="128">
        <v>5471</v>
      </c>
      <c r="G22" s="129">
        <v>62.447209222691477</v>
      </c>
      <c r="H22" s="129">
        <v>61.427935913356194</v>
      </c>
      <c r="I22" s="129">
        <v>63.455571794648058</v>
      </c>
      <c r="J22" s="129"/>
      <c r="K22" s="129"/>
      <c r="L22" s="129"/>
      <c r="M22" s="60">
        <f t="shared" si="19"/>
        <v>3</v>
      </c>
      <c r="N22" s="61">
        <f t="shared" si="4"/>
        <v>59.791326566825191</v>
      </c>
      <c r="O22" s="61">
        <f t="shared" si="17"/>
        <v>62.407407407407405</v>
      </c>
      <c r="P22" s="129">
        <f t="shared" si="5"/>
        <v>68.250231286505297</v>
      </c>
      <c r="Q22" s="129">
        <f t="shared" si="6"/>
        <v>68.080475207864012</v>
      </c>
      <c r="R22" s="129">
        <f t="shared" si="7"/>
        <v>68.419503344059578</v>
      </c>
      <c r="S22" s="61">
        <f t="shared" si="8"/>
        <v>70.301084790790341</v>
      </c>
      <c r="T22" s="61">
        <f t="shared" si="22"/>
        <v>94.782426119363819</v>
      </c>
      <c r="U22" s="61">
        <f>VLOOKUP(C22,$C$43:$I$46,5,FALSE)</f>
        <v>61.770036555770588</v>
      </c>
      <c r="V22" s="61"/>
      <c r="Y22" s="162" t="s">
        <v>54</v>
      </c>
      <c r="Z22" s="162" t="s">
        <v>73</v>
      </c>
      <c r="AA22" s="162" t="s">
        <v>201</v>
      </c>
      <c r="AB22" s="162">
        <f t="shared" si="21"/>
        <v>8</v>
      </c>
      <c r="AC22" s="165">
        <f t="shared" si="23"/>
        <v>63.058129738837408</v>
      </c>
      <c r="AD22" s="165">
        <f t="shared" si="24"/>
        <v>94.782426119363819</v>
      </c>
      <c r="AE22" s="162"/>
      <c r="AF22" s="162">
        <f t="shared" si="11"/>
        <v>25</v>
      </c>
      <c r="AG22" s="167">
        <f t="shared" si="12"/>
        <v>5839</v>
      </c>
      <c r="AH22" s="165">
        <f t="shared" si="13"/>
        <v>87.488762361402465</v>
      </c>
      <c r="AI22" s="165">
        <f t="shared" si="14"/>
        <v>86.673386647327504</v>
      </c>
      <c r="AJ22" s="165">
        <f t="shared" si="15"/>
        <v>88.26100691169097</v>
      </c>
      <c r="AK22" s="167">
        <f t="shared" si="16"/>
        <v>4</v>
      </c>
    </row>
    <row r="23" spans="1:37" x14ac:dyDescent="0.2">
      <c r="A23" s="62" t="s">
        <v>46</v>
      </c>
      <c r="B23" s="62" t="s">
        <v>68</v>
      </c>
      <c r="C23" s="62" t="s">
        <v>163</v>
      </c>
      <c r="D23" s="62"/>
      <c r="E23" s="62">
        <f t="shared" si="3"/>
        <v>3</v>
      </c>
      <c r="F23" s="128">
        <v>6308</v>
      </c>
      <c r="G23" s="129">
        <v>60.67134750408772</v>
      </c>
      <c r="H23" s="129">
        <v>59.728625692451175</v>
      </c>
      <c r="I23" s="129">
        <v>61.606186580051272</v>
      </c>
      <c r="J23" s="129"/>
      <c r="K23" s="129"/>
      <c r="L23" s="129"/>
      <c r="M23" s="60">
        <f t="shared" si="19"/>
        <v>3</v>
      </c>
      <c r="N23" s="61">
        <f t="shared" si="4"/>
        <v>59.791326566825191</v>
      </c>
      <c r="O23" s="61">
        <f t="shared" si="17"/>
        <v>62.407407407407405</v>
      </c>
      <c r="P23" s="129">
        <f t="shared" si="5"/>
        <v>68.250231286505297</v>
      </c>
      <c r="Q23" s="129">
        <f t="shared" si="6"/>
        <v>68.080475207864012</v>
      </c>
      <c r="R23" s="129">
        <f t="shared" si="7"/>
        <v>68.419503344059578</v>
      </c>
      <c r="S23" s="61">
        <f t="shared" si="8"/>
        <v>70.301084790790341</v>
      </c>
      <c r="T23" s="61">
        <f t="shared" si="22"/>
        <v>94.782426119363819</v>
      </c>
      <c r="U23" s="61">
        <f t="shared" si="9"/>
        <v>61.770036555770588</v>
      </c>
      <c r="V23" s="61"/>
      <c r="Y23" s="163" t="s">
        <v>30</v>
      </c>
      <c r="Z23" s="163" t="s">
        <v>56</v>
      </c>
      <c r="AA23" s="163" t="s">
        <v>200</v>
      </c>
      <c r="AB23" s="163">
        <f>RANK(AH23,$AH$23:$AH$31,1)</f>
        <v>1</v>
      </c>
      <c r="AC23" s="166">
        <f>MIN($AH$23:$AH$31)</f>
        <v>60.479819851030662</v>
      </c>
      <c r="AD23" s="166">
        <f>MAX($AH$23:$AH$31)</f>
        <v>71.367384088232143</v>
      </c>
      <c r="AE23" s="163"/>
      <c r="AF23" s="163">
        <f t="shared" si="11"/>
        <v>2</v>
      </c>
      <c r="AG23" s="168">
        <f t="shared" si="12"/>
        <v>6983</v>
      </c>
      <c r="AH23" s="166">
        <f t="shared" si="13"/>
        <v>60.479819851030662</v>
      </c>
      <c r="AI23" s="166">
        <f t="shared" si="14"/>
        <v>59.584717772317155</v>
      </c>
      <c r="AJ23" s="166">
        <f t="shared" si="15"/>
        <v>61.367950787058</v>
      </c>
      <c r="AK23" s="168">
        <f t="shared" si="16"/>
        <v>3</v>
      </c>
    </row>
    <row r="24" spans="1:37" x14ac:dyDescent="0.2">
      <c r="A24" s="62" t="s">
        <v>47</v>
      </c>
      <c r="B24" s="62" t="s">
        <v>69</v>
      </c>
      <c r="C24" s="62" t="s">
        <v>163</v>
      </c>
      <c r="D24" s="62"/>
      <c r="E24" s="62">
        <f t="shared" si="3"/>
        <v>7</v>
      </c>
      <c r="F24" s="128">
        <v>3370</v>
      </c>
      <c r="G24" s="129">
        <v>62.407407407407405</v>
      </c>
      <c r="H24" s="129">
        <v>61.107141645955032</v>
      </c>
      <c r="I24" s="129">
        <v>63.690032923493469</v>
      </c>
      <c r="J24" s="129"/>
      <c r="K24" s="129"/>
      <c r="L24" s="129"/>
      <c r="M24" s="60">
        <f t="shared" si="19"/>
        <v>3</v>
      </c>
      <c r="N24" s="61">
        <f t="shared" si="4"/>
        <v>59.791326566825191</v>
      </c>
      <c r="O24" s="61">
        <f t="shared" si="17"/>
        <v>62.407407407407405</v>
      </c>
      <c r="P24" s="129">
        <f t="shared" si="5"/>
        <v>68.250231286505297</v>
      </c>
      <c r="Q24" s="129">
        <f t="shared" si="6"/>
        <v>68.080475207864012</v>
      </c>
      <c r="R24" s="129">
        <f t="shared" si="7"/>
        <v>68.419503344059578</v>
      </c>
      <c r="S24" s="61">
        <f t="shared" si="8"/>
        <v>70.301084790790341</v>
      </c>
      <c r="T24" s="61">
        <f t="shared" si="22"/>
        <v>94.782426119363819</v>
      </c>
      <c r="U24" s="61">
        <f t="shared" si="9"/>
        <v>61.770036555770588</v>
      </c>
      <c r="V24" s="61"/>
      <c r="Y24" s="163" t="s">
        <v>31</v>
      </c>
      <c r="Z24" s="163" t="s">
        <v>57</v>
      </c>
      <c r="AA24" s="163" t="s">
        <v>200</v>
      </c>
      <c r="AB24" s="163">
        <f t="shared" ref="AB24:AB31" si="25">RANK(AH24,$AH$23:$AH$31,1)</f>
        <v>3</v>
      </c>
      <c r="AC24" s="166">
        <f t="shared" ref="AC24:AC31" si="26">MIN($AH$23:$AH$31)</f>
        <v>60.479819851030662</v>
      </c>
      <c r="AD24" s="166">
        <f t="shared" ref="AD24:AD31" si="27">MAX($AH$23:$AH$31)</f>
        <v>71.367384088232143</v>
      </c>
      <c r="AE24" s="163"/>
      <c r="AF24" s="163">
        <f t="shared" si="11"/>
        <v>6</v>
      </c>
      <c r="AG24" s="168">
        <f t="shared" si="12"/>
        <v>7565</v>
      </c>
      <c r="AH24" s="166">
        <f t="shared" si="13"/>
        <v>61.464088397790057</v>
      </c>
      <c r="AI24" s="166">
        <f t="shared" si="14"/>
        <v>60.600837267116312</v>
      </c>
      <c r="AJ24" s="166">
        <f t="shared" si="15"/>
        <v>62.320185631356814</v>
      </c>
      <c r="AK24" s="168">
        <f t="shared" si="16"/>
        <v>3</v>
      </c>
    </row>
    <row r="25" spans="1:37" x14ac:dyDescent="0.2">
      <c r="A25" s="62" t="s">
        <v>48</v>
      </c>
      <c r="B25" s="62" t="s">
        <v>160</v>
      </c>
      <c r="C25" s="62" t="s">
        <v>201</v>
      </c>
      <c r="D25" s="62"/>
      <c r="E25" s="62">
        <f t="shared" si="3"/>
        <v>17</v>
      </c>
      <c r="F25" s="128">
        <v>4022</v>
      </c>
      <c r="G25" s="129">
        <v>65.133603238866399</v>
      </c>
      <c r="H25" s="129">
        <v>63.935926870995921</v>
      </c>
      <c r="I25" s="129">
        <v>66.312462126457348</v>
      </c>
      <c r="J25" s="129"/>
      <c r="K25" s="129"/>
      <c r="L25" s="129"/>
      <c r="M25" s="60">
        <f t="shared" si="19"/>
        <v>3</v>
      </c>
      <c r="N25" s="61">
        <f t="shared" si="4"/>
        <v>59.791326566825191</v>
      </c>
      <c r="O25" s="61">
        <f t="shared" si="17"/>
        <v>62.407407407407405</v>
      </c>
      <c r="P25" s="129">
        <f t="shared" si="5"/>
        <v>68.250231286505297</v>
      </c>
      <c r="Q25" s="129">
        <f t="shared" si="6"/>
        <v>68.080475207864012</v>
      </c>
      <c r="R25" s="129">
        <f t="shared" si="7"/>
        <v>68.419503344059578</v>
      </c>
      <c r="S25" s="61">
        <f t="shared" si="8"/>
        <v>70.301084790790341</v>
      </c>
      <c r="T25" s="61">
        <f t="shared" si="22"/>
        <v>94.782426119363819</v>
      </c>
      <c r="U25" s="61">
        <f t="shared" si="9"/>
        <v>77.696503960912679</v>
      </c>
      <c r="V25" s="61"/>
      <c r="Y25" s="163" t="s">
        <v>34</v>
      </c>
      <c r="Z25" s="163" t="s">
        <v>59</v>
      </c>
      <c r="AA25" s="163" t="s">
        <v>200</v>
      </c>
      <c r="AB25" s="163">
        <f t="shared" si="25"/>
        <v>4</v>
      </c>
      <c r="AC25" s="166">
        <f t="shared" si="26"/>
        <v>60.479819851030662</v>
      </c>
      <c r="AD25" s="166">
        <f t="shared" si="27"/>
        <v>71.367384088232143</v>
      </c>
      <c r="AE25" s="163"/>
      <c r="AF25" s="163">
        <f t="shared" si="11"/>
        <v>12</v>
      </c>
      <c r="AG25" s="168">
        <f t="shared" si="12"/>
        <v>9794</v>
      </c>
      <c r="AH25" s="166">
        <f t="shared" si="13"/>
        <v>63.117870722433466</v>
      </c>
      <c r="AI25" s="166">
        <f t="shared" si="14"/>
        <v>62.35555965652739</v>
      </c>
      <c r="AJ25" s="166">
        <f t="shared" si="15"/>
        <v>63.873688356868165</v>
      </c>
      <c r="AK25" s="168">
        <f t="shared" si="16"/>
        <v>3</v>
      </c>
    </row>
    <row r="26" spans="1:37" x14ac:dyDescent="0.2">
      <c r="A26" s="62" t="s">
        <v>49</v>
      </c>
      <c r="B26" s="62" t="s">
        <v>70</v>
      </c>
      <c r="C26" s="62" t="s">
        <v>200</v>
      </c>
      <c r="D26" s="62"/>
      <c r="E26" s="62">
        <f t="shared" si="3"/>
        <v>22</v>
      </c>
      <c r="F26" s="128">
        <v>6665</v>
      </c>
      <c r="G26" s="129">
        <v>71.367384088232143</v>
      </c>
      <c r="H26" s="129">
        <v>70.441937128970068</v>
      </c>
      <c r="I26" s="129">
        <v>72.275259963484572</v>
      </c>
      <c r="J26" s="129"/>
      <c r="K26" s="129"/>
      <c r="L26" s="129"/>
      <c r="M26" s="60">
        <f t="shared" si="19"/>
        <v>4</v>
      </c>
      <c r="N26" s="61">
        <f t="shared" si="4"/>
        <v>59.791326566825191</v>
      </c>
      <c r="O26" s="61">
        <f t="shared" si="17"/>
        <v>62.407407407407405</v>
      </c>
      <c r="P26" s="129">
        <f t="shared" si="5"/>
        <v>68.250231286505297</v>
      </c>
      <c r="Q26" s="129">
        <f t="shared" si="6"/>
        <v>68.080475207864012</v>
      </c>
      <c r="R26" s="129">
        <f t="shared" si="7"/>
        <v>68.419503344059578</v>
      </c>
      <c r="S26" s="61">
        <f t="shared" si="8"/>
        <v>70.301084790790341</v>
      </c>
      <c r="T26" s="61">
        <f t="shared" si="22"/>
        <v>94.782426119363819</v>
      </c>
      <c r="U26" s="61">
        <f t="shared" si="9"/>
        <v>64.061417686446546</v>
      </c>
      <c r="V26" s="61"/>
      <c r="Y26" s="163" t="s">
        <v>39</v>
      </c>
      <c r="Z26" s="163" t="s">
        <v>158</v>
      </c>
      <c r="AA26" s="163" t="s">
        <v>200</v>
      </c>
      <c r="AB26" s="163">
        <f t="shared" si="25"/>
        <v>7</v>
      </c>
      <c r="AC26" s="166">
        <f t="shared" si="26"/>
        <v>60.479819851030662</v>
      </c>
      <c r="AD26" s="166">
        <f t="shared" si="27"/>
        <v>71.367384088232143</v>
      </c>
      <c r="AE26" s="163"/>
      <c r="AF26" s="163">
        <f t="shared" si="11"/>
        <v>16</v>
      </c>
      <c r="AG26" s="168">
        <f t="shared" si="12"/>
        <v>9469</v>
      </c>
      <c r="AH26" s="166">
        <f t="shared" si="13"/>
        <v>65.025408597720087</v>
      </c>
      <c r="AI26" s="166">
        <f t="shared" si="14"/>
        <v>64.246977262293584</v>
      </c>
      <c r="AJ26" s="166">
        <f t="shared" si="15"/>
        <v>65.795914611625648</v>
      </c>
      <c r="AK26" s="168">
        <f t="shared" si="16"/>
        <v>3</v>
      </c>
    </row>
    <row r="27" spans="1:37" x14ac:dyDescent="0.2">
      <c r="A27" s="62" t="s">
        <v>50</v>
      </c>
      <c r="B27" s="62" t="s">
        <v>161</v>
      </c>
      <c r="C27" s="62" t="s">
        <v>163</v>
      </c>
      <c r="D27" s="62"/>
      <c r="E27" s="62">
        <f t="shared" si="3"/>
        <v>14</v>
      </c>
      <c r="F27" s="128">
        <v>3722</v>
      </c>
      <c r="G27" s="129">
        <v>63.809360534887709</v>
      </c>
      <c r="H27" s="129">
        <v>62.567419121827939</v>
      </c>
      <c r="I27" s="129">
        <v>65.03312496294312</v>
      </c>
      <c r="J27" s="129"/>
      <c r="K27" s="129"/>
      <c r="L27" s="129"/>
      <c r="M27" s="60">
        <f t="shared" si="19"/>
        <v>3</v>
      </c>
      <c r="N27" s="61">
        <f t="shared" si="4"/>
        <v>59.791326566825191</v>
      </c>
      <c r="O27" s="61">
        <f t="shared" si="17"/>
        <v>62.407407407407405</v>
      </c>
      <c r="P27" s="129">
        <f t="shared" si="5"/>
        <v>68.250231286505297</v>
      </c>
      <c r="Q27" s="129">
        <f t="shared" si="6"/>
        <v>68.080475207864012</v>
      </c>
      <c r="R27" s="129">
        <f t="shared" si="7"/>
        <v>68.419503344059578</v>
      </c>
      <c r="S27" s="61">
        <f t="shared" si="8"/>
        <v>70.301084790790341</v>
      </c>
      <c r="T27" s="61">
        <f t="shared" si="22"/>
        <v>94.782426119363819</v>
      </c>
      <c r="U27" s="61">
        <f t="shared" si="9"/>
        <v>61.770036555770588</v>
      </c>
      <c r="V27" s="61"/>
      <c r="Y27" s="163" t="s">
        <v>40</v>
      </c>
      <c r="Z27" s="163" t="s">
        <v>63</v>
      </c>
      <c r="AA27" s="163" t="s">
        <v>200</v>
      </c>
      <c r="AB27" s="163">
        <f t="shared" si="25"/>
        <v>2</v>
      </c>
      <c r="AC27" s="166">
        <f t="shared" si="26"/>
        <v>60.479819851030662</v>
      </c>
      <c r="AD27" s="166">
        <f t="shared" si="27"/>
        <v>71.367384088232143</v>
      </c>
      <c r="AE27" s="163"/>
      <c r="AF27" s="163">
        <f t="shared" si="11"/>
        <v>4</v>
      </c>
      <c r="AG27" s="168">
        <f t="shared" si="12"/>
        <v>4965</v>
      </c>
      <c r="AH27" s="166">
        <f t="shared" si="13"/>
        <v>60.704242572441615</v>
      </c>
      <c r="AI27" s="166">
        <f t="shared" si="14"/>
        <v>59.640979626741199</v>
      </c>
      <c r="AJ27" s="166">
        <f t="shared" si="15"/>
        <v>61.757455242267646</v>
      </c>
      <c r="AK27" s="168">
        <f t="shared" si="16"/>
        <v>3</v>
      </c>
    </row>
    <row r="28" spans="1:37" x14ac:dyDescent="0.2">
      <c r="A28" s="62" t="s">
        <v>51</v>
      </c>
      <c r="B28" s="62" t="s">
        <v>71</v>
      </c>
      <c r="C28" s="62" t="s">
        <v>200</v>
      </c>
      <c r="D28" s="62"/>
      <c r="E28" s="62">
        <f t="shared" si="3"/>
        <v>15</v>
      </c>
      <c r="F28" s="128">
        <v>3554</v>
      </c>
      <c r="G28" s="129">
        <v>64.140046922938097</v>
      </c>
      <c r="H28" s="129">
        <v>62.867882369203599</v>
      </c>
      <c r="I28" s="129">
        <v>65.39261906510211</v>
      </c>
      <c r="J28" s="129"/>
      <c r="K28" s="129"/>
      <c r="L28" s="129"/>
      <c r="M28" s="60">
        <f t="shared" si="19"/>
        <v>3</v>
      </c>
      <c r="N28" s="61">
        <f t="shared" si="4"/>
        <v>59.791326566825191</v>
      </c>
      <c r="O28" s="61">
        <f t="shared" si="17"/>
        <v>62.407407407407405</v>
      </c>
      <c r="P28" s="129">
        <f t="shared" si="5"/>
        <v>68.250231286505297</v>
      </c>
      <c r="Q28" s="129">
        <f t="shared" si="6"/>
        <v>68.080475207864012</v>
      </c>
      <c r="R28" s="129">
        <f t="shared" si="7"/>
        <v>68.419503344059578</v>
      </c>
      <c r="S28" s="61">
        <f t="shared" si="8"/>
        <v>70.301084790790341</v>
      </c>
      <c r="T28" s="61">
        <f t="shared" si="22"/>
        <v>94.782426119363819</v>
      </c>
      <c r="U28" s="61">
        <f t="shared" si="9"/>
        <v>64.061417686446546</v>
      </c>
      <c r="V28" s="61"/>
      <c r="Y28" s="163" t="s">
        <v>42</v>
      </c>
      <c r="Z28" s="163" t="s">
        <v>65</v>
      </c>
      <c r="AA28" s="163" t="s">
        <v>200</v>
      </c>
      <c r="AB28" s="163">
        <f t="shared" si="25"/>
        <v>8</v>
      </c>
      <c r="AC28" s="166">
        <f t="shared" si="26"/>
        <v>60.479819851030662</v>
      </c>
      <c r="AD28" s="166">
        <f t="shared" si="27"/>
        <v>71.367384088232143</v>
      </c>
      <c r="AE28" s="163"/>
      <c r="AF28" s="163">
        <f t="shared" si="11"/>
        <v>21</v>
      </c>
      <c r="AG28" s="168">
        <f t="shared" si="12"/>
        <v>3700</v>
      </c>
      <c r="AH28" s="166">
        <f t="shared" si="13"/>
        <v>71.140165352816766</v>
      </c>
      <c r="AI28" s="166">
        <f t="shared" si="14"/>
        <v>69.893490403232533</v>
      </c>
      <c r="AJ28" s="166">
        <f t="shared" si="15"/>
        <v>72.355635096514121</v>
      </c>
      <c r="AK28" s="168">
        <f t="shared" si="16"/>
        <v>4</v>
      </c>
    </row>
    <row r="29" spans="1:37" x14ac:dyDescent="0.2">
      <c r="A29" s="62" t="s">
        <v>52</v>
      </c>
      <c r="B29" s="62" t="s">
        <v>72</v>
      </c>
      <c r="C29" s="62" t="s">
        <v>201</v>
      </c>
      <c r="D29" s="62"/>
      <c r="E29" s="62">
        <f t="shared" si="3"/>
        <v>24</v>
      </c>
      <c r="F29" s="128">
        <v>3537</v>
      </c>
      <c r="G29" s="129">
        <v>81.441399953948888</v>
      </c>
      <c r="H29" s="129">
        <v>80.257550035847061</v>
      </c>
      <c r="I29" s="129">
        <v>82.569678099152028</v>
      </c>
      <c r="J29" s="129"/>
      <c r="K29" s="129"/>
      <c r="L29" s="129"/>
      <c r="M29" s="60">
        <f t="shared" si="19"/>
        <v>4</v>
      </c>
      <c r="N29" s="61">
        <f t="shared" si="4"/>
        <v>59.791326566825191</v>
      </c>
      <c r="O29" s="61">
        <f t="shared" si="17"/>
        <v>62.407407407407405</v>
      </c>
      <c r="P29" s="129">
        <f t="shared" si="5"/>
        <v>68.250231286505297</v>
      </c>
      <c r="Q29" s="129">
        <f t="shared" si="6"/>
        <v>68.080475207864012</v>
      </c>
      <c r="R29" s="129">
        <f t="shared" si="7"/>
        <v>68.419503344059578</v>
      </c>
      <c r="S29" s="61">
        <f t="shared" si="8"/>
        <v>70.301084790790341</v>
      </c>
      <c r="T29" s="61">
        <f t="shared" si="22"/>
        <v>94.782426119363819</v>
      </c>
      <c r="U29" s="61">
        <f t="shared" si="9"/>
        <v>77.696503960912679</v>
      </c>
      <c r="V29" s="61"/>
      <c r="Y29" s="163" t="s">
        <v>44</v>
      </c>
      <c r="Z29" s="163" t="s">
        <v>66</v>
      </c>
      <c r="AA29" s="163" t="s">
        <v>200</v>
      </c>
      <c r="AB29" s="163">
        <f t="shared" si="25"/>
        <v>5</v>
      </c>
      <c r="AC29" s="166">
        <f t="shared" si="26"/>
        <v>60.479819851030662</v>
      </c>
      <c r="AD29" s="166">
        <f t="shared" si="27"/>
        <v>71.367384088232143</v>
      </c>
      <c r="AE29" s="163"/>
      <c r="AF29" s="163">
        <f t="shared" si="11"/>
        <v>13</v>
      </c>
      <c r="AG29" s="168">
        <f t="shared" si="12"/>
        <v>2795</v>
      </c>
      <c r="AH29" s="166">
        <f t="shared" si="13"/>
        <v>63.135306076349671</v>
      </c>
      <c r="AI29" s="166">
        <f t="shared" si="14"/>
        <v>61.703355320134094</v>
      </c>
      <c r="AJ29" s="166">
        <f t="shared" si="15"/>
        <v>64.544480690444857</v>
      </c>
      <c r="AK29" s="168">
        <f t="shared" si="16"/>
        <v>3</v>
      </c>
    </row>
    <row r="30" spans="1:37" x14ac:dyDescent="0.2">
      <c r="A30" s="62" t="s">
        <v>53</v>
      </c>
      <c r="B30" s="62" t="s">
        <v>162</v>
      </c>
      <c r="C30" s="62" t="s">
        <v>163</v>
      </c>
      <c r="D30" s="62"/>
      <c r="E30" s="62">
        <f t="shared" si="3"/>
        <v>9</v>
      </c>
      <c r="F30" s="128">
        <v>17531</v>
      </c>
      <c r="G30" s="129">
        <v>62.43900701641914</v>
      </c>
      <c r="H30" s="129">
        <v>61.870881527531388</v>
      </c>
      <c r="I30" s="129">
        <v>63.003729193244887</v>
      </c>
      <c r="J30" s="129"/>
      <c r="K30" s="129"/>
      <c r="L30" s="129"/>
      <c r="M30" s="60">
        <f t="shared" si="19"/>
        <v>3</v>
      </c>
      <c r="N30" s="61">
        <f t="shared" si="4"/>
        <v>59.791326566825191</v>
      </c>
      <c r="O30" s="61">
        <f t="shared" si="17"/>
        <v>62.407407407407405</v>
      </c>
      <c r="P30" s="129">
        <f>$G$32</f>
        <v>68.250231286505297</v>
      </c>
      <c r="Q30" s="129">
        <f t="shared" si="6"/>
        <v>68.080475207864012</v>
      </c>
      <c r="R30" s="129">
        <f t="shared" si="7"/>
        <v>68.419503344059578</v>
      </c>
      <c r="S30" s="61">
        <f t="shared" si="8"/>
        <v>70.301084790790341</v>
      </c>
      <c r="T30" s="61">
        <f t="shared" si="22"/>
        <v>94.782426119363819</v>
      </c>
      <c r="U30" s="61">
        <f t="shared" si="9"/>
        <v>61.770036555770588</v>
      </c>
      <c r="V30" s="61"/>
      <c r="Y30" s="163" t="s">
        <v>49</v>
      </c>
      <c r="Z30" s="163" t="s">
        <v>70</v>
      </c>
      <c r="AA30" s="163" t="s">
        <v>200</v>
      </c>
      <c r="AB30" s="163">
        <f t="shared" si="25"/>
        <v>9</v>
      </c>
      <c r="AC30" s="166">
        <f t="shared" si="26"/>
        <v>60.479819851030662</v>
      </c>
      <c r="AD30" s="166">
        <f t="shared" si="27"/>
        <v>71.367384088232143</v>
      </c>
      <c r="AE30" s="163"/>
      <c r="AF30" s="163">
        <f t="shared" si="11"/>
        <v>22</v>
      </c>
      <c r="AG30" s="168">
        <f t="shared" si="12"/>
        <v>6665</v>
      </c>
      <c r="AH30" s="166">
        <f t="shared" si="13"/>
        <v>71.367384088232143</v>
      </c>
      <c r="AI30" s="166">
        <f t="shared" si="14"/>
        <v>70.441937128970068</v>
      </c>
      <c r="AJ30" s="166">
        <f t="shared" si="15"/>
        <v>72.275259963484572</v>
      </c>
      <c r="AK30" s="168">
        <f t="shared" si="16"/>
        <v>4</v>
      </c>
    </row>
    <row r="31" spans="1:37" x14ac:dyDescent="0.2">
      <c r="A31" s="62" t="s">
        <v>54</v>
      </c>
      <c r="B31" s="62" t="s">
        <v>73</v>
      </c>
      <c r="C31" s="62" t="s">
        <v>201</v>
      </c>
      <c r="D31" s="62"/>
      <c r="E31" s="62">
        <f t="shared" si="3"/>
        <v>25</v>
      </c>
      <c r="F31" s="128">
        <v>5839</v>
      </c>
      <c r="G31" s="129">
        <v>87.488762361402465</v>
      </c>
      <c r="H31" s="129">
        <v>86.673386647327504</v>
      </c>
      <c r="I31" s="129">
        <v>88.26100691169097</v>
      </c>
      <c r="J31" s="129"/>
      <c r="K31" s="129"/>
      <c r="L31" s="129"/>
      <c r="M31" s="60">
        <f t="shared" si="19"/>
        <v>4</v>
      </c>
      <c r="N31" s="61">
        <f t="shared" si="4"/>
        <v>59.791326566825191</v>
      </c>
      <c r="O31" s="61">
        <f t="shared" si="17"/>
        <v>62.407407407407405</v>
      </c>
      <c r="P31" s="129">
        <f t="shared" si="5"/>
        <v>68.250231286505297</v>
      </c>
      <c r="Q31" s="129">
        <f t="shared" si="6"/>
        <v>68.080475207864012</v>
      </c>
      <c r="R31" s="129">
        <f t="shared" si="7"/>
        <v>68.419503344059578</v>
      </c>
      <c r="S31" s="61">
        <f t="shared" si="8"/>
        <v>70.301084790790341</v>
      </c>
      <c r="T31" s="61">
        <f t="shared" si="22"/>
        <v>94.782426119363819</v>
      </c>
      <c r="U31" s="61">
        <f t="shared" si="9"/>
        <v>77.696503960912679</v>
      </c>
      <c r="V31" s="61"/>
      <c r="Y31" s="163" t="s">
        <v>51</v>
      </c>
      <c r="Z31" s="163" t="s">
        <v>71</v>
      </c>
      <c r="AA31" s="163" t="s">
        <v>200</v>
      </c>
      <c r="AB31" s="163">
        <f t="shared" si="25"/>
        <v>6</v>
      </c>
      <c r="AC31" s="166">
        <f t="shared" si="26"/>
        <v>60.479819851030662</v>
      </c>
      <c r="AD31" s="166">
        <f t="shared" si="27"/>
        <v>71.367384088232143</v>
      </c>
      <c r="AE31" s="163"/>
      <c r="AF31" s="163">
        <f t="shared" si="11"/>
        <v>15</v>
      </c>
      <c r="AG31" s="168">
        <f t="shared" si="12"/>
        <v>3554</v>
      </c>
      <c r="AH31" s="166">
        <f t="shared" si="13"/>
        <v>64.140046922938097</v>
      </c>
      <c r="AI31" s="166">
        <f t="shared" si="14"/>
        <v>62.867882369203599</v>
      </c>
      <c r="AJ31" s="166">
        <f t="shared" si="15"/>
        <v>65.39261906510211</v>
      </c>
      <c r="AK31" s="168">
        <f t="shared" si="16"/>
        <v>3</v>
      </c>
    </row>
    <row r="32" spans="1:37" x14ac:dyDescent="0.2">
      <c r="A32" s="62"/>
      <c r="B32" s="62" t="s">
        <v>171</v>
      </c>
      <c r="C32" s="62"/>
      <c r="D32" s="62"/>
      <c r="E32" s="62"/>
      <c r="F32" s="128">
        <v>197710</v>
      </c>
      <c r="G32" s="129">
        <v>68.250231286505297</v>
      </c>
      <c r="H32" s="129">
        <v>68.080475207864012</v>
      </c>
      <c r="I32" s="129">
        <v>68.419503344059578</v>
      </c>
      <c r="J32" s="129"/>
      <c r="K32" s="129"/>
      <c r="L32" s="129"/>
      <c r="M32" s="60"/>
      <c r="N32" s="61"/>
      <c r="O32" s="61"/>
      <c r="P32" s="129"/>
      <c r="Q32" s="129"/>
      <c r="R32" s="129"/>
      <c r="S32" s="61"/>
      <c r="T32" s="61"/>
      <c r="U32" s="61"/>
      <c r="V32" s="61"/>
    </row>
    <row r="33" spans="1:22" x14ac:dyDescent="0.2">
      <c r="A33" s="62"/>
      <c r="B33" s="62"/>
      <c r="C33" s="62"/>
      <c r="D33" s="62"/>
      <c r="E33" s="62"/>
      <c r="F33" s="128"/>
      <c r="G33" s="129"/>
      <c r="H33" s="129"/>
      <c r="I33" s="129"/>
      <c r="J33" s="129"/>
      <c r="K33" s="129"/>
      <c r="L33" s="129"/>
      <c r="M33" s="60"/>
      <c r="N33" s="61"/>
      <c r="O33" s="61"/>
      <c r="P33" s="129"/>
      <c r="Q33" s="129"/>
      <c r="R33" s="129"/>
      <c r="S33" s="61"/>
      <c r="T33" s="61"/>
      <c r="U33" s="61"/>
      <c r="V33" s="61"/>
    </row>
    <row r="34" spans="1:22" x14ac:dyDescent="0.2">
      <c r="A34" s="62"/>
      <c r="B34" s="62"/>
      <c r="C34" s="62"/>
      <c r="D34" s="62"/>
      <c r="E34" s="62"/>
      <c r="F34" s="128"/>
      <c r="G34" s="129"/>
      <c r="H34" s="129"/>
      <c r="I34" s="129"/>
      <c r="J34" s="129"/>
      <c r="K34" s="129"/>
      <c r="L34" s="129"/>
      <c r="M34" s="60"/>
      <c r="N34" s="61"/>
      <c r="O34" s="61"/>
      <c r="P34" s="129"/>
      <c r="Q34" s="129"/>
      <c r="R34" s="129"/>
      <c r="S34" s="61"/>
      <c r="T34" s="61"/>
      <c r="U34" s="61"/>
      <c r="V34" s="61"/>
    </row>
    <row r="35" spans="1:22" x14ac:dyDescent="0.2">
      <c r="A35" s="62"/>
      <c r="B35" s="62"/>
      <c r="C35" s="62"/>
      <c r="D35" s="62"/>
      <c r="E35" s="62"/>
      <c r="F35" s="128"/>
      <c r="G35" s="129"/>
      <c r="H35" s="129"/>
      <c r="I35" s="129"/>
      <c r="J35" s="129"/>
      <c r="K35" s="129"/>
      <c r="L35" s="129"/>
      <c r="M35" s="60"/>
      <c r="N35" s="61"/>
      <c r="O35" s="61"/>
      <c r="P35" s="129"/>
      <c r="Q35" s="129"/>
      <c r="R35" s="129"/>
      <c r="S35" s="61"/>
      <c r="T35" s="61"/>
      <c r="U35" s="61"/>
      <c r="V35" s="61"/>
    </row>
    <row r="36" spans="1:22" x14ac:dyDescent="0.2">
      <c r="A36" s="62"/>
      <c r="B36" s="62"/>
      <c r="C36" s="62"/>
      <c r="D36" s="62"/>
      <c r="E36" s="62"/>
      <c r="F36" s="128"/>
      <c r="G36" s="129"/>
      <c r="H36" s="129"/>
      <c r="I36" s="129"/>
      <c r="J36" s="129"/>
      <c r="K36" s="129"/>
      <c r="L36" s="129"/>
      <c r="M36" s="60"/>
      <c r="N36" s="61"/>
      <c r="O36" s="61"/>
      <c r="P36" s="129"/>
      <c r="Q36" s="129"/>
      <c r="R36" s="129"/>
      <c r="S36" s="61"/>
      <c r="T36" s="61"/>
      <c r="U36" s="61"/>
      <c r="V36" s="61"/>
    </row>
    <row r="37" spans="1:22" x14ac:dyDescent="0.2">
      <c r="A37" s="62"/>
      <c r="B37" s="62"/>
      <c r="C37" s="62"/>
      <c r="D37" s="62"/>
      <c r="E37" s="62"/>
      <c r="F37" s="128"/>
      <c r="G37" s="129"/>
      <c r="H37" s="129"/>
      <c r="I37" s="129"/>
      <c r="J37" s="129"/>
      <c r="K37" s="129"/>
      <c r="L37" s="129"/>
      <c r="M37" s="60"/>
      <c r="N37" s="61"/>
      <c r="O37" s="61"/>
      <c r="P37" s="129"/>
      <c r="Q37" s="129"/>
      <c r="R37" s="129"/>
      <c r="S37" s="61"/>
      <c r="T37" s="61"/>
      <c r="U37" s="61"/>
      <c r="V37" s="61"/>
    </row>
    <row r="38" spans="1:22" x14ac:dyDescent="0.2">
      <c r="A38" s="62"/>
      <c r="B38" s="62"/>
      <c r="C38" s="62"/>
      <c r="D38" s="62"/>
      <c r="E38" s="62"/>
      <c r="F38" s="128"/>
      <c r="G38" s="129"/>
      <c r="H38" s="129"/>
      <c r="I38" s="129"/>
      <c r="J38" s="129"/>
      <c r="K38" s="129"/>
      <c r="L38" s="129"/>
      <c r="M38" s="60"/>
      <c r="N38" s="61"/>
      <c r="O38" s="61"/>
      <c r="P38" s="129"/>
      <c r="Q38" s="129"/>
      <c r="R38" s="129"/>
      <c r="S38" s="61"/>
      <c r="T38" s="61"/>
      <c r="U38" s="61"/>
      <c r="V38" s="61"/>
    </row>
    <row r="39" spans="1:22" x14ac:dyDescent="0.2">
      <c r="A39" s="62"/>
      <c r="B39" s="62"/>
      <c r="C39" s="62"/>
      <c r="D39" s="62"/>
      <c r="E39" s="62"/>
      <c r="F39" s="128"/>
      <c r="G39" s="129"/>
      <c r="H39" s="129"/>
      <c r="I39" s="129"/>
      <c r="J39" s="129"/>
      <c r="K39" s="129"/>
      <c r="L39" s="129"/>
      <c r="M39" s="60"/>
      <c r="N39" s="61"/>
      <c r="O39" s="61"/>
      <c r="P39" s="129"/>
      <c r="Q39" s="129"/>
      <c r="R39" s="129"/>
      <c r="S39" s="61"/>
      <c r="T39" s="61"/>
      <c r="U39" s="61"/>
      <c r="V39" s="61"/>
    </row>
    <row r="40" spans="1:22" x14ac:dyDescent="0.2">
      <c r="A40" s="62"/>
      <c r="B40" s="62"/>
      <c r="C40" s="62"/>
      <c r="D40" s="62"/>
      <c r="E40" s="62"/>
      <c r="G40" s="26"/>
      <c r="H40" s="26"/>
      <c r="I40" s="26"/>
      <c r="J40" s="26"/>
      <c r="K40" s="26"/>
      <c r="L40" s="26"/>
      <c r="M40" s="60"/>
      <c r="N40" s="61"/>
      <c r="O40" s="61"/>
      <c r="P40" s="26"/>
      <c r="Q40" s="26"/>
      <c r="R40" s="26"/>
      <c r="S40" s="61"/>
      <c r="T40" s="61"/>
      <c r="U40" s="61"/>
      <c r="V40" s="61"/>
    </row>
    <row r="42" spans="1:22" x14ac:dyDescent="0.2">
      <c r="A42" s="31"/>
      <c r="B42" s="31"/>
      <c r="C42" s="59">
        <v>1</v>
      </c>
      <c r="D42" s="59">
        <v>2</v>
      </c>
      <c r="E42" s="59">
        <v>3</v>
      </c>
      <c r="F42" s="31">
        <v>4</v>
      </c>
      <c r="G42" s="31">
        <v>5</v>
      </c>
      <c r="H42" s="31">
        <v>6</v>
      </c>
      <c r="I42" s="31">
        <v>7</v>
      </c>
      <c r="J42" s="31">
        <v>8</v>
      </c>
      <c r="K42" s="31">
        <v>9</v>
      </c>
      <c r="L42" s="31">
        <v>10</v>
      </c>
      <c r="M42" s="59">
        <v>11</v>
      </c>
      <c r="N42" s="59">
        <v>12</v>
      </c>
      <c r="O42" s="59">
        <v>13</v>
      </c>
      <c r="P42" s="31">
        <v>14</v>
      </c>
      <c r="Q42" s="31">
        <v>15</v>
      </c>
      <c r="R42" s="31">
        <v>16</v>
      </c>
      <c r="S42" s="59">
        <v>17</v>
      </c>
      <c r="T42" s="59">
        <v>18</v>
      </c>
      <c r="U42" s="31"/>
    </row>
    <row r="43" spans="1:22" s="67" customFormat="1" ht="96" customHeight="1" x14ac:dyDescent="0.25">
      <c r="A43" s="65"/>
      <c r="B43" s="65"/>
      <c r="C43" s="64" t="s">
        <v>77</v>
      </c>
      <c r="D43" s="64"/>
      <c r="E43" s="64"/>
      <c r="F43" s="69" t="s">
        <v>83</v>
      </c>
      <c r="G43" s="69" t="s">
        <v>84</v>
      </c>
      <c r="H43" s="69" t="s">
        <v>25</v>
      </c>
      <c r="I43" s="69" t="s">
        <v>26</v>
      </c>
      <c r="J43" s="69" t="s">
        <v>182</v>
      </c>
      <c r="K43" s="69" t="s">
        <v>183</v>
      </c>
      <c r="L43" s="69"/>
      <c r="M43" s="68" t="s">
        <v>1</v>
      </c>
      <c r="N43" s="68" t="s">
        <v>27</v>
      </c>
      <c r="O43" s="68" t="s">
        <v>176</v>
      </c>
      <c r="P43" s="69" t="s">
        <v>92</v>
      </c>
      <c r="Q43" s="69" t="s">
        <v>25</v>
      </c>
      <c r="R43" s="69" t="s">
        <v>26</v>
      </c>
      <c r="S43" s="68" t="s">
        <v>177</v>
      </c>
      <c r="T43" s="68" t="s">
        <v>28</v>
      </c>
      <c r="U43" s="65"/>
    </row>
    <row r="44" spans="1:22" x14ac:dyDescent="0.2">
      <c r="C44" s="62" t="s">
        <v>163</v>
      </c>
      <c r="D44" s="62"/>
      <c r="E44" s="62"/>
      <c r="F44" s="128">
        <v>60324</v>
      </c>
      <c r="G44" s="129">
        <v>61.770036555770588</v>
      </c>
      <c r="H44" s="129">
        <v>61.46480179119672</v>
      </c>
      <c r="I44" s="129">
        <v>62.074345397852916</v>
      </c>
      <c r="J44" s="129">
        <f>VLOOKUP($C44,$AA$6:$AD$13,3,FALSE)</f>
        <v>59.791326566825191</v>
      </c>
      <c r="K44" s="129">
        <f>VLOOKUP($C44,$AA$6:$AD$13,4,FALSE)</f>
        <v>63.809360534887709</v>
      </c>
      <c r="L44" s="129"/>
      <c r="M44" s="60">
        <f>IF($C$2="Significance not measured",6,IF(AND($C$2="Better / Worse",$K$2="Low = Worst",I44&lt;Q44),1,IF(AND($C$2="Better / Worse",$K$2="Low = Worst",H44&gt;R44),2,IF(AND($C$2="Better / Worse",$K$2="High = Worst",I44&lt;Q44),2,IF(AND($C$2="Better / Worse",$K$2="High = Worst",H44&gt;R44),1,IF(AND($C$2="Higher / Lower",I44&lt;Q44),3,IF(AND($C$2="Higher / Lower",H44&gt;R44),4,5)))))))</f>
        <v>3</v>
      </c>
      <c r="N44" s="61">
        <f>MIN($G$6:$G$31)</f>
        <v>59.791326566825191</v>
      </c>
      <c r="O44" s="61">
        <f>VLOOKUP(7,$E$5:$G$39,3,FALSE)</f>
        <v>62.407407407407405</v>
      </c>
      <c r="P44" s="129">
        <f>$G$32</f>
        <v>68.250231286505297</v>
      </c>
      <c r="Q44" s="129">
        <f>$H$32</f>
        <v>68.080475207864012</v>
      </c>
      <c r="R44" s="129">
        <f>$I$32</f>
        <v>68.419503344059578</v>
      </c>
      <c r="S44" s="61">
        <f>VLOOKUP(20,$E$5:$G$39,3,FALSE)</f>
        <v>70.301084790790341</v>
      </c>
      <c r="T44" s="61">
        <f>MAX($G$6:$G$31)</f>
        <v>94.782426119363819</v>
      </c>
    </row>
    <row r="45" spans="1:22" x14ac:dyDescent="0.2">
      <c r="C45" s="62" t="s">
        <v>201</v>
      </c>
      <c r="D45" s="62"/>
      <c r="E45" s="62"/>
      <c r="F45" s="128">
        <v>81896</v>
      </c>
      <c r="G45" s="129">
        <v>77.696503960912679</v>
      </c>
      <c r="H45" s="129">
        <v>77.444190094448388</v>
      </c>
      <c r="I45" s="129">
        <v>77.94679911665078</v>
      </c>
      <c r="J45" s="129">
        <f>VLOOKUP($C45,$AA$14:$AD$22,3,FALSE)</f>
        <v>63.058129738837408</v>
      </c>
      <c r="K45" s="129">
        <f>VLOOKUP($C45,$AA$14:$AD$22,4,FALSE)</f>
        <v>94.782426119363819</v>
      </c>
      <c r="L45" s="129"/>
      <c r="M45" s="60">
        <f>IF($C$2="Significance not measured",6,IF(AND($C$2="Better / Worse",$K$2="Low = Worst",I45&lt;Q45),1,IF(AND($C$2="Better / Worse",$K$2="Low = Worst",H45&gt;R45),2,IF(AND($C$2="Better / Worse",$K$2="High = Worst",I45&lt;Q45),2,IF(AND($C$2="Better / Worse",$K$2="High = Worst",H45&gt;R45),1,IF(AND($C$2="Higher / Lower",I45&lt;Q45),3,IF(AND($C$2="Higher / Lower",H45&gt;R45),4,5)))))))</f>
        <v>4</v>
      </c>
      <c r="N45" s="61">
        <f t="shared" ref="N45:N46" si="28">MIN($G$6:$G$31)</f>
        <v>59.791326566825191</v>
      </c>
      <c r="O45" s="61">
        <f t="shared" ref="O45:O46" si="29">VLOOKUP(7,$E$5:$G$39,3,FALSE)</f>
        <v>62.407407407407405</v>
      </c>
      <c r="P45" s="129">
        <f>$G$32</f>
        <v>68.250231286505297</v>
      </c>
      <c r="Q45" s="129">
        <f t="shared" ref="Q45:Q46" si="30">$H$32</f>
        <v>68.080475207864012</v>
      </c>
      <c r="R45" s="129">
        <f t="shared" ref="R45:R46" si="31">$I$32</f>
        <v>68.419503344059578</v>
      </c>
      <c r="S45" s="61">
        <f t="shared" ref="S45:S46" si="32">VLOOKUP(20,$E$5:$G$39,3,FALSE)</f>
        <v>70.301084790790341</v>
      </c>
      <c r="T45" s="61">
        <f t="shared" ref="T45:T46" si="33">MAX($G$6:$G$31)</f>
        <v>94.782426119363819</v>
      </c>
    </row>
    <row r="46" spans="1:22" x14ac:dyDescent="0.2">
      <c r="C46" s="62" t="s">
        <v>200</v>
      </c>
      <c r="D46" s="62"/>
      <c r="E46" s="62"/>
      <c r="F46" s="128">
        <v>55490</v>
      </c>
      <c r="G46" s="129">
        <v>64.061417686446546</v>
      </c>
      <c r="H46" s="129">
        <v>63.741266097421722</v>
      </c>
      <c r="I46" s="129">
        <v>64.380322127894146</v>
      </c>
      <c r="J46" s="129">
        <f>VLOOKUP($C46,$AA$23:$AD$31,3,FALSE)</f>
        <v>60.479819851030662</v>
      </c>
      <c r="K46" s="129">
        <f>VLOOKUP($C46,$AA$23:$AD$31,4,FALSE)</f>
        <v>71.367384088232143</v>
      </c>
      <c r="L46" s="129"/>
      <c r="M46" s="60">
        <f>IF($C$2="Significance not measured",6,IF(AND($C$2="Better / Worse",$K$2="Low = Worst",I46&lt;Q46),1,IF(AND($C$2="Better / Worse",$K$2="Low = Worst",H46&gt;R46),2,IF(AND($C$2="Better / Worse",$K$2="High = Worst",I46&lt;Q46),2,IF(AND($C$2="Better / Worse",$K$2="High = Worst",H46&gt;R46),1,IF(AND($C$2="Higher / Lower",I46&lt;Q46),3,IF(AND($C$2="Higher / Lower",H46&gt;R46),4,5)))))))</f>
        <v>3</v>
      </c>
      <c r="N46" s="61">
        <f t="shared" si="28"/>
        <v>59.791326566825191</v>
      </c>
      <c r="O46" s="61">
        <f t="shared" si="29"/>
        <v>62.407407407407405</v>
      </c>
      <c r="P46" s="129">
        <f t="shared" ref="P46" si="34">$G$32</f>
        <v>68.250231286505297</v>
      </c>
      <c r="Q46" s="129">
        <f t="shared" si="30"/>
        <v>68.080475207864012</v>
      </c>
      <c r="R46" s="129">
        <f t="shared" si="31"/>
        <v>68.419503344059578</v>
      </c>
      <c r="S46" s="61">
        <f t="shared" si="32"/>
        <v>70.301084790790341</v>
      </c>
      <c r="T46" s="61">
        <f t="shared" si="33"/>
        <v>94.782426119363819</v>
      </c>
    </row>
    <row r="52" spans="2:20" x14ac:dyDescent="0.2">
      <c r="B52" s="169"/>
    </row>
    <row r="54" spans="2:20" ht="13.2" x14ac:dyDescent="0.25">
      <c r="B54" s="170"/>
      <c r="C54" s="170"/>
      <c r="D54" s="173"/>
      <c r="E54" s="43"/>
      <c r="F54" s="43"/>
      <c r="G54" s="43"/>
      <c r="H54" s="43"/>
      <c r="I54" s="43"/>
      <c r="J54" s="43"/>
      <c r="K54" s="43"/>
      <c r="L54" s="43"/>
      <c r="M54" s="43"/>
      <c r="N54" s="43"/>
      <c r="O54" s="43"/>
      <c r="P54" s="43"/>
      <c r="Q54" s="43"/>
      <c r="R54" s="43"/>
      <c r="S54" s="43"/>
      <c r="T54" s="43"/>
    </row>
    <row r="55" spans="2:20" ht="66" customHeight="1" x14ac:dyDescent="0.3">
      <c r="B55" s="171"/>
      <c r="C55" s="172"/>
      <c r="D55" s="174"/>
      <c r="E55" s="175"/>
      <c r="F55" s="175"/>
      <c r="G55" s="175"/>
      <c r="H55" s="175"/>
      <c r="I55" s="175"/>
      <c r="J55" s="175"/>
      <c r="K55" s="175"/>
      <c r="L55" s="175"/>
      <c r="M55" s="175"/>
      <c r="N55" s="175"/>
      <c r="O55" s="175"/>
      <c r="P55" s="175"/>
      <c r="Q55" s="175"/>
      <c r="R55" s="175"/>
      <c r="S55" s="175"/>
      <c r="T55" s="175"/>
    </row>
  </sheetData>
  <mergeCells count="2">
    <mergeCell ref="C2:D2"/>
    <mergeCell ref="K2:N2"/>
  </mergeCells>
  <dataValidations count="2">
    <dataValidation type="list" allowBlank="1" showInputMessage="1" showErrorMessage="1" sqref="K2:N2" xr:uid="{00000000-0002-0000-0800-000000000000}">
      <formula1>"High = Worst,Low = Worst"</formula1>
    </dataValidation>
    <dataValidation type="list" allowBlank="1" showInputMessage="1" showErrorMessage="1" sqref="C2:D2" xr:uid="{00000000-0002-0000-0800-000001000000}">
      <formula1>"Better / Worse,Higher / Lower,Significance not measured"</formula1>
    </dataValidation>
  </dataValidations>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71</vt:i4>
      </vt:variant>
      <vt:variant>
        <vt:lpstr>Named Ranges</vt:lpstr>
      </vt:variant>
      <vt:variant>
        <vt:i4>5</vt:i4>
      </vt:variant>
    </vt:vector>
  </HeadingPairs>
  <TitlesOfParts>
    <vt:vector size="76" baseType="lpstr">
      <vt:lpstr>Menu</vt:lpstr>
      <vt:lpstr>Spine Chart (GP Prac)</vt:lpstr>
      <vt:lpstr>Spine Chart (Locality)</vt:lpstr>
      <vt:lpstr>Locality and Practice Map</vt:lpstr>
      <vt:lpstr>Metadata</vt:lpstr>
      <vt:lpstr>Calculation</vt:lpstr>
      <vt:lpstr>1 GP Reg Pop 0-4</vt:lpstr>
      <vt:lpstr>2 GP Reg Pop 0-17</vt:lpstr>
      <vt:lpstr>3 GP Reg Pop 18-64</vt:lpstr>
      <vt:lpstr>4 GP Reg Pop 65+</vt:lpstr>
      <vt:lpstr>5 GP IMD 1</vt:lpstr>
      <vt:lpstr>6 EFL 3+</vt:lpstr>
      <vt:lpstr>7 16-64 Econ Active</vt:lpstr>
      <vt:lpstr>8 Male LE</vt:lpstr>
      <vt:lpstr>9 Female LE</vt:lpstr>
      <vt:lpstr>10 AAAC Mort</vt:lpstr>
      <vt:lpstr>11 AC U75 Mort</vt:lpstr>
      <vt:lpstr>12 Prevent Mort</vt:lpstr>
      <vt:lpstr>13 Multiple LTC AA</vt:lpstr>
      <vt:lpstr>14 Diabetes 17 Prev</vt:lpstr>
      <vt:lpstr>15 Asthma Prev</vt:lpstr>
      <vt:lpstr>16 emerg asthma admiss</vt:lpstr>
      <vt:lpstr>17 COPD Prev</vt:lpstr>
      <vt:lpstr>18 COPD 35+ admiss</vt:lpstr>
      <vt:lpstr>19 Prem mort resp</vt:lpstr>
      <vt:lpstr>20 CHD prevalence</vt:lpstr>
      <vt:lpstr>21 hyper prev</vt:lpstr>
      <vt:lpstr>22 Prem Mort Circ Disease</vt:lpstr>
      <vt:lpstr>23 All canc P incidence</vt:lpstr>
      <vt:lpstr>24 All canc M incidence</vt:lpstr>
      <vt:lpstr>25 All canc F incidence</vt:lpstr>
      <vt:lpstr>26 Colorect canc inc P</vt:lpstr>
      <vt:lpstr>27 Lung canc inc P</vt:lpstr>
      <vt:lpstr>28 Breast canc inc F</vt:lpstr>
      <vt:lpstr>29 Prem mort canc</vt:lpstr>
      <vt:lpstr>30 Osteo Prev 50+</vt:lpstr>
      <vt:lpstr>31 Arthritus 16+ prev</vt:lpstr>
      <vt:lpstr>32 Emergency admissions AA</vt:lpstr>
      <vt:lpstr>33 Depression 18+ prev</vt:lpstr>
      <vt:lpstr>34 Severe MI prev</vt:lpstr>
      <vt:lpstr>35 LD prev</vt:lpstr>
      <vt:lpstr>36 Dementia AA prev</vt:lpstr>
      <vt:lpstr>37 Emerg admiss self-harm</vt:lpstr>
      <vt:lpstr>38 drug related MH admiss</vt:lpstr>
      <vt:lpstr>39 Mort Suici</vt:lpstr>
      <vt:lpstr>40 est 15+ Smoking prev</vt:lpstr>
      <vt:lpstr>41 Obesity 18+ prev</vt:lpstr>
      <vt:lpstr>42 Alc spec admissions</vt:lpstr>
      <vt:lpstr>43 Drug poison admiss</vt:lpstr>
      <vt:lpstr>44 Breastfeeding at Check</vt:lpstr>
      <vt:lpstr>45 SATOD</vt:lpstr>
      <vt:lpstr>46 LBW</vt:lpstr>
      <vt:lpstr>47 Teenage mat</vt:lpstr>
      <vt:lpstr>48 0-4 emergency admiss</vt:lpstr>
      <vt:lpstr>49 unintent inj 0-14</vt:lpstr>
      <vt:lpstr>50 unintent inj 15-24</vt:lpstr>
      <vt:lpstr>51 Self-harm 10-24</vt:lpstr>
      <vt:lpstr>52 Yr R obese</vt:lpstr>
      <vt:lpstr>53 Yr 6 obese</vt:lpstr>
      <vt:lpstr>54 LAC 0-17</vt:lpstr>
      <vt:lpstr>55 U16 child pov</vt:lpstr>
      <vt:lpstr>56 Flu vax 65+</vt:lpstr>
      <vt:lpstr>57 falls 65+</vt:lpstr>
      <vt:lpstr>58 Hip fractures 65+</vt:lpstr>
      <vt:lpstr>59 65+ social care support</vt:lpstr>
      <vt:lpstr>60 EWD all age</vt:lpstr>
      <vt:lpstr>61 deaths at home AA</vt:lpstr>
      <vt:lpstr>62 claimant count</vt:lpstr>
      <vt:lpstr>63 Fuel poverty</vt:lpstr>
      <vt:lpstr>64 Lone parent HH</vt:lpstr>
      <vt:lpstr>65 Police recorded crime</vt:lpstr>
      <vt:lpstr>Menu!Print_Area</vt:lpstr>
      <vt:lpstr>Metadata!Print_Area</vt:lpstr>
      <vt:lpstr>'Spine Chart (GP Prac)'!Print_Area</vt:lpstr>
      <vt:lpstr>'Spine Chart (Locality)'!Print_Area</vt:lpstr>
      <vt:lpstr>Y02838___Adelaide_Health_Centre</vt:lpstr>
    </vt:vector>
  </TitlesOfParts>
  <Company>PHRU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Hughes</dc:creator>
  <cp:lastModifiedBy>Lewis, Steven</cp:lastModifiedBy>
  <cp:lastPrinted>2019-08-29T12:01:21Z</cp:lastPrinted>
  <dcterms:created xsi:type="dcterms:W3CDTF">2006-01-10T09:02:07Z</dcterms:created>
  <dcterms:modified xsi:type="dcterms:W3CDTF">2023-08-16T14:08:38Z</dcterms:modified>
</cp:coreProperties>
</file>